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380" tabRatio="600" firstSheet="6"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1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6" applyAlignment="1" pivotButton="0" quotePrefix="0" xfId="0">
      <alignment horizontal="center" vertical="top"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2"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3" borderId="0" applyAlignment="1" pivotButton="0" quotePrefix="0" xfId="0">
      <alignment horizontal="center" vertical="center" wrapText="1"/>
    </xf>
    <xf numFmtId="0" fontId="4" fillId="31"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13" fillId="0" borderId="0" applyAlignment="1" pivotButton="0" quotePrefix="0" xfId="0">
      <alignment horizontal="center"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56" min="1" max="1"/>
    <col width="60.1640625" customWidth="1" style="2456" min="2" max="2"/>
    <col width="2.5" customWidth="1" style="2456" min="3" max="3"/>
    <col width="12.6640625" customWidth="1" style="2456" min="10" max="10"/>
  </cols>
  <sheetData>
    <row r="7">
      <c r="D7" s="2457" t="inlineStr">
        <is>
          <t>Très faible</t>
        </is>
      </c>
      <c r="E7" s="2457" t="n"/>
      <c r="F7" s="2457" t="n"/>
      <c r="G7" s="2457" t="inlineStr">
        <is>
          <t>Très élevé</t>
        </is>
      </c>
      <c r="J7" s="251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57">
        <f>IF(AND('Contexte | CSS'!$H$37&gt;='Contexte | CSS'!$AK11,'Contexte | CSS'!$H$37&lt;='Contexte | CSS'!$AL11),"Y"," ")</f>
        <v/>
      </c>
      <c r="E9" s="2457">
        <f>IF(AND('Contexte | CSS'!$H$37&gt;='Contexte | CSS'!$AK12,'Contexte | CSS'!$H$37&lt;='Contexte | CSS'!$AL12),"Y"," ")</f>
        <v/>
      </c>
      <c r="F9" s="2457">
        <f>IF(AND('Contexte | CSS'!$H$37&gt;='Contexte | CSS'!$AK13,'Contexte | CSS'!$H$37&lt;='Contexte | CSS'!$AL13),"Y"," ")</f>
        <v/>
      </c>
      <c r="G9" s="2457">
        <f>IF(AND('Contexte | CSS'!$H$37&gt;='Contexte | CSS'!$AK14,'Contexte | CSS'!$H$37&lt;='Contexte | CSS'!$AL14),"Y"," ")</f>
        <v/>
      </c>
      <c r="J9" s="55" t="n"/>
    </row>
    <row r="10">
      <c r="B10" t="inlineStr">
        <is>
          <t>Convergence des valeurs et méthodes éducatives</t>
        </is>
      </c>
      <c r="D10" s="2457" t="n"/>
      <c r="E10" s="2457" t="n"/>
      <c r="F10" s="2457" t="n"/>
      <c r="G10" s="2457" t="n"/>
    </row>
    <row r="11">
      <c r="B11" t="inlineStr">
        <is>
          <t>Comportements préjudiciables pour la coparentalité</t>
        </is>
      </c>
      <c r="D11" s="2457" t="n"/>
      <c r="E11" s="2457" t="n"/>
      <c r="F11" s="2457" t="n"/>
      <c r="G11" s="2457" t="n"/>
    </row>
    <row r="12">
      <c r="B12" t="inlineStr">
        <is>
          <t>Changement dans la relation des parents depuis la séparation</t>
        </is>
      </c>
      <c r="D12" s="2457" t="n"/>
      <c r="E12" s="2457" t="n"/>
      <c r="F12" s="2457" t="n"/>
      <c r="G12" s="2457" t="n"/>
    </row>
    <row r="13">
      <c r="D13" s="2457" t="n"/>
      <c r="E13" s="2457" t="n"/>
      <c r="F13" s="2457" t="n"/>
      <c r="G13" s="2457" t="n"/>
    </row>
    <row r="14">
      <c r="A14" t="inlineStr">
        <is>
          <t>B</t>
        </is>
      </c>
      <c r="B14" s="1804" t="inlineStr">
        <is>
          <t>Dynamique de comportements préjudiciables chez les parents</t>
        </is>
      </c>
      <c r="D14" s="2457" t="n"/>
      <c r="E14" s="2457" t="n"/>
      <c r="F14" s="2457" t="n"/>
      <c r="G14" s="245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56" min="1" max="1"/>
    <col width="10.83203125" customWidth="1" style="2456" min="2" max="2"/>
    <col width="88.6640625" customWidth="1" style="2456" min="3" max="3"/>
    <col width="9.6640625" customWidth="1" style="2456" min="4" max="11"/>
  </cols>
  <sheetData>
    <row r="1" ht="23" customHeight="1" s="2456">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56">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45" t="n"/>
      <c r="E21" s="2545" t="n"/>
      <c r="F21" s="2545" t="n"/>
      <c r="G21" s="2545" t="inlineStr">
        <is>
          <t>X</t>
        </is>
      </c>
      <c r="H21" s="2545" t="n"/>
      <c r="I21" s="2545" t="n"/>
      <c r="J21" s="2545" t="n"/>
      <c r="K21" s="2545" t="n"/>
    </row>
    <row r="22">
      <c r="C22" s="2096" t="inlineStr">
        <is>
          <t>Conseils sur la coparentalité en lien avec le rôle de chaque parent et de sa garde …</t>
        </is>
      </c>
      <c r="D22" s="2102" t="n"/>
      <c r="E22" s="2545" t="n"/>
      <c r="F22" s="2545" t="n"/>
      <c r="G22" s="2545" t="inlineStr">
        <is>
          <t>X</t>
        </is>
      </c>
      <c r="H22" s="2545" t="n"/>
      <c r="I22" s="2545" t="n"/>
      <c r="J22" s="2545" t="n"/>
      <c r="K22" s="2545" t="n"/>
    </row>
    <row r="23">
      <c r="C23" s="2096" t="inlineStr">
        <is>
          <t>Conseils sur la coparentalité et les conséquences sur l'enfant à qui l'on donne un rôle…</t>
        </is>
      </c>
      <c r="D23" s="2102" t="n"/>
      <c r="E23" s="2545" t="n"/>
      <c r="F23" s="2545" t="n"/>
      <c r="G23" s="2545" t="inlineStr">
        <is>
          <t>X</t>
        </is>
      </c>
      <c r="H23" s="2545" t="n"/>
      <c r="I23" s="2545" t="n"/>
      <c r="J23" s="2545" t="n"/>
      <c r="K23" s="2545" t="n"/>
    </row>
    <row r="24">
      <c r="C24" s="2096" t="inlineStr">
        <is>
          <t>Conseils sur la coparentalité dans un contexte d'un nouveau conjoint.e à bord…</t>
        </is>
      </c>
      <c r="D24" s="2102" t="n"/>
      <c r="E24" s="2545" t="n"/>
      <c r="F24" s="2545" t="n"/>
      <c r="G24" s="2545" t="inlineStr">
        <is>
          <t>X</t>
        </is>
      </c>
      <c r="H24" s="2545" t="n"/>
      <c r="I24" s="2545" t="n"/>
      <c r="J24" s="2545" t="n"/>
      <c r="K24" s="2545"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45" t="inlineStr">
        <is>
          <t>X</t>
        </is>
      </c>
      <c r="F26" s="2545" t="inlineStr">
        <is>
          <t>X</t>
        </is>
      </c>
      <c r="G26" s="2545" t="inlineStr">
        <is>
          <t>X</t>
        </is>
      </c>
      <c r="H26" s="2545" t="n"/>
      <c r="I26" s="2545" t="n"/>
      <c r="J26" s="2545" t="n"/>
      <c r="K26" s="2545" t="n"/>
    </row>
    <row r="27">
      <c r="C27" t="inlineStr">
        <is>
          <t>La valeur parentale de l'autre parent</t>
        </is>
      </c>
      <c r="D27" s="2102" t="n"/>
      <c r="E27" s="2545" t="inlineStr">
        <is>
          <t>X</t>
        </is>
      </c>
      <c r="F27" s="2545" t="n"/>
      <c r="G27" s="2545" t="inlineStr">
        <is>
          <t>X</t>
        </is>
      </c>
      <c r="H27" s="2545" t="n"/>
      <c r="I27" s="2545" t="n"/>
      <c r="J27" s="2545" t="n"/>
      <c r="K27" s="2545" t="n"/>
    </row>
    <row r="28">
      <c r="C28" t="inlineStr">
        <is>
          <t>Le rôle donné à l'enfant</t>
        </is>
      </c>
      <c r="D28" s="2102" t="n"/>
      <c r="E28" s="2545" t="inlineStr">
        <is>
          <t>X</t>
        </is>
      </c>
      <c r="F28" s="2545" t="n"/>
      <c r="G28" s="2545" t="inlineStr">
        <is>
          <t>X</t>
        </is>
      </c>
      <c r="H28" s="2545" t="n"/>
      <c r="I28" s="2545" t="n"/>
      <c r="J28" s="2545" t="n"/>
      <c r="K28" s="2545"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45" t="inlineStr">
        <is>
          <t>X</t>
        </is>
      </c>
      <c r="E30" s="2545" t="n"/>
      <c r="F30" s="2545" t="n"/>
      <c r="G30" s="2545" t="n"/>
      <c r="H30" s="2545" t="n"/>
      <c r="I30" s="2545" t="n"/>
      <c r="J30" s="2545" t="n"/>
      <c r="K30" s="2545" t="n"/>
    </row>
    <row r="31">
      <c r="C31" t="inlineStr">
        <is>
          <t>L'implication de l'enfant dans la coparentalité</t>
        </is>
      </c>
      <c r="D31" s="2545" t="inlineStr">
        <is>
          <t>X</t>
        </is>
      </c>
      <c r="E31" s="2545" t="n"/>
      <c r="F31" s="2545" t="n"/>
      <c r="G31" s="2545" t="n"/>
      <c r="H31" s="2545" t="n"/>
      <c r="I31" s="2545" t="n"/>
      <c r="J31" s="2545" t="n"/>
      <c r="K31" s="2545" t="n"/>
    </row>
    <row r="32">
      <c r="B32" s="2096" t="n"/>
      <c r="C32" s="2096" t="inlineStr">
        <is>
          <t>La liberté de l'enfant entre ses deux maisons</t>
        </is>
      </c>
      <c r="D32" s="2545" t="inlineStr">
        <is>
          <t>X</t>
        </is>
      </c>
      <c r="E32" s="2545" t="n"/>
      <c r="F32" s="2545" t="n"/>
      <c r="G32" s="2545" t="n"/>
      <c r="H32" s="2545" t="n"/>
      <c r="I32" s="2545" t="n"/>
      <c r="J32" s="2545" t="n"/>
      <c r="K32" s="2545"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45" t="n"/>
      <c r="E34" s="2545" t="n"/>
      <c r="F34" s="2545" t="n"/>
      <c r="G34" s="2545" t="n"/>
      <c r="H34" s="2545" t="n"/>
      <c r="I34" s="2545" t="n"/>
      <c r="J34" s="2545" t="inlineStr">
        <is>
          <t>X</t>
        </is>
      </c>
      <c r="K34" s="2545" t="n"/>
    </row>
    <row r="35">
      <c r="C35" s="2096" t="inlineStr">
        <is>
          <t>Le parent se cache derrière l'enfant</t>
        </is>
      </c>
      <c r="D35" s="2545" t="n"/>
      <c r="E35" s="2545" t="n"/>
      <c r="F35" s="2545" t="n"/>
      <c r="G35" s="2545" t="n"/>
      <c r="H35" s="2545" t="n"/>
      <c r="I35" s="2545" t="n"/>
      <c r="J35" s="2545" t="inlineStr">
        <is>
          <t>X</t>
        </is>
      </c>
      <c r="K35" s="2545" t="n"/>
    </row>
    <row r="36">
      <c r="C36" s="2096" t="inlineStr">
        <is>
          <t>La nouvelle famille de remplacement</t>
        </is>
      </c>
      <c r="D36" s="2545" t="inlineStr">
        <is>
          <t>X</t>
        </is>
      </c>
      <c r="E36" s="2545" t="n"/>
      <c r="F36" s="2545" t="n"/>
      <c r="G36" s="2545" t="n"/>
      <c r="H36" s="2545" t="n"/>
      <c r="I36" s="2545" t="n"/>
      <c r="J36" s="2545" t="n"/>
      <c r="K36" s="2545" t="n"/>
    </row>
    <row r="37">
      <c r="C37" s="2096" t="inlineStr">
        <is>
          <t>Le coparent vous retire vos privilèges parentaux</t>
        </is>
      </c>
      <c r="D37" s="2545" t="n"/>
      <c r="E37" s="2545" t="n"/>
      <c r="F37" s="2545" t="inlineStr">
        <is>
          <t>X</t>
        </is>
      </c>
      <c r="G37" s="2545" t="n"/>
      <c r="H37" s="2545" t="n"/>
      <c r="I37" s="2545" t="n"/>
      <c r="J37" s="2545" t="n"/>
      <c r="K37" s="2545" t="n"/>
    </row>
    <row r="38">
      <c r="C38" s="2096" t="inlineStr">
        <is>
          <t>Le coparent s'approprie l'enfant</t>
        </is>
      </c>
      <c r="D38" s="2545" t="n"/>
      <c r="E38" s="2545" t="n"/>
      <c r="F38" s="2545" t="n"/>
      <c r="G38" s="2545" t="n"/>
      <c r="H38" s="2545" t="n"/>
      <c r="I38" s="2545" t="n"/>
      <c r="J38" s="2545" t="inlineStr">
        <is>
          <t>X</t>
        </is>
      </c>
      <c r="K38" s="2545" t="n"/>
    </row>
    <row r="39">
      <c r="B39" s="1807" t="inlineStr">
        <is>
          <t>Changement dans les relations</t>
        </is>
      </c>
      <c r="C39" s="1807" t="n"/>
      <c r="D39" s="2111" t="n"/>
      <c r="E39" s="2111" t="n"/>
      <c r="F39" s="2111" t="n"/>
      <c r="G39" s="2111" t="n"/>
      <c r="H39" s="2111" t="n"/>
      <c r="I39" s="2111" t="n"/>
      <c r="J39" s="2111" t="n"/>
      <c r="K39" s="2111" t="n"/>
    </row>
    <row r="40">
      <c r="D40" s="2545" t="n"/>
      <c r="E40" s="2545" t="n"/>
      <c r="F40" s="2545" t="n"/>
      <c r="G40" s="2545" t="n"/>
      <c r="H40" s="2545" t="n"/>
      <c r="I40" s="2545" t="n"/>
      <c r="J40" s="2545" t="n"/>
      <c r="K40" s="2545" t="n"/>
    </row>
    <row r="41">
      <c r="D41" s="2545" t="n"/>
      <c r="E41" s="2545" t="n"/>
      <c r="F41" s="2545" t="n"/>
      <c r="G41" s="2545" t="n"/>
      <c r="H41" s="2545" t="n"/>
      <c r="I41" s="2545" t="n"/>
      <c r="J41" s="2545" t="n"/>
      <c r="K41" s="2545" t="n"/>
    </row>
    <row r="42">
      <c r="D42" s="2545" t="n"/>
      <c r="E42" s="2545" t="n"/>
      <c r="F42" s="2545" t="n"/>
      <c r="G42" s="2545" t="n"/>
      <c r="H42" s="2545" t="n"/>
      <c r="I42" s="2545" t="n"/>
      <c r="J42" s="2545" t="n"/>
      <c r="K42" s="2545" t="n"/>
    </row>
    <row r="43">
      <c r="D43" s="2545" t="n"/>
      <c r="E43" s="2545" t="n"/>
      <c r="F43" s="2545" t="n"/>
      <c r="G43" s="2545" t="n"/>
      <c r="H43" s="2545" t="n"/>
      <c r="I43" s="2545" t="n"/>
      <c r="J43" s="2545" t="n"/>
      <c r="K43" s="2545" t="n"/>
    </row>
    <row r="44">
      <c r="D44" s="2545" t="n"/>
      <c r="E44" s="2545" t="n"/>
      <c r="F44" s="2545" t="n"/>
      <c r="G44" s="2545" t="n"/>
      <c r="H44" s="2545" t="n"/>
      <c r="I44" s="2545" t="n"/>
      <c r="J44" s="2545" t="n"/>
      <c r="K44" s="2545" t="n"/>
    </row>
    <row r="45">
      <c r="D45" s="2545" t="n"/>
      <c r="E45" s="2545" t="n"/>
      <c r="F45" s="2545" t="n"/>
      <c r="G45" s="2545" t="n"/>
      <c r="H45" s="2545" t="n"/>
      <c r="I45" s="2545" t="n"/>
      <c r="J45" s="2545" t="n"/>
      <c r="K45" s="2545" t="n"/>
    </row>
    <row r="46">
      <c r="D46" s="2545" t="n"/>
      <c r="E46" s="2545" t="n"/>
      <c r="F46" s="2545" t="n"/>
      <c r="G46" s="2545" t="n"/>
      <c r="H46" s="2545" t="n"/>
      <c r="I46" s="2545" t="n"/>
      <c r="J46" s="2545" t="n"/>
      <c r="K46" s="2545" t="n"/>
    </row>
    <row r="47">
      <c r="D47" s="2545" t="n"/>
      <c r="E47" s="2545" t="n"/>
      <c r="F47" s="2545" t="n"/>
      <c r="G47" s="2545" t="n"/>
      <c r="H47" s="2545" t="n"/>
      <c r="I47" s="2545" t="n"/>
      <c r="J47" s="2545" t="n"/>
      <c r="K47" s="2545"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9" customHeight="1" s="2456">
      <c r="A1" s="429" t="inlineStr">
        <is>
          <t>Bilan de la situation selon diverses échelles</t>
        </is>
      </c>
      <c r="B1" s="429" t="n"/>
      <c r="C1" s="429" t="n"/>
      <c r="D1" s="429" t="n"/>
    </row>
    <row r="2" ht="29" customHeight="1" s="2456">
      <c r="A2" s="429" t="n"/>
      <c r="B2" s="429" t="n"/>
      <c r="C2" s="429" t="n"/>
      <c r="D2" s="429" t="n"/>
    </row>
    <row r="3" ht="29" customHeight="1" s="2456">
      <c r="A3" s="748" t="inlineStr">
        <is>
          <t>Indice de comportements aliénants</t>
        </is>
      </c>
      <c r="B3" s="429" t="n"/>
      <c r="C3" s="429" t="n"/>
      <c r="D3" s="429" t="n"/>
      <c r="O3" s="759" t="inlineStr">
        <is>
          <t>Catégorie et nature des comportements</t>
        </is>
      </c>
      <c r="AA3" s="2457"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7">
        <f>Test_Bible!AK433</f>
        <v/>
      </c>
    </row>
    <row r="8" ht="30" customHeight="1" s="2456">
      <c r="E8" s="746" t="inlineStr">
        <is>
          <t>Sévérité</t>
        </is>
      </c>
      <c r="F8" s="745" t="n"/>
      <c r="G8" s="57" t="n"/>
      <c r="H8" s="57" t="n"/>
      <c r="I8" s="2458"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56">
      <c r="L14" s="964" t="n"/>
      <c r="U14" s="415" t="inlineStr">
        <is>
          <t>Rôle actif, Réponse au CC</t>
        </is>
      </c>
      <c r="V14" s="1257">
        <f>Test_Bible!AR433</f>
        <v/>
      </c>
      <c r="Z14" s="427" t="inlineStr">
        <is>
          <t>Altération/dévoiement de la réalité</t>
        </is>
      </c>
    </row>
    <row r="15" ht="27" customHeight="1" s="2456">
      <c r="I15" s="465">
        <f>IF(AND(Test_Bible!$V$427&lt;=Test_Bible!$AC$427,Test_Bible!$V$427&gt;Test_Bible!$AB$427),Test_Bible!AC428,"")</f>
        <v/>
      </c>
      <c r="L15" s="2559" t="n"/>
      <c r="Z15" s="427" t="inlineStr">
        <is>
          <t>Chantage affectif, loyauté, manipulation</t>
        </is>
      </c>
    </row>
    <row r="16" ht="27" customHeight="1" s="2456">
      <c r="I16" s="455">
        <f>IF(AND(Test_Bible!$V$427&lt;=Test_Bible!$AB$427,Test_Bible!$V$427&gt;Test_Bible!$AA$427),Test_Bible!AB428,"")</f>
        <v/>
      </c>
      <c r="L16" s="2559" t="n"/>
      <c r="Z16" s="415" t="inlineStr">
        <is>
          <t>Dénigrement</t>
        </is>
      </c>
    </row>
    <row r="17" ht="27" customHeight="1" s="2456">
      <c r="I17" s="92">
        <f>IF(AND(Test_Bible!$V$427&lt;=Test_Bible!$AA$427,Test_Bible!$V$427&gt;Test_Bible!$Z$427),Test_Bible!AA428,"")</f>
        <v/>
      </c>
      <c r="L17" s="2559" t="n"/>
      <c r="Z17" s="415" t="inlineStr">
        <is>
          <t>Interférence temps et/ou communication</t>
        </is>
      </c>
    </row>
    <row r="18" ht="27" customHeight="1" s="2456">
      <c r="I18" s="456">
        <f>IF(AND(Test_Bible!$V$427&lt;=Test_Bible!$Z$427,Test_Bible!$V$427&gt;Test_Bible!$Y$427),Test_Bible!Z428,"")</f>
        <v/>
      </c>
      <c r="L18" s="2559" t="n"/>
      <c r="Z18" s="415" t="inlineStr">
        <is>
          <t>Interférence lien affectif ou symbolique</t>
        </is>
      </c>
    </row>
    <row r="19" ht="27" customHeight="1" s="2456">
      <c r="I19" s="457">
        <f>IF(AND(Test_Bible!$V$427&lt;=Test_Bible!$Y$427,Test_Bible!$V$427&lt;&gt;0),Test_Bible!Y428,"")</f>
        <v/>
      </c>
      <c r="L19" s="2559" t="n"/>
      <c r="V19" s="93" t="n"/>
      <c r="W19" s="93" t="inlineStr">
        <is>
          <t>Nature des comportements</t>
        </is>
      </c>
      <c r="X19" s="406" t="n"/>
      <c r="Z19" s="415" t="inlineStr">
        <is>
          <t>Parentification</t>
        </is>
      </c>
    </row>
    <row r="20" ht="27" customHeight="1" s="2456">
      <c r="I20" s="83" t="n"/>
      <c r="L20" s="2559"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56">
      <c r="A23" s="1312" t="inlineStr">
        <is>
          <t>Facteur d'exclusion :</t>
        </is>
      </c>
      <c r="B23" s="45" t="n"/>
      <c r="C23" s="45" t="n"/>
      <c r="D23" s="36">
        <f>'Indice D''exclusion'!#REF!</f>
        <v/>
      </c>
    </row>
    <row r="24" ht="19" customHeight="1" s="2456">
      <c r="U24" s="407" t="n"/>
      <c r="V24" s="93" t="n"/>
      <c r="W24" s="93" t="inlineStr">
        <is>
          <t>Nature</t>
        </is>
      </c>
      <c r="X24" s="406" t="n"/>
    </row>
    <row r="25" ht="24" customHeight="1" s="2456">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4" customHeight="1" s="2456">
      <c r="A32" s="36" t="n"/>
      <c r="B32" s="36" t="n"/>
      <c r="C32" s="36" t="n"/>
      <c r="D32" s="36" t="n"/>
    </row>
    <row r="33" ht="24"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56">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56">
      <c r="A50" s="429" t="n"/>
      <c r="B50" s="429" t="n"/>
      <c r="C50" s="429" t="n"/>
      <c r="D50" s="429" t="n"/>
    </row>
    <row r="51" ht="29" customHeight="1" s="2456">
      <c r="A51" s="748" t="n"/>
      <c r="B51" s="429" t="n"/>
      <c r="C51" s="429" t="n"/>
      <c r="D51" s="429" t="n"/>
    </row>
    <row r="52" ht="40" customHeight="1" s="2456">
      <c r="A52" s="760" t="inlineStr">
        <is>
          <t>Les comportements aliénants qui ont de l'impact sur l'enfant</t>
        </is>
      </c>
      <c r="B52" s="429" t="n"/>
      <c r="C52" s="429" t="n"/>
      <c r="D52" s="429" t="n"/>
    </row>
    <row r="53" ht="19" customHeight="1" s="2456">
      <c r="A53" t="inlineStr">
        <is>
          <t>SUJET</t>
        </is>
      </c>
      <c r="E53" s="2525" t="inlineStr">
        <is>
          <t>Score A-R</t>
        </is>
      </c>
      <c r="G53" s="2455" t="inlineStr">
        <is>
          <t>Devant les comportements aliénants du PF, l'enfant répond :</t>
        </is>
      </c>
      <c r="M53" s="2460" t="inlineStr">
        <is>
          <t>L'enfant présente les comportements suivants sans signe de la participation du PFA :</t>
        </is>
      </c>
      <c r="S53" s="2459" t="inlineStr">
        <is>
          <t>L'enfant ne semble pas répondre aux comportements suivant du PFA :</t>
        </is>
      </c>
      <c r="W53" s="750" t="n"/>
    </row>
    <row r="54" ht="27" customHeight="1" s="2456">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2">
        <f>'Modèle Calcul A-R + Sommaire'!BF10</f>
        <v/>
      </c>
      <c r="N54" s="2453" t="n"/>
      <c r="O54" s="2453" t="n"/>
      <c r="P54" s="2453" t="n"/>
      <c r="Q54" s="2453" t="n"/>
      <c r="R54" s="1433">
        <f>'Modèle Calcul A-R + Sommaire'!BG10</f>
        <v/>
      </c>
      <c r="S54" s="2452">
        <f>'Modèle Calcul A-R + Sommaire'!BI10</f>
        <v/>
      </c>
      <c r="T54" s="2453" t="n"/>
      <c r="U54" s="2453" t="n"/>
      <c r="V54" s="2453" t="n"/>
      <c r="W54" s="751" t="n"/>
      <c r="X54" s="751" t="n"/>
    </row>
    <row r="55" ht="38" customHeight="1" s="2456">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49">
        <f>'Modèle Calcul A-R + Sommaire'!BF11</f>
        <v/>
      </c>
      <c r="N55" s="2450" t="n"/>
      <c r="O55" s="2450" t="n"/>
      <c r="P55" s="2450" t="n"/>
      <c r="Q55" s="2450" t="n"/>
      <c r="R55" s="1440">
        <f>'Modèle Calcul A-R + Sommaire'!BG11</f>
        <v/>
      </c>
      <c r="S55" s="2449">
        <f>'Modèle Calcul A-R + Sommaire'!BI11</f>
        <v/>
      </c>
      <c r="T55" s="2450" t="n"/>
      <c r="U55" s="2450" t="n"/>
      <c r="V55" s="2450" t="n"/>
      <c r="W55" s="751" t="n"/>
      <c r="X55" s="751" t="n"/>
    </row>
    <row r="56" ht="37" customHeight="1" s="2456">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49">
        <f>'Modèle Calcul A-R + Sommaire'!BF12</f>
        <v/>
      </c>
      <c r="N56" s="2450" t="n"/>
      <c r="O56" s="2450" t="n"/>
      <c r="P56" s="2450" t="n"/>
      <c r="Q56" s="2450" t="n"/>
      <c r="R56" s="1440">
        <f>'Modèle Calcul A-R + Sommaire'!BG12</f>
        <v/>
      </c>
      <c r="S56" s="2449">
        <f>'Modèle Calcul A-R + Sommaire'!BI12</f>
        <v/>
      </c>
      <c r="T56" s="2450" t="n"/>
      <c r="U56" s="2450" t="n"/>
      <c r="V56" s="2450" t="n"/>
      <c r="W56" s="751" t="n"/>
      <c r="X56" s="751" t="n"/>
    </row>
    <row r="57" ht="29" customHeight="1" s="2456">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49">
        <f>'Modèle Calcul A-R + Sommaire'!BF13</f>
        <v/>
      </c>
      <c r="N57" s="2450" t="n"/>
      <c r="O57" s="2450" t="n"/>
      <c r="P57" s="2450" t="n"/>
      <c r="Q57" s="2450" t="n"/>
      <c r="R57" s="1440">
        <f>'Modèle Calcul A-R + Sommaire'!BG13</f>
        <v/>
      </c>
      <c r="S57" s="2449">
        <f>'Modèle Calcul A-R + Sommaire'!BI13</f>
        <v/>
      </c>
      <c r="T57" s="2450" t="n"/>
      <c r="U57" s="2450" t="n"/>
      <c r="V57" s="2450" t="n"/>
      <c r="W57" s="751" t="n"/>
      <c r="X57" s="751" t="n"/>
    </row>
    <row r="58" ht="29" customHeight="1" s="2456">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49">
        <f>'Modèle Calcul A-R + Sommaire'!BF14</f>
        <v/>
      </c>
      <c r="N58" s="2450" t="n"/>
      <c r="O58" s="2450" t="n"/>
      <c r="P58" s="2450" t="n"/>
      <c r="Q58" s="2450" t="n"/>
      <c r="R58" s="1440">
        <f>'Modèle Calcul A-R + Sommaire'!BG14</f>
        <v/>
      </c>
      <c r="S58" s="2449">
        <f>'Modèle Calcul A-R + Sommaire'!BI14</f>
        <v/>
      </c>
      <c r="T58" s="2450" t="n"/>
      <c r="U58" s="2450" t="n"/>
      <c r="V58" s="2450" t="n"/>
      <c r="W58" s="751" t="n"/>
      <c r="X58" s="751" t="n"/>
    </row>
    <row r="59" ht="29" customHeight="1" s="2456">
      <c r="A59" s="1437">
        <f>'Modèle Calcul A-R + Sommaire'!AY15</f>
        <v/>
      </c>
      <c r="B59" s="1438" t="n"/>
      <c r="C59" s="1438" t="n"/>
      <c r="D59" s="1438" t="n"/>
      <c r="E59" s="1439">
        <f>'Modèle Calcul A-R + Sommaire'!BB15</f>
        <v/>
      </c>
      <c r="F59" s="1440">
        <f>'Modèle Calcul A-R + Sommaire'!BA15</f>
        <v/>
      </c>
      <c r="G59" s="2449">
        <f>'Modèle Calcul A-R + Sommaire'!BC15</f>
        <v/>
      </c>
      <c r="H59" s="2450" t="n"/>
      <c r="I59" s="2450" t="n"/>
      <c r="J59" s="2450" t="n"/>
      <c r="K59" s="2450" t="n"/>
      <c r="L59" s="1443">
        <f>'Modèle Calcul A-R + Sommaire'!BD15</f>
        <v/>
      </c>
      <c r="M59" s="2449">
        <f>'Modèle Calcul A-R + Sommaire'!BF15</f>
        <v/>
      </c>
      <c r="N59" s="2450" t="n"/>
      <c r="O59" s="2450" t="n"/>
      <c r="P59" s="2450" t="n"/>
      <c r="Q59" s="2450" t="n"/>
      <c r="R59" s="1440">
        <f>'Modèle Calcul A-R + Sommaire'!BG15</f>
        <v/>
      </c>
      <c r="S59" s="2449">
        <f>'Modèle Calcul A-R + Sommaire'!BI15</f>
        <v/>
      </c>
      <c r="T59" s="2450" t="n"/>
      <c r="U59" s="2450" t="n"/>
      <c r="V59" s="2450" t="n"/>
      <c r="W59" s="751" t="n"/>
      <c r="X59" s="751" t="n"/>
    </row>
    <row r="60" ht="29" customHeight="1" s="2456">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49">
        <f>'Modèle Calcul A-R + Sommaire'!BF16</f>
        <v/>
      </c>
      <c r="N60" s="2450" t="n"/>
      <c r="O60" s="2450" t="n"/>
      <c r="P60" s="2450" t="n"/>
      <c r="Q60" s="2450" t="n"/>
      <c r="R60" s="1440">
        <f>'Modèle Calcul A-R + Sommaire'!BG16</f>
        <v/>
      </c>
      <c r="S60" s="2449">
        <f>'Modèle Calcul A-R + Sommaire'!BI16</f>
        <v/>
      </c>
      <c r="T60" s="2450" t="n"/>
      <c r="U60" s="2450" t="n"/>
      <c r="V60" s="2450" t="n"/>
      <c r="W60" s="751" t="n"/>
      <c r="X60" s="751" t="n"/>
    </row>
    <row r="61" ht="29" customHeight="1" s="2456">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49">
        <f>'Modèle Calcul A-R + Sommaire'!BF17</f>
        <v/>
      </c>
      <c r="N61" s="2450" t="n"/>
      <c r="O61" s="2450" t="n"/>
      <c r="P61" s="2450" t="n"/>
      <c r="Q61" s="2450" t="n"/>
      <c r="R61" s="1440">
        <f>'Modèle Calcul A-R + Sommaire'!BG17</f>
        <v/>
      </c>
      <c r="S61" s="2449">
        <f>'Modèle Calcul A-R + Sommaire'!BI17</f>
        <v/>
      </c>
      <c r="T61" s="2450" t="n"/>
      <c r="U61" s="2450" t="n"/>
      <c r="V61" s="2450" t="n"/>
      <c r="W61" s="751" t="n"/>
      <c r="X61" s="751" t="n"/>
    </row>
    <row r="62" ht="29" customHeight="1" s="2456">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49">
        <f>'Modèle Calcul A-R + Sommaire'!BF18</f>
        <v/>
      </c>
      <c r="N62" s="2450" t="n"/>
      <c r="O62" s="2450" t="n"/>
      <c r="P62" s="2450" t="n"/>
      <c r="Q62" s="2450" t="n"/>
      <c r="R62" s="1440">
        <f>'Modèle Calcul A-R + Sommaire'!BG18</f>
        <v/>
      </c>
      <c r="S62" s="2449">
        <f>'Modèle Calcul A-R + Sommaire'!BI18</f>
        <v/>
      </c>
      <c r="T62" s="2450" t="n"/>
      <c r="U62" s="2450" t="n"/>
      <c r="V62" s="2450" t="n"/>
      <c r="W62" s="751" t="n"/>
      <c r="X62" s="751" t="n"/>
    </row>
    <row r="63" ht="29" customHeight="1" s="2456">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49">
        <f>'Modèle Calcul A-R + Sommaire'!BF19</f>
        <v/>
      </c>
      <c r="N63" s="2450" t="n"/>
      <c r="O63" s="2450" t="n"/>
      <c r="P63" s="2450" t="n"/>
      <c r="Q63" s="2450" t="n"/>
      <c r="R63" s="1440">
        <f>'Modèle Calcul A-R + Sommaire'!BG19</f>
        <v/>
      </c>
      <c r="S63" s="2449">
        <f>'Modèle Calcul A-R + Sommaire'!BI19</f>
        <v/>
      </c>
      <c r="T63" s="2450" t="n"/>
      <c r="U63" s="2450" t="n"/>
      <c r="V63" s="2450" t="n"/>
      <c r="W63" s="751" t="n"/>
      <c r="X63" s="751" t="n"/>
    </row>
    <row r="64" ht="29" customHeight="1" s="2456">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49">
        <f>'Modèle Calcul A-R + Sommaire'!BF20</f>
        <v/>
      </c>
      <c r="N64" s="2450" t="n"/>
      <c r="O64" s="2450" t="n"/>
      <c r="P64" s="2450" t="n"/>
      <c r="Q64" s="2450" t="n"/>
      <c r="R64" s="1440">
        <f>'Modèle Calcul A-R + Sommaire'!BG20</f>
        <v/>
      </c>
      <c r="S64" s="2449">
        <f>'Modèle Calcul A-R + Sommaire'!BI20</f>
        <v/>
      </c>
      <c r="T64" s="2450" t="n"/>
      <c r="U64" s="2450" t="n"/>
      <c r="V64" s="2450" t="n"/>
      <c r="W64" s="751" t="n"/>
      <c r="X64" s="751" t="n"/>
    </row>
    <row r="65" ht="29" customHeight="1" s="2456">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49">
        <f>'Modèle Calcul A-R + Sommaire'!BF21</f>
        <v/>
      </c>
      <c r="N65" s="2450" t="n"/>
      <c r="O65" s="2450" t="n"/>
      <c r="P65" s="2450" t="n"/>
      <c r="Q65" s="2450" t="n"/>
      <c r="R65" s="1440">
        <f>'Modèle Calcul A-R + Sommaire'!BG21</f>
        <v/>
      </c>
      <c r="S65" s="2449">
        <f>'Modèle Calcul A-R + Sommaire'!BI21</f>
        <v/>
      </c>
      <c r="T65" s="2450" t="n"/>
      <c r="U65" s="2450" t="n"/>
      <c r="V65" s="2450" t="n"/>
      <c r="W65" s="751" t="n"/>
      <c r="X65" s="751" t="n"/>
    </row>
    <row r="66" ht="29" customHeight="1" s="2456">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49">
        <f>'Modèle Calcul A-R + Sommaire'!BF22</f>
        <v/>
      </c>
      <c r="N66" s="2450" t="n"/>
      <c r="O66" s="2450" t="n"/>
      <c r="P66" s="2450" t="n"/>
      <c r="Q66" s="2450" t="n"/>
      <c r="R66" s="1440">
        <f>'Modèle Calcul A-R + Sommaire'!BG22</f>
        <v/>
      </c>
      <c r="S66" s="2449">
        <f>'Modèle Calcul A-R + Sommaire'!BI22</f>
        <v/>
      </c>
      <c r="T66" s="2450" t="n"/>
      <c r="U66" s="2450" t="n"/>
      <c r="V66" s="2450" t="n"/>
      <c r="W66" s="751" t="n"/>
      <c r="X66" s="751" t="n"/>
    </row>
    <row r="67" ht="29" customHeight="1" s="2456">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49">
        <f>'Modèle Calcul A-R + Sommaire'!BF23</f>
        <v/>
      </c>
      <c r="N67" s="2450" t="n"/>
      <c r="O67" s="2450" t="n"/>
      <c r="P67" s="2450" t="n"/>
      <c r="Q67" s="2450" t="n"/>
      <c r="R67" s="1440">
        <f>'Modèle Calcul A-R + Sommaire'!BG23</f>
        <v/>
      </c>
      <c r="S67" s="2449">
        <f>'Modèle Calcul A-R + Sommaire'!BI23</f>
        <v/>
      </c>
      <c r="T67" s="2450" t="n"/>
      <c r="U67" s="2450" t="n"/>
      <c r="V67" s="2450" t="n"/>
      <c r="W67" s="751" t="n"/>
      <c r="X67" s="751" t="n"/>
    </row>
    <row r="68" ht="36" customHeight="1" s="2456">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49">
        <f>'Modèle Calcul A-R + Sommaire'!BF24</f>
        <v/>
      </c>
      <c r="N68" s="2450" t="n"/>
      <c r="O68" s="2450" t="n"/>
      <c r="P68" s="2450" t="n"/>
      <c r="Q68" s="2450" t="n"/>
      <c r="R68" s="1440">
        <f>'Modèle Calcul A-R + Sommaire'!BG24</f>
        <v/>
      </c>
      <c r="S68" s="2449">
        <f>'Modèle Calcul A-R + Sommaire'!BI24</f>
        <v/>
      </c>
      <c r="T68" s="2450" t="n"/>
      <c r="U68" s="2450" t="n"/>
      <c r="V68" s="2450" t="n"/>
      <c r="W68" s="751" t="n"/>
      <c r="X68" s="751" t="n"/>
    </row>
    <row r="69" ht="39" customHeight="1" s="2456">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49">
        <f>'Modèle Calcul A-R + Sommaire'!BF25</f>
        <v/>
      </c>
      <c r="N69" s="2450" t="n"/>
      <c r="O69" s="2450" t="n"/>
      <c r="P69" s="2450" t="n"/>
      <c r="Q69" s="2450" t="n"/>
      <c r="R69" s="1440">
        <f>'Modèle Calcul A-R + Sommaire'!BG25</f>
        <v/>
      </c>
      <c r="S69" s="2449">
        <f>'Modèle Calcul A-R + Sommaire'!BI25</f>
        <v/>
      </c>
      <c r="T69" s="2450" t="n"/>
      <c r="U69" s="2450" t="n"/>
      <c r="V69" s="2450" t="n"/>
      <c r="W69" s="751" t="n"/>
      <c r="X69" s="751" t="n"/>
    </row>
    <row r="70" ht="29" customHeight="1" s="2456">
      <c r="A70" s="2450">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1">
        <f>'Modèle Calcul A-R + Sommaire'!BF26</f>
        <v/>
      </c>
      <c r="N70" s="2450" t="n"/>
      <c r="O70" s="2450" t="n"/>
      <c r="P70" s="2450" t="n"/>
      <c r="Q70" s="2450" t="n"/>
      <c r="R70" s="755">
        <f>'Modèle Calcul A-R + Sommaire'!BG26</f>
        <v/>
      </c>
      <c r="S70" s="2451">
        <f>'Modèle Calcul A-R + Sommaire'!BI26</f>
        <v/>
      </c>
      <c r="T70" s="2450" t="n"/>
      <c r="U70" s="2450" t="n"/>
      <c r="V70" s="2450" t="n"/>
      <c r="W70" s="751" t="n"/>
      <c r="X70" s="751" t="n"/>
    </row>
    <row r="71" ht="29" customHeight="1" s="2456">
      <c r="A71" s="2450">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1">
        <f>'Modèle Calcul A-R + Sommaire'!BF27</f>
        <v/>
      </c>
      <c r="N71" s="2450" t="n"/>
      <c r="O71" s="2450" t="n"/>
      <c r="P71" s="2450" t="n"/>
      <c r="Q71" s="2450" t="n"/>
      <c r="R71" s="755">
        <f>'Modèle Calcul A-R + Sommaire'!BG27</f>
        <v/>
      </c>
      <c r="S71" s="2451">
        <f>'Modèle Calcul A-R + Sommaire'!BI27</f>
        <v/>
      </c>
      <c r="T71" s="2450" t="n"/>
      <c r="U71" s="2450" t="n"/>
      <c r="V71" s="2450" t="n"/>
      <c r="W71" s="751" t="n"/>
      <c r="X71" s="751" t="n"/>
    </row>
    <row r="72" ht="29" customHeight="1" s="2456">
      <c r="A72" s="2450">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1">
        <f>'Modèle Calcul A-R + Sommaire'!BF28</f>
        <v/>
      </c>
      <c r="N72" s="2450" t="n"/>
      <c r="O72" s="2450" t="n"/>
      <c r="P72" s="2450" t="n"/>
      <c r="Q72" s="2450" t="n"/>
      <c r="R72" s="755">
        <f>'Modèle Calcul A-R + Sommaire'!BG28</f>
        <v/>
      </c>
      <c r="S72" s="2451">
        <f>'Modèle Calcul A-R + Sommaire'!BI28</f>
        <v/>
      </c>
      <c r="T72" s="2450" t="n"/>
      <c r="U72" s="2450" t="n"/>
      <c r="V72" s="2450" t="n"/>
      <c r="W72" s="751" t="n"/>
      <c r="X72" s="751" t="n"/>
    </row>
    <row r="73" ht="29" customHeight="1" s="2456">
      <c r="A73" s="2450">
        <f>'Modèle Calcul A-R + Sommaire'!AY29</f>
        <v/>
      </c>
      <c r="B73" s="753" t="n"/>
      <c r="C73" s="753" t="n"/>
      <c r="D73" s="753" t="n"/>
      <c r="E73" s="754">
        <f>'Modèle Calcul A-R + Sommaire'!BB29</f>
        <v/>
      </c>
      <c r="F73" s="755">
        <f>'Modèle Calcul A-R + Sommaire'!BA29</f>
        <v/>
      </c>
      <c r="G73" s="2451">
        <f>'Modèle Calcul A-R + Sommaire'!BC29</f>
        <v/>
      </c>
      <c r="H73" s="2450" t="n"/>
      <c r="I73" s="2450" t="n"/>
      <c r="J73" s="2450" t="n"/>
      <c r="K73" s="2450" t="n"/>
      <c r="L73" s="758">
        <f>'Modèle Calcul A-R + Sommaire'!BD29</f>
        <v/>
      </c>
      <c r="M73" s="2454">
        <f>'Modèle Calcul A-R + Sommaire'!BF29</f>
        <v/>
      </c>
      <c r="N73" s="2450" t="n"/>
      <c r="O73" s="2450" t="n"/>
      <c r="P73" s="2450" t="n"/>
      <c r="Q73" s="2450" t="n"/>
      <c r="R73" s="755">
        <f>'Modèle Calcul A-R + Sommaire'!BG29</f>
        <v/>
      </c>
      <c r="S73" s="2451">
        <f>'Modèle Calcul A-R + Sommaire'!BI29</f>
        <v/>
      </c>
      <c r="T73" s="2450" t="n"/>
      <c r="U73" s="2450" t="n"/>
      <c r="V73" s="2450" t="n"/>
      <c r="W73" s="751" t="n"/>
      <c r="X73" s="751" t="n"/>
    </row>
    <row r="74" ht="29" customHeight="1" s="2456">
      <c r="A74" s="2450">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1">
        <f>'Modèle Calcul A-R + Sommaire'!BF30</f>
        <v/>
      </c>
      <c r="N74" s="2450" t="n"/>
      <c r="O74" s="2450" t="n"/>
      <c r="P74" s="2450" t="n"/>
      <c r="Q74" s="2450" t="n"/>
      <c r="R74" s="755">
        <f>'Modèle Calcul A-R + Sommaire'!BG30</f>
        <v/>
      </c>
      <c r="S74" s="2451">
        <f>'Modèle Calcul A-R + Sommaire'!BI30</f>
        <v/>
      </c>
      <c r="T74" s="2450" t="n"/>
      <c r="U74" s="2450" t="n"/>
      <c r="V74" s="2450" t="n"/>
      <c r="W74" s="751" t="n"/>
      <c r="X74" s="751" t="n"/>
    </row>
    <row r="75" ht="29" customHeight="1" s="2456">
      <c r="A75" s="2450">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54">
        <f>'Modèle Calcul A-R + Sommaire'!BF31</f>
        <v/>
      </c>
      <c r="N75" s="2450" t="n"/>
      <c r="O75" s="2450" t="n"/>
      <c r="P75" s="2450" t="n"/>
      <c r="Q75" s="2450" t="n"/>
      <c r="R75" s="755">
        <f>'Modèle Calcul A-R + Sommaire'!BG31</f>
        <v/>
      </c>
      <c r="S75" s="2451">
        <f>'Modèle Calcul A-R + Sommaire'!BI31</f>
        <v/>
      </c>
      <c r="T75" s="2450" t="n"/>
      <c r="U75" s="2450" t="n"/>
      <c r="V75" s="2450" t="n"/>
      <c r="W75" s="751" t="n"/>
      <c r="X75" s="751" t="n"/>
    </row>
    <row r="76" ht="29" customHeight="1" s="2456">
      <c r="A76" s="2450">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1">
        <f>'Modèle Calcul A-R + Sommaire'!BF32</f>
        <v/>
      </c>
      <c r="N76" s="2450" t="n"/>
      <c r="O76" s="2450" t="n"/>
      <c r="P76" s="2450" t="n"/>
      <c r="Q76" s="2450" t="n"/>
      <c r="R76" s="755">
        <f>'Modèle Calcul A-R + Sommaire'!BG32</f>
        <v/>
      </c>
      <c r="S76" s="2451">
        <f>'Modèle Calcul A-R + Sommaire'!BI32</f>
        <v/>
      </c>
      <c r="T76" s="2450" t="n"/>
      <c r="U76" s="2450" t="n"/>
      <c r="V76" s="2450" t="n"/>
      <c r="W76" s="751" t="n"/>
      <c r="X76" s="751" t="n"/>
    </row>
    <row r="77" ht="29" customHeight="1" s="2456">
      <c r="A77" s="2450">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1">
        <f>'Modèle Calcul A-R + Sommaire'!BF33</f>
        <v/>
      </c>
      <c r="N77" s="2450" t="n"/>
      <c r="O77" s="2450" t="n"/>
      <c r="P77" s="2450" t="n"/>
      <c r="Q77" s="2450" t="n"/>
      <c r="R77" s="755">
        <f>'Modèle Calcul A-R + Sommaire'!BG33</f>
        <v/>
      </c>
      <c r="S77" s="2451">
        <f>'Modèle Calcul A-R + Sommaire'!BI33</f>
        <v/>
      </c>
      <c r="T77" s="2450" t="n"/>
      <c r="U77" s="2450" t="n"/>
      <c r="V77" s="2450" t="n"/>
      <c r="W77" s="751" t="n"/>
      <c r="X77" s="751" t="n"/>
    </row>
    <row r="78" ht="29" customHeight="1" s="2456">
      <c r="A78" s="2450">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1">
        <f>'Modèle Calcul A-R + Sommaire'!BF34</f>
        <v/>
      </c>
      <c r="N78" s="2450" t="n"/>
      <c r="O78" s="2450" t="n"/>
      <c r="P78" s="2450" t="n"/>
      <c r="Q78" s="2450" t="n"/>
      <c r="R78" s="755">
        <f>'Modèle Calcul A-R + Sommaire'!BG34</f>
        <v/>
      </c>
      <c r="S78" s="2451">
        <f>'Modèle Calcul A-R + Sommaire'!BI34</f>
        <v/>
      </c>
      <c r="T78" s="2450" t="n"/>
      <c r="U78" s="2450" t="n"/>
      <c r="V78" s="2450" t="n"/>
      <c r="W78" s="751" t="n"/>
      <c r="X78" s="751" t="n"/>
    </row>
    <row r="79" ht="29" customHeight="1" s="2456">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56">
      <c r="A80" s="429" t="n"/>
      <c r="B80" s="429" t="n"/>
      <c r="C80" s="429" t="n"/>
      <c r="D80" s="429" t="n"/>
      <c r="R80" s="428" t="inlineStr">
        <is>
          <t>L'enfant répond aux comportements aliénants suivants du parent favorisé</t>
        </is>
      </c>
    </row>
    <row r="81" ht="29" customHeight="1" s="2456">
      <c r="A81" s="429" t="n"/>
      <c r="B81" s="429" t="n"/>
      <c r="C81" s="429" t="n"/>
      <c r="D81" s="429" t="n"/>
      <c r="R81">
        <f>'Modèle Calcul A-R + Sommaire'!BC10</f>
        <v/>
      </c>
      <c r="V81" s="55">
        <f>'Modèle Calcul A-R + Sommaire'!BB10</f>
        <v/>
      </c>
    </row>
    <row r="82" ht="29" customHeight="1" s="2456">
      <c r="A82" s="429" t="n"/>
      <c r="B82" s="429" t="n"/>
      <c r="C82" s="429" t="n"/>
      <c r="D82" s="429" t="n"/>
      <c r="R82" s="1258">
        <f>'Modèle Calcul A-R + Sommaire'!BC11</f>
        <v/>
      </c>
      <c r="V82" s="55">
        <f>'Modèle Calcul A-R + Sommaire'!BB11</f>
        <v/>
      </c>
    </row>
    <row r="83" ht="29" customHeight="1" s="2456">
      <c r="A83" s="429" t="n"/>
      <c r="B83" s="429" t="n"/>
      <c r="C83" s="429" t="n"/>
      <c r="D83" s="429" t="n"/>
      <c r="R83" s="1258">
        <f>'Modèle Calcul A-R + Sommaire'!BC12</f>
        <v/>
      </c>
      <c r="V83" s="55">
        <f>'Modèle Calcul A-R + Sommaire'!BB12</f>
        <v/>
      </c>
    </row>
    <row r="84" ht="29" customHeight="1" s="2456">
      <c r="A84" s="429" t="n"/>
      <c r="B84" s="429" t="n"/>
      <c r="C84" s="429" t="n"/>
      <c r="D84" s="429" t="n"/>
      <c r="R84" s="1258">
        <f>'Modèle Calcul A-R + Sommaire'!BC13</f>
        <v/>
      </c>
      <c r="V84" s="55">
        <f>'Modèle Calcul A-R + Sommaire'!BB13</f>
        <v/>
      </c>
    </row>
    <row r="85" ht="29" customHeight="1" s="2456">
      <c r="A85" s="429" t="n"/>
      <c r="B85" s="429" t="n"/>
      <c r="C85" s="429" t="n"/>
      <c r="D85" s="429" t="n"/>
      <c r="R85" s="1258">
        <f>'Modèle Calcul A-R + Sommaire'!BC14</f>
        <v/>
      </c>
      <c r="V85" s="55">
        <f>'Modèle Calcul A-R + Sommaire'!BB14</f>
        <v/>
      </c>
    </row>
    <row r="86" ht="29" customHeight="1" s="2456">
      <c r="A86" s="429" t="n"/>
      <c r="B86" s="429" t="n"/>
      <c r="C86" s="429" t="n"/>
      <c r="D86" s="429" t="n"/>
      <c r="R86" s="1258">
        <f>'Modèle Calcul A-R + Sommaire'!BC15</f>
        <v/>
      </c>
      <c r="V86" s="55">
        <f>'Modèle Calcul A-R + Sommaire'!BB15</f>
        <v/>
      </c>
    </row>
    <row r="87" ht="29" customHeight="1" s="2456">
      <c r="A87" s="429" t="n"/>
      <c r="B87" s="429" t="n"/>
      <c r="C87" s="429" t="n"/>
      <c r="D87" s="429" t="n"/>
      <c r="R87" s="1258">
        <f>'Modèle Calcul A-R + Sommaire'!BC16</f>
        <v/>
      </c>
      <c r="V87" s="55">
        <f>'Modèle Calcul A-R + Sommaire'!BB16</f>
        <v/>
      </c>
    </row>
    <row r="88" ht="29" customHeight="1" s="2456">
      <c r="A88" s="429" t="n"/>
      <c r="B88" s="429" t="n"/>
      <c r="C88" s="429" t="n"/>
      <c r="D88" s="429" t="n"/>
      <c r="R88" s="1258">
        <f>'Modèle Calcul A-R + Sommaire'!BC17</f>
        <v/>
      </c>
      <c r="V88" s="55">
        <f>'Modèle Calcul A-R + Sommaire'!BB17</f>
        <v/>
      </c>
    </row>
    <row r="89" ht="29" customHeight="1" s="2456">
      <c r="A89" s="429" t="n"/>
      <c r="B89" s="429" t="n"/>
      <c r="C89" s="429" t="n"/>
      <c r="D89" s="429" t="n"/>
      <c r="R89" s="1258">
        <f>'Modèle Calcul A-R + Sommaire'!BC20</f>
        <v/>
      </c>
      <c r="V89" s="55">
        <f>'Modèle Calcul A-R + Sommaire'!BB20</f>
        <v/>
      </c>
    </row>
    <row r="90" ht="29" customHeight="1" s="2456">
      <c r="A90" s="429" t="n"/>
      <c r="B90" s="429" t="n"/>
      <c r="C90" s="429" t="n"/>
      <c r="D90" s="429" t="n"/>
      <c r="R90" s="1258">
        <f>'Modèle Calcul A-R + Sommaire'!BC24</f>
        <v/>
      </c>
      <c r="V90" s="55">
        <f>'Modèle Calcul A-R + Sommaire'!BB24</f>
        <v/>
      </c>
    </row>
    <row r="91" ht="29" customHeight="1" s="2456">
      <c r="A91" s="429" t="n"/>
      <c r="B91" s="429" t="n"/>
      <c r="C91" s="429" t="n"/>
      <c r="D91" s="429" t="n"/>
      <c r="R91" s="1258">
        <f>'Modèle Calcul A-R + Sommaire'!BC28</f>
        <v/>
      </c>
      <c r="V91" s="55">
        <f>'Modèle Calcul A-R + Sommaire'!BB28</f>
        <v/>
      </c>
    </row>
    <row r="92" ht="29" customHeight="1" s="2456">
      <c r="A92" s="429" t="n"/>
      <c r="B92" s="429" t="n"/>
      <c r="C92" s="429" t="n"/>
      <c r="D92" s="429" t="n"/>
      <c r="R92" s="1258">
        <f>'Modèle Calcul A-R + Sommaire'!BC29</f>
        <v/>
      </c>
      <c r="V92" s="55">
        <f>'Modèle Calcul A-R + Sommaire'!BB29</f>
        <v/>
      </c>
    </row>
    <row r="93" ht="29" customHeight="1" s="2456">
      <c r="A93" s="429" t="n"/>
      <c r="B93" s="429" t="n"/>
      <c r="C93" s="429" t="n"/>
      <c r="D93" s="429" t="n"/>
      <c r="R93" s="1258">
        <f>'Modèle Calcul A-R + Sommaire'!BC31</f>
        <v/>
      </c>
      <c r="V93" s="55">
        <f>'Modèle Calcul A-R + Sommaire'!BB31</f>
        <v/>
      </c>
    </row>
    <row r="94" ht="29" customHeight="1" s="2456">
      <c r="A94" s="429" t="n"/>
      <c r="B94" s="429" t="n"/>
      <c r="C94" s="429" t="n"/>
      <c r="D94" s="429" t="n"/>
      <c r="R94" s="1258">
        <f>'Modèle Calcul A-R + Sommaire'!BC32</f>
        <v/>
      </c>
      <c r="V94" s="55">
        <f>'Modèle Calcul A-R + Sommaire'!BB32</f>
        <v/>
      </c>
    </row>
    <row r="95" ht="29" customHeight="1" s="2456">
      <c r="A95" s="429" t="n"/>
      <c r="B95" s="429" t="n"/>
      <c r="C95" s="429" t="n"/>
      <c r="D95" s="429" t="n"/>
      <c r="R95" s="1258">
        <f>'Modèle Calcul A-R + Sommaire'!BC33</f>
        <v/>
      </c>
      <c r="U95" t="inlineStr">
        <is>
          <t>˜</t>
        </is>
      </c>
      <c r="V95" s="55">
        <f>'Modèle Calcul A-R + Sommaire'!BB33</f>
        <v/>
      </c>
    </row>
    <row r="96" ht="29" customHeight="1" s="2456">
      <c r="A96" s="429" t="n"/>
      <c r="B96" s="429" t="n"/>
      <c r="C96" s="429" t="n"/>
      <c r="D96" s="429" t="n"/>
    </row>
    <row r="97" ht="29" customHeight="1" s="2456">
      <c r="A97" s="429" t="n"/>
      <c r="B97" s="429" t="n"/>
      <c r="C97" s="429" t="n"/>
      <c r="D97" s="429" t="n"/>
    </row>
    <row r="98" ht="29" customHeight="1" s="2456">
      <c r="A98" s="429" t="n"/>
      <c r="B98" s="429" t="n"/>
      <c r="C98" s="429" t="n"/>
      <c r="D98" s="429" t="n"/>
    </row>
    <row r="99" ht="30" customHeight="1" s="2456">
      <c r="A99" s="429" t="n"/>
      <c r="B99" s="429" t="n"/>
      <c r="C99" s="429" t="n"/>
      <c r="D99" s="429" t="n"/>
    </row>
    <row r="100" ht="29" customHeight="1" s="2456">
      <c r="A100" s="34" t="inlineStr">
        <is>
          <t>Alignement ou divergeance des parents selon certains comportements</t>
        </is>
      </c>
      <c r="B100" s="429" t="n"/>
      <c r="C100" s="429" t="n"/>
      <c r="D100" s="429" t="n"/>
    </row>
    <row r="101" ht="29" customHeight="1" s="2456">
      <c r="A101" s="429" t="n"/>
      <c r="B101" s="429" t="n"/>
      <c r="C101" s="429" t="n"/>
      <c r="D101" s="429" t="n"/>
    </row>
    <row r="102" ht="44" customHeight="1" s="2456">
      <c r="A102" s="429" t="n"/>
      <c r="B102" s="429" t="n"/>
      <c r="C102" s="429" t="n"/>
      <c r="D102" s="429" t="n"/>
      <c r="Q102" s="761" t="inlineStr">
        <is>
          <t>Voir Fichier " Modèle Calcul Miroir</t>
        </is>
      </c>
    </row>
    <row r="103" ht="44" customHeight="1" s="2456">
      <c r="A103" s="429" t="n"/>
      <c r="B103" s="429" t="n"/>
      <c r="C103" s="429" t="n"/>
      <c r="D103" s="429" t="n"/>
      <c r="Q103">
        <f>#REF!</f>
        <v/>
      </c>
      <c r="T103" s="749">
        <f>#REF!</f>
        <v/>
      </c>
    </row>
    <row r="104" ht="44" customHeight="1" s="2456">
      <c r="A104" s="429" t="n"/>
      <c r="B104" s="429" t="n"/>
      <c r="C104" s="429" t="n"/>
      <c r="D104" s="429" t="n"/>
      <c r="Q104">
        <f>#REF!</f>
        <v/>
      </c>
      <c r="T104" s="749">
        <f>#REF!</f>
        <v/>
      </c>
    </row>
    <row r="105" ht="44" customHeight="1" s="2456">
      <c r="A105" s="429" t="n"/>
      <c r="B105" s="429" t="n"/>
      <c r="C105" s="429" t="n"/>
      <c r="D105" s="429" t="n"/>
      <c r="Q105">
        <f>#REF!</f>
        <v/>
      </c>
      <c r="T105" s="749">
        <f>#REF!</f>
        <v/>
      </c>
    </row>
    <row r="106" ht="44" customHeight="1" s="2456">
      <c r="A106" s="429" t="n"/>
      <c r="B106" s="429" t="n"/>
      <c r="C106" s="429" t="n"/>
      <c r="D106" s="429" t="n"/>
      <c r="Q106">
        <f>#REF!</f>
        <v/>
      </c>
      <c r="T106" s="749">
        <f>#REF!</f>
        <v/>
      </c>
    </row>
    <row r="107" ht="44" customHeight="1" s="2456">
      <c r="A107" s="429" t="n"/>
      <c r="B107" s="429" t="n"/>
      <c r="C107" s="429" t="n"/>
      <c r="D107" s="429" t="n"/>
      <c r="Q107">
        <f>#REF!</f>
        <v/>
      </c>
      <c r="T107" s="749">
        <f>#REF!</f>
        <v/>
      </c>
    </row>
    <row r="108" ht="44" customHeight="1" s="2456">
      <c r="A108" s="429" t="n"/>
      <c r="B108" s="429" t="n"/>
      <c r="C108" s="429" t="n"/>
      <c r="D108" s="429" t="n"/>
      <c r="Q108">
        <f>#REF!</f>
        <v/>
      </c>
      <c r="T108" s="749">
        <f>#REF!</f>
        <v/>
      </c>
    </row>
    <row r="109" ht="44" customHeight="1" s="2456">
      <c r="A109" s="429" t="n"/>
      <c r="B109" s="429" t="n"/>
      <c r="C109" s="429" t="n"/>
      <c r="D109" s="429" t="n"/>
      <c r="Q109">
        <f>#REF!</f>
        <v/>
      </c>
      <c r="T109" s="749">
        <f>#REF!</f>
        <v/>
      </c>
    </row>
    <row r="110" ht="44" customHeight="1" s="2456">
      <c r="A110" s="429" t="n"/>
      <c r="B110" s="429" t="n"/>
      <c r="C110" s="429" t="n"/>
      <c r="D110" s="429" t="n"/>
      <c r="Q110">
        <f>#REF!</f>
        <v/>
      </c>
      <c r="T110" s="749">
        <f>#REF!</f>
        <v/>
      </c>
    </row>
    <row r="111" ht="44" customHeight="1" s="2456">
      <c r="A111" s="429" t="n"/>
      <c r="B111" s="429" t="n"/>
      <c r="C111" s="429" t="n"/>
      <c r="D111" s="429" t="n"/>
      <c r="Q111">
        <f>#REF!</f>
        <v/>
      </c>
      <c r="T111" s="749">
        <f>#REF!</f>
        <v/>
      </c>
    </row>
    <row r="112" ht="44" customHeight="1" s="2456">
      <c r="A112" s="429" t="n"/>
      <c r="B112" s="429" t="n"/>
      <c r="C112" s="429" t="n"/>
      <c r="D112" s="429" t="n"/>
      <c r="Q112">
        <f>#REF!</f>
        <v/>
      </c>
      <c r="T112" s="749">
        <f>#REF!</f>
        <v/>
      </c>
    </row>
    <row r="113" ht="44" customHeight="1" s="2456">
      <c r="A113" s="429" t="n"/>
      <c r="B113" s="429" t="n"/>
      <c r="C113" s="429" t="n"/>
      <c r="D113" s="429" t="n"/>
      <c r="Q113">
        <f>#REF!</f>
        <v/>
      </c>
      <c r="T113" s="749">
        <f>#REF!</f>
        <v/>
      </c>
    </row>
    <row r="114" ht="44" customHeight="1" s="2456">
      <c r="A114" s="429" t="n"/>
      <c r="B114" s="429" t="n"/>
      <c r="C114" s="429" t="n"/>
      <c r="D114" s="429" t="n"/>
      <c r="Q114">
        <f>#REF!</f>
        <v/>
      </c>
      <c r="T114" s="749">
        <f>#REF!</f>
        <v/>
      </c>
    </row>
    <row r="115" ht="44" customHeight="1" s="2456">
      <c r="A115" s="429" t="n"/>
      <c r="B115" s="429" t="n"/>
      <c r="C115" s="429" t="n"/>
      <c r="D115" s="429" t="n"/>
      <c r="Q115">
        <f>#REF!</f>
        <v/>
      </c>
      <c r="T115" s="749">
        <f>#REF!</f>
        <v/>
      </c>
    </row>
    <row r="116" ht="44" customHeight="1" s="2456">
      <c r="A116" s="429" t="n"/>
      <c r="B116" s="429" t="n"/>
      <c r="C116" s="429" t="n"/>
      <c r="D116" s="429" t="n"/>
      <c r="Q116">
        <f>#REF!</f>
        <v/>
      </c>
      <c r="T116" s="749">
        <f>#REF!</f>
        <v/>
      </c>
    </row>
    <row r="117" ht="44" customHeight="1" s="2456">
      <c r="A117" s="429" t="n"/>
      <c r="B117" s="429" t="n"/>
      <c r="C117" s="429" t="n"/>
      <c r="D117" s="429" t="n"/>
    </row>
    <row r="118" ht="29" customHeight="1" s="2456">
      <c r="A118" s="429" t="n"/>
      <c r="B118" s="429" t="n"/>
      <c r="C118" s="429" t="n"/>
      <c r="D118" s="429" t="n"/>
    </row>
    <row r="119" ht="29" customHeight="1" s="2456">
      <c r="A119" s="429" t="n"/>
      <c r="C119" s="429" t="n"/>
      <c r="D119" s="429" t="n"/>
    </row>
    <row r="120" ht="29" customHeight="1" s="2456">
      <c r="A120" s="429" t="n"/>
      <c r="B120" s="429" t="n"/>
      <c r="C120" s="429" t="n"/>
      <c r="D120" s="429" t="n"/>
    </row>
    <row r="121">
      <c r="J121" s="11" t="n"/>
      <c r="K121" s="82" t="n"/>
    </row>
    <row r="122">
      <c r="H122" s="66" t="n"/>
      <c r="K122" s="66" t="n"/>
      <c r="L122" s="11" t="n"/>
    </row>
    <row r="125">
      <c r="G125" s="55" t="n"/>
    </row>
    <row r="126">
      <c r="E126" s="2559" t="n"/>
      <c r="F126" s="2559" t="n"/>
      <c r="G126" s="2559" t="n"/>
      <c r="H126" s="2559" t="n"/>
      <c r="I126" s="2559" t="n"/>
    </row>
    <row r="127">
      <c r="E127" s="2559" t="n"/>
      <c r="F127" s="2559" t="n"/>
      <c r="G127" s="2559" t="n"/>
      <c r="H127" s="2559" t="n"/>
      <c r="I127" s="2559" t="n"/>
    </row>
    <row r="128">
      <c r="E128" s="2580" t="n"/>
      <c r="F128" s="2580" t="n"/>
      <c r="G128" s="2580" t="n"/>
      <c r="H128" s="2580" t="n"/>
      <c r="I128" s="2580" t="n"/>
    </row>
    <row r="129">
      <c r="E129" s="2580" t="n"/>
      <c r="F129" s="2580" t="n"/>
      <c r="G129" s="2580" t="n"/>
      <c r="H129" s="2580" t="n"/>
      <c r="I129" s="2580" t="n"/>
    </row>
    <row r="130">
      <c r="E130" s="2580" t="n"/>
      <c r="F130" s="2580" t="n"/>
      <c r="G130" s="2580" t="n"/>
      <c r="H130" s="2580" t="n"/>
      <c r="I130" s="258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J171" activePane="bottomRight" state="frozen"/>
      <selection pane="topRight" activeCell="B1" sqref="B1"/>
      <selection pane="bottomLeft" activeCell="A8" sqref="A8"/>
      <selection pane="bottomRight" activeCell="N176" sqref="N176"/>
    </sheetView>
  </sheetViews>
  <sheetFormatPr baseColWidth="10" defaultRowHeight="16"/>
  <cols>
    <col width="8.33203125" customWidth="1" style="2456" min="1" max="1"/>
    <col width="78.33203125" bestFit="1" customWidth="1" style="2559" min="2" max="2"/>
    <col width="36.5" bestFit="1" customWidth="1" style="1813" min="3" max="3"/>
    <col width="21.1640625" bestFit="1" customWidth="1" style="2516" min="4" max="4"/>
    <col width="12.33203125" bestFit="1" customWidth="1" style="2516" min="5" max="5"/>
    <col width="18.1640625" bestFit="1" customWidth="1" style="1810" min="6" max="6"/>
    <col width="15.5" bestFit="1" customWidth="1" style="2588"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17" min="13" max="13"/>
    <col width="30.5" bestFit="1" customWidth="1" style="2559" min="14" max="14"/>
    <col width="9.83203125" bestFit="1" customWidth="1" style="2456" min="15" max="15"/>
    <col width="30.6640625" bestFit="1" customWidth="1" style="2456" min="18" max="18"/>
    <col width="8.33203125" bestFit="1" customWidth="1" style="2456" min="19" max="19"/>
    <col width="8.5" bestFit="1" customWidth="1" style="2456" min="20" max="20"/>
    <col width="21.5" bestFit="1" customWidth="1" style="2456" min="21" max="21"/>
    <col width="15" bestFit="1" customWidth="1" style="2456" min="22" max="22"/>
    <col width="121.83203125" customWidth="1" style="2559" min="23" max="23"/>
  </cols>
  <sheetData>
    <row r="1" ht="21" customHeight="1" s="2456">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16">
        <f>SUM(D8:D244)</f>
        <v/>
      </c>
      <c r="E5" s="2516">
        <f>SUM(E8:E244)</f>
        <v/>
      </c>
      <c r="F5" s="1810">
        <f>SUM(F8:F244)</f>
        <v/>
      </c>
      <c r="G5" s="2588">
        <f>SUM(G8:G244)</f>
        <v/>
      </c>
      <c r="H5" s="1274">
        <f>SUM(H8:H244)</f>
        <v/>
      </c>
      <c r="I5" s="1818">
        <f>SUM(I8:I244)</f>
        <v/>
      </c>
      <c r="J5" s="1826">
        <f>SUM(J8:J244)</f>
        <v/>
      </c>
      <c r="K5" s="1727">
        <f>SUM(K8:K244)</f>
        <v/>
      </c>
      <c r="L5" s="1447">
        <f>SUM(L8:L244)</f>
        <v/>
      </c>
    </row>
    <row r="6" ht="17" customHeight="1" s="2456" thickBot="1">
      <c r="D6" s="2516" t="inlineStr">
        <is>
          <t>Miroir des deux parents</t>
        </is>
      </c>
      <c r="R6" t="inlineStr">
        <is>
          <t>Baromètre A</t>
        </is>
      </c>
    </row>
    <row r="7" ht="34" customHeight="1" s="2456">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17" t="inlineStr">
        <is>
          <t>Comportement typiquement AP</t>
        </is>
      </c>
      <c r="N7" s="2559"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59"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69">
      <c r="A9" s="2580">
        <f>BIBLE!E20</f>
        <v/>
      </c>
      <c r="B9" s="2580">
        <f>BIBLE!F20</f>
        <v/>
      </c>
      <c r="C9" s="1832" t="n"/>
      <c r="D9" s="1833" t="n"/>
      <c r="E9" s="1833" t="n"/>
      <c r="F9" s="1834" t="n"/>
      <c r="G9" s="762" t="n"/>
      <c r="H9" s="763" t="n"/>
      <c r="I9" s="703" t="n"/>
      <c r="J9" s="1828" t="n"/>
      <c r="K9" s="1823" t="n"/>
      <c r="L9" s="1825" t="n"/>
      <c r="M9" s="67" t="n"/>
      <c r="N9" s="586" t="n"/>
      <c r="O9" s="1830">
        <f>C9+D9+E9+F9+G9+H9+I9+J9+K9+L9</f>
        <v/>
      </c>
      <c r="W9" s="2580" t="n"/>
    </row>
    <row r="10" ht="51" customFormat="1" customHeight="1" s="2469">
      <c r="A10" s="2580">
        <f>BIBLE!E21</f>
        <v/>
      </c>
      <c r="B10" s="2580">
        <f>BIBLE!F21</f>
        <v/>
      </c>
      <c r="C10" s="1699" t="n"/>
      <c r="D10" s="1815" t="n"/>
      <c r="E10" s="1815" t="n"/>
      <c r="F10" s="1816" t="n"/>
      <c r="G10" s="1817" t="n"/>
      <c r="H10" s="1378" t="n"/>
      <c r="I10" s="27" t="n"/>
      <c r="J10" s="1828" t="n"/>
      <c r="K10" s="1823" t="n"/>
      <c r="L10" s="1825" t="n"/>
      <c r="M10" s="67" t="n"/>
      <c r="N10" s="586" t="n"/>
      <c r="O10" s="1830">
        <f>C10+D10+E10+F10+G10+H10+I10+J10+K10+L10</f>
        <v/>
      </c>
      <c r="W10" s="258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69">
      <c r="A11" s="2580">
        <f>BIBLE!E22</f>
        <v/>
      </c>
      <c r="B11" s="2580">
        <f>BIBLE!F22</f>
        <v/>
      </c>
      <c r="C11" s="1699" t="n"/>
      <c r="D11" s="1815" t="n"/>
      <c r="E11" s="1815" t="n"/>
      <c r="F11" s="1816" t="n"/>
      <c r="G11" s="1817" t="n"/>
      <c r="H11" s="1378" t="n"/>
      <c r="I11" s="27" t="n"/>
      <c r="J11" s="1828" t="n"/>
      <c r="K11" s="1823" t="n"/>
      <c r="L11" s="1825" t="n"/>
      <c r="M11" s="67" t="n"/>
      <c r="N11" s="586" t="n"/>
      <c r="O11" s="1830">
        <f>C11+D11+E11+F11+G11+H11+I11+J11+K11+L11</f>
        <v/>
      </c>
      <c r="W11" s="258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69">
      <c r="A12" s="258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0" t="inlineStr">
        <is>
          <t>L’utilisation du terme autre parent fait référence à votre coparent, donc au parent de l'enfant qui fait l'objet de cette analyse.</t>
        </is>
      </c>
    </row>
    <row r="13" ht="17" customFormat="1" customHeight="1" s="2469">
      <c r="A13" s="2580">
        <f>BIBLE!E24</f>
        <v/>
      </c>
      <c r="B13" s="2580">
        <f>BIBLE!F24</f>
        <v/>
      </c>
      <c r="C13" s="1699" t="n"/>
      <c r="D13" s="1815" t="n"/>
      <c r="E13" s="1815" t="n"/>
      <c r="F13" s="1816" t="n"/>
      <c r="G13" s="1817" t="n"/>
      <c r="H13" s="1378" t="n"/>
      <c r="I13" s="27" t="n"/>
      <c r="J13" s="1828" t="n"/>
      <c r="K13" s="1823" t="n"/>
      <c r="L13" s="1825" t="n"/>
      <c r="M13" s="67" t="n"/>
      <c r="N13" s="586" t="n"/>
      <c r="O13" s="1830">
        <f>C13+D13+E13+F13+G13+H13+I13+J13+K13+L13</f>
        <v/>
      </c>
      <c r="W13" s="2580" t="n"/>
    </row>
    <row r="14" ht="34" customFormat="1" customHeight="1" s="2469">
      <c r="A14" s="2580">
        <f>BIBLE!E25</f>
        <v/>
      </c>
      <c r="B14" s="2580">
        <f>BIBLE!F25</f>
        <v/>
      </c>
      <c r="C14" s="1699" t="n"/>
      <c r="D14" s="1815" t="n"/>
      <c r="E14" s="1815" t="n"/>
      <c r="F14" s="1816" t="n"/>
      <c r="G14" s="1817" t="n"/>
      <c r="H14" s="1378" t="n"/>
      <c r="I14" s="27" t="n"/>
      <c r="J14" s="1828" t="n"/>
      <c r="K14" s="1823" t="n"/>
      <c r="L14" s="1825" t="n"/>
      <c r="M14" s="67" t="n"/>
      <c r="N14" s="586" t="n"/>
      <c r="O14" s="1830">
        <f>C14+D14+E14+F14+G14+H14+I14+J14+K14+L14</f>
        <v/>
      </c>
      <c r="W14" s="258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69">
      <c r="A15" s="2580">
        <f>BIBLE!E26</f>
        <v/>
      </c>
      <c r="B15" s="258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0" t="n"/>
    </row>
    <row r="16" ht="51" customFormat="1" customHeight="1" s="2469">
      <c r="A16" s="2580">
        <f>BIBLE!E27</f>
        <v/>
      </c>
      <c r="B16" s="2580">
        <f>BIBLE!F27</f>
        <v/>
      </c>
      <c r="C16" s="1699" t="n"/>
      <c r="D16" s="1815" t="n"/>
      <c r="E16" s="1815" t="n"/>
      <c r="F16" s="1816" t="n"/>
      <c r="G16" s="1817" t="n"/>
      <c r="H16" s="1378" t="n"/>
      <c r="I16" s="27" t="n"/>
      <c r="J16" s="1828" t="n"/>
      <c r="K16" s="1823" t="n"/>
      <c r="L16" s="1825" t="n"/>
      <c r="M16" s="67" t="n"/>
      <c r="N16" s="586" t="n"/>
      <c r="O16" s="1830">
        <f>C16+D16+E16+F16+G16+H16+I16+J16+K16+L16</f>
        <v/>
      </c>
      <c r="W16" s="258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69">
      <c r="A17" s="2580">
        <f>BIBLE!E28</f>
        <v/>
      </c>
      <c r="B17" s="2580">
        <f>BIBLE!F28</f>
        <v/>
      </c>
      <c r="C17" s="1699" t="n"/>
      <c r="D17" s="1815" t="n"/>
      <c r="E17" s="1815" t="n"/>
      <c r="F17" s="1816" t="n"/>
      <c r="G17" s="1817" t="n"/>
      <c r="H17" s="1378" t="n"/>
      <c r="I17" s="27" t="n"/>
      <c r="J17" s="1828" t="n"/>
      <c r="K17" s="1823" t="n"/>
      <c r="L17" s="1825" t="n"/>
      <c r="M17" s="67" t="n"/>
      <c r="N17" s="586" t="n"/>
      <c r="O17" s="1830">
        <f>C17+D17+E17+F17+G17+H17+I17+J17+K17+L17</f>
        <v/>
      </c>
      <c r="W17" s="258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69">
      <c r="A18" s="2580">
        <f>BIBLE!E29</f>
        <v/>
      </c>
      <c r="B18" s="2580">
        <f>BIBLE!F29</f>
        <v/>
      </c>
      <c r="C18" s="1835" t="n">
        <v>1</v>
      </c>
      <c r="D18" s="1815" t="n"/>
      <c r="E18" s="1815" t="n"/>
      <c r="F18" s="1816" t="n"/>
      <c r="G18" s="1817" t="n"/>
      <c r="H18" s="1378" t="n"/>
      <c r="I18" s="27" t="n"/>
      <c r="J18" s="1828" t="n"/>
      <c r="K18" s="1823" t="n"/>
      <c r="L18" s="1825" t="n"/>
      <c r="M18" s="67" t="n">
        <v>1</v>
      </c>
      <c r="N18" s="586" t="n"/>
      <c r="O18" s="1830">
        <f>C18+D18+E18+F18+G18+H18+I18+J18+K18+L18</f>
        <v/>
      </c>
      <c r="W18" s="258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69">
      <c r="A19" s="2580">
        <f>BIBLE!E30</f>
        <v/>
      </c>
      <c r="B19" s="2580">
        <f>BIBLE!F30</f>
        <v/>
      </c>
      <c r="C19" s="1699" t="n"/>
      <c r="D19" s="1815" t="n"/>
      <c r="E19" s="1815" t="n"/>
      <c r="F19" s="1816" t="n"/>
      <c r="G19" s="1817" t="n"/>
      <c r="H19" s="1378" t="n"/>
      <c r="I19" s="27" t="n"/>
      <c r="J19" s="1828" t="n"/>
      <c r="K19" s="1823" t="n"/>
      <c r="L19" s="1825" t="n"/>
      <c r="M19" s="67" t="n"/>
      <c r="N19" s="586" t="n"/>
      <c r="O19" s="1830">
        <f>C19+D19+E19+F19+G19+H19+I19+J19+K19+L19</f>
        <v/>
      </c>
      <c r="W19" s="258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69">
      <c r="A20" s="2580">
        <f>BIBLE!E31</f>
        <v/>
      </c>
      <c r="B20" s="2580">
        <f>BIBLE!F31</f>
        <v/>
      </c>
      <c r="C20" s="1699" t="n"/>
      <c r="D20" s="1815" t="n"/>
      <c r="E20" s="1815" t="n">
        <v>1</v>
      </c>
      <c r="F20" s="1816" t="n"/>
      <c r="G20" s="1817" t="n"/>
      <c r="H20" s="1378" t="n"/>
      <c r="I20" s="27" t="n"/>
      <c r="J20" s="1828" t="n"/>
      <c r="K20" s="1823" t="n"/>
      <c r="L20" s="1825" t="n"/>
      <c r="M20" s="67" t="n"/>
      <c r="N20" s="586" t="n"/>
      <c r="O20" s="1830">
        <f>C20+D20+E20+F20+G20+H20+I20+J20+K20+L20</f>
        <v/>
      </c>
      <c r="W20" s="2580" t="n"/>
    </row>
    <row r="21" ht="17" customFormat="1" customHeight="1" s="2469">
      <c r="A21" s="2580">
        <f>BIBLE!E32</f>
        <v/>
      </c>
      <c r="B21" s="2580">
        <f>BIBLE!F32</f>
        <v/>
      </c>
      <c r="C21" s="1699" t="n"/>
      <c r="D21" s="1815" t="n"/>
      <c r="E21" s="1815" t="n">
        <v>1</v>
      </c>
      <c r="F21" s="1816" t="n"/>
      <c r="G21" s="1817" t="n"/>
      <c r="H21" s="1378" t="n"/>
      <c r="I21" s="27" t="n"/>
      <c r="J21" s="1828" t="n"/>
      <c r="K21" s="1823" t="n"/>
      <c r="L21" s="1825" t="n"/>
      <c r="M21" s="67" t="n"/>
      <c r="N21" s="586" t="n"/>
      <c r="O21" s="1830">
        <f>C21+D21+E21+F21+G21+H21+I21+J21+K21+L21</f>
        <v/>
      </c>
      <c r="W21" s="2580" t="n"/>
    </row>
    <row r="22" ht="17" customFormat="1" customHeight="1" s="2469">
      <c r="A22" s="2580">
        <f>BIBLE!E33</f>
        <v/>
      </c>
      <c r="B22" s="2580">
        <f>BIBLE!F33</f>
        <v/>
      </c>
      <c r="C22" s="1699" t="n"/>
      <c r="D22" s="1815" t="n"/>
      <c r="E22" s="1815" t="n"/>
      <c r="F22" s="1816" t="n"/>
      <c r="G22" s="1817" t="n"/>
      <c r="H22" s="1378" t="n"/>
      <c r="I22" s="27" t="n"/>
      <c r="J22" s="1828" t="n"/>
      <c r="K22" s="1823" t="n"/>
      <c r="L22" s="1825" t="n"/>
      <c r="M22" s="67" t="n"/>
      <c r="N22" s="586" t="n"/>
      <c r="O22" s="1830">
        <f>C22+D22+E22+F22+G22+H22+I22+J22+K22+L22</f>
        <v/>
      </c>
      <c r="W22" s="2580" t="inlineStr">
        <is>
          <t>Question à choix multiple. Veuillez svp cocher toutes les réponses qui s’appliquent à votre situation.</t>
        </is>
      </c>
    </row>
    <row r="23" ht="68" customFormat="1" customHeight="1" s="2469">
      <c r="A23" s="2580">
        <f>BIBLE!E34</f>
        <v/>
      </c>
      <c r="B23" s="2580">
        <f>BIBLE!F34</f>
        <v/>
      </c>
      <c r="C23" s="1699" t="n"/>
      <c r="D23" s="1815" t="n"/>
      <c r="E23" s="1815" t="n"/>
      <c r="F23" s="1816" t="n"/>
      <c r="G23" s="1817" t="n"/>
      <c r="H23" s="1378" t="n"/>
      <c r="I23" s="27" t="n"/>
      <c r="J23" s="1828" t="n"/>
      <c r="K23" s="1823" t="n"/>
      <c r="L23" s="1825" t="n"/>
      <c r="M23" s="67" t="n"/>
      <c r="N23" s="586" t="n"/>
      <c r="O23" s="1830">
        <f>C23+D23+E23+F23+G23+H23+I23+J23+K23+L23</f>
        <v/>
      </c>
      <c r="W23" s="258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69">
      <c r="A24" s="2580">
        <f>BIBLE!E35</f>
        <v/>
      </c>
      <c r="B24" s="2580">
        <f>BIBLE!F35</f>
        <v/>
      </c>
      <c r="C24" s="1699" t="n"/>
      <c r="D24" s="1815" t="n"/>
      <c r="E24" s="1815" t="n"/>
      <c r="F24" s="1816" t="n"/>
      <c r="G24" s="1817" t="n"/>
      <c r="H24" s="1378" t="n"/>
      <c r="I24" s="27" t="n"/>
      <c r="J24" s="1828" t="n"/>
      <c r="K24" s="1823" t="n"/>
      <c r="L24" s="1825" t="n"/>
      <c r="M24" s="67" t="n"/>
      <c r="N24" s="586" t="n"/>
      <c r="O24" s="1830">
        <f>C24+D24+E24+F24+G24+H24+I24+J24+K24+L24</f>
        <v/>
      </c>
      <c r="W24" s="2580" t="n"/>
    </row>
    <row r="25" ht="51" customFormat="1" customHeight="1" s="2469">
      <c r="A25" s="2580">
        <f>BIBLE!E36</f>
        <v/>
      </c>
      <c r="B25" s="2580">
        <f>BIBLE!F36</f>
        <v/>
      </c>
      <c r="C25" s="1699" t="n"/>
      <c r="D25" s="1815" t="n"/>
      <c r="E25" s="1815" t="n"/>
      <c r="F25" s="1816" t="n"/>
      <c r="G25" s="1817" t="n"/>
      <c r="H25" s="1378" t="n"/>
      <c r="I25" s="27" t="n"/>
      <c r="J25" s="1828" t="n"/>
      <c r="K25" s="1823" t="n"/>
      <c r="L25" s="1825" t="n"/>
      <c r="M25" s="67" t="n"/>
      <c r="N25" s="586" t="n"/>
      <c r="O25" s="1830">
        <f>C25+D25+E25+F25+G25+H25+I25+J25+K25+L25</f>
        <v/>
      </c>
      <c r="W25" s="258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69">
      <c r="A26" s="2580">
        <f>BIBLE!E37</f>
        <v/>
      </c>
      <c r="B26" s="258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0" t="inlineStr">
        <is>
          <t xml:space="preserve">Question à choix multiple. Veuillez svp cocher toutes les réponses appropriées. </t>
        </is>
      </c>
    </row>
    <row r="27" customFormat="1" s="2469">
      <c r="A27" s="2580" t="n"/>
      <c r="B27" s="2580" t="n"/>
      <c r="C27" s="6" t="n"/>
      <c r="D27" s="6" t="n"/>
      <c r="E27" s="6" t="n"/>
      <c r="F27" s="6" t="n"/>
      <c r="G27" s="6" t="n"/>
      <c r="H27" s="6" t="n"/>
      <c r="I27" s="6" t="n"/>
      <c r="J27" s="6" t="n"/>
      <c r="K27" s="521" t="n"/>
      <c r="L27" s="521" t="n"/>
      <c r="M27" s="67" t="n"/>
      <c r="N27" s="586" t="n"/>
      <c r="O27" s="1830" t="n"/>
      <c r="W27" s="2580" t="n"/>
    </row>
    <row r="28" customFormat="1" s="2469">
      <c r="A28" s="2580" t="n"/>
      <c r="B28" s="2580" t="n"/>
      <c r="C28" s="6" t="n"/>
      <c r="D28" s="6" t="n"/>
      <c r="E28" s="6" t="n"/>
      <c r="F28" s="6" t="n"/>
      <c r="G28" s="6" t="n"/>
      <c r="H28" s="6" t="n"/>
      <c r="I28" s="6" t="n"/>
      <c r="J28" s="6" t="n"/>
      <c r="K28" s="521" t="n"/>
      <c r="L28" s="521" t="n"/>
      <c r="M28" s="67" t="n"/>
      <c r="N28" s="586" t="n"/>
      <c r="O28" s="1830" t="n"/>
      <c r="W28" s="2580" t="n"/>
    </row>
    <row r="29" customFormat="1" s="2469">
      <c r="A29" s="2580" t="n"/>
      <c r="B29" s="2580" t="n"/>
      <c r="C29" s="6" t="n"/>
      <c r="D29" s="6" t="n"/>
      <c r="E29" s="6" t="n"/>
      <c r="F29" s="6" t="n"/>
      <c r="G29" s="6" t="n"/>
      <c r="H29" s="6" t="n"/>
      <c r="I29" s="6" t="n"/>
      <c r="J29" s="6" t="n"/>
      <c r="K29" s="521" t="n"/>
      <c r="L29" s="521" t="n"/>
      <c r="M29" s="67" t="n"/>
      <c r="N29" s="586" t="n"/>
      <c r="O29" s="1830" t="n"/>
      <c r="W29" s="2580" t="n"/>
    </row>
    <row r="30" customFormat="1" s="2469">
      <c r="A30" s="2580" t="n"/>
      <c r="B30" s="2580" t="n"/>
      <c r="C30" s="6" t="n"/>
      <c r="D30" s="6" t="n"/>
      <c r="E30" s="6" t="n"/>
      <c r="F30" s="6" t="n"/>
      <c r="G30" s="6" t="n"/>
      <c r="H30" s="6" t="n"/>
      <c r="I30" s="6" t="n"/>
      <c r="J30" s="6" t="n"/>
      <c r="K30" s="521" t="n"/>
      <c r="L30" s="521" t="n"/>
      <c r="M30" s="67" t="n"/>
      <c r="N30" s="586" t="n"/>
      <c r="O30" s="1830">
        <f>C30+D30+E30+F30+G30+H30+I30+J30+K30+L30</f>
        <v/>
      </c>
      <c r="W30" s="2580" t="n"/>
    </row>
    <row r="31" customFormat="1" s="2469">
      <c r="A31" s="2580" t="n"/>
      <c r="B31" s="2580" t="n"/>
      <c r="C31" s="6" t="n"/>
      <c r="D31" s="6" t="n"/>
      <c r="E31" s="6" t="n"/>
      <c r="F31" s="6" t="n"/>
      <c r="G31" s="6" t="n"/>
      <c r="H31" s="6" t="n"/>
      <c r="I31" s="6" t="n"/>
      <c r="J31" s="6" t="n"/>
      <c r="K31" s="521" t="n"/>
      <c r="L31" s="521" t="n"/>
      <c r="M31" s="67" t="n"/>
      <c r="N31" s="586" t="n"/>
      <c r="O31" s="1830">
        <f>C31+D31+E31+F31+G31+H31+I31+J31+K31+L31</f>
        <v/>
      </c>
      <c r="W31" s="2580" t="n"/>
    </row>
    <row r="32" ht="17" customFormat="1" customHeight="1" s="2469">
      <c r="A32" s="2580">
        <f>BIBLE!E40</f>
        <v/>
      </c>
      <c r="B32" s="2580">
        <f>BIBLE!F40</f>
        <v/>
      </c>
      <c r="C32" s="1699" t="n"/>
      <c r="D32" s="1815" t="n"/>
      <c r="E32" s="1815" t="n"/>
      <c r="F32" s="1816" t="n">
        <v>1</v>
      </c>
      <c r="G32" s="1817" t="n"/>
      <c r="H32" s="1378" t="n"/>
      <c r="I32" s="27" t="n"/>
      <c r="J32" s="1828" t="n"/>
      <c r="K32" s="1823" t="n"/>
      <c r="L32" s="1825" t="n"/>
      <c r="M32" s="67" t="n"/>
      <c r="N32" s="586" t="n"/>
      <c r="O32" s="1830">
        <f>C32+D32+E32+F32+G32+H32+I32+J32+K32+L32</f>
        <v/>
      </c>
      <c r="W32" s="2580" t="n"/>
    </row>
    <row r="33" ht="34" customFormat="1" customHeight="1" s="2469">
      <c r="A33" s="2580">
        <f>BIBLE!E41</f>
        <v/>
      </c>
      <c r="B33" s="2580">
        <f>BIBLE!F41</f>
        <v/>
      </c>
      <c r="C33" s="1699" t="n"/>
      <c r="D33" s="1815" t="n"/>
      <c r="E33" s="1815" t="n"/>
      <c r="F33" s="1816" t="n">
        <v>1</v>
      </c>
      <c r="G33" s="1817" t="n"/>
      <c r="H33" s="1378" t="n"/>
      <c r="I33" s="27" t="n"/>
      <c r="J33" s="1828" t="n"/>
      <c r="K33" s="1823" t="n"/>
      <c r="L33" s="1825" t="n"/>
      <c r="M33" s="67" t="n"/>
      <c r="N33" s="586" t="n"/>
      <c r="O33" s="1830">
        <f>C33+D33+E33+F33+G33+H33+I33+J33+K33+L33</f>
        <v/>
      </c>
      <c r="W33" s="2580" t="n"/>
    </row>
    <row r="34" ht="17" customFormat="1" customHeight="1" s="2469">
      <c r="A34" s="2580">
        <f>BIBLE!E42</f>
        <v/>
      </c>
      <c r="B34" s="2580">
        <f>BIBLE!F42</f>
        <v/>
      </c>
      <c r="C34" s="1699" t="n"/>
      <c r="D34" s="1815" t="n"/>
      <c r="E34" s="1815" t="n"/>
      <c r="F34" s="1816" t="n">
        <v>1</v>
      </c>
      <c r="G34" s="1817" t="n"/>
      <c r="H34" s="1378" t="n"/>
      <c r="I34" s="27" t="n"/>
      <c r="J34" s="1828" t="n"/>
      <c r="K34" s="1823" t="n"/>
      <c r="L34" s="1825" t="n"/>
      <c r="M34" s="67" t="n"/>
      <c r="N34" s="586" t="n"/>
      <c r="O34" s="1830">
        <f>C34+D34+E34+F34+G34+H34+I34+J34+K34+L34</f>
        <v/>
      </c>
      <c r="W34" s="2580" t="n"/>
    </row>
    <row r="35" ht="51" customFormat="1" customHeight="1" s="2469">
      <c r="A35" s="2580">
        <f>BIBLE!E43</f>
        <v/>
      </c>
      <c r="B35" s="2580">
        <f>BIBLE!F43</f>
        <v/>
      </c>
      <c r="C35" s="1699" t="n"/>
      <c r="D35" s="1815" t="n"/>
      <c r="E35" s="1815" t="n"/>
      <c r="F35" s="1816" t="n">
        <v>1</v>
      </c>
      <c r="G35" s="1817" t="n">
        <v>1</v>
      </c>
      <c r="H35" s="1378" t="n"/>
      <c r="I35" s="27" t="n"/>
      <c r="J35" s="1828" t="n"/>
      <c r="K35" s="1823" t="n"/>
      <c r="L35" s="1825" t="n"/>
      <c r="M35" s="67" t="n"/>
      <c r="N35" s="586" t="n"/>
      <c r="O35" s="1830">
        <f>C35+D35+E35+F35+G35+H35+I35+J35+K35+L35</f>
        <v/>
      </c>
      <c r="W35" s="258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69">
      <c r="A36" s="2580">
        <f>BIBLE!E44</f>
        <v/>
      </c>
      <c r="B36" s="2580">
        <f>BIBLE!F44</f>
        <v/>
      </c>
      <c r="C36" s="1699" t="n"/>
      <c r="D36" s="1815" t="n"/>
      <c r="E36" s="1815" t="n"/>
      <c r="F36" s="1816" t="n">
        <v>1</v>
      </c>
      <c r="G36" s="1817" t="n"/>
      <c r="H36" s="1378" t="n"/>
      <c r="I36" s="27" t="n"/>
      <c r="J36" s="1828" t="n"/>
      <c r="K36" s="1823" t="n"/>
      <c r="L36" s="1825" t="n"/>
      <c r="M36" s="67" t="n"/>
      <c r="N36" s="586" t="n"/>
      <c r="O36" s="1830">
        <f>C36+D36+E36+F36+G36+H36+I36+J36+K36+L36</f>
        <v/>
      </c>
      <c r="W36" s="2580" t="n"/>
    </row>
    <row r="37" ht="17" customFormat="1" customHeight="1" s="2469">
      <c r="A37" s="2580">
        <f>BIBLE!E45</f>
        <v/>
      </c>
      <c r="B37" s="2580">
        <f>BIBLE!F45</f>
        <v/>
      </c>
      <c r="C37" s="1699" t="n"/>
      <c r="D37" s="1815" t="n"/>
      <c r="E37" s="1815" t="n"/>
      <c r="F37" s="1816" t="n">
        <v>1</v>
      </c>
      <c r="G37" s="1817" t="n"/>
      <c r="H37" s="1378" t="n"/>
      <c r="I37" s="27" t="n"/>
      <c r="J37" s="1828" t="n"/>
      <c r="K37" s="1823" t="n"/>
      <c r="L37" s="1825" t="n"/>
      <c r="M37" s="67" t="n"/>
      <c r="N37" s="586" t="n"/>
      <c r="O37" s="1830">
        <f>C37+D37+E37+F37+G37+H37+I37+J37+K37+L37</f>
        <v/>
      </c>
      <c r="W37" s="2580" t="n"/>
    </row>
    <row r="38" ht="34" customFormat="1" customHeight="1" s="2469">
      <c r="A38" s="2580">
        <f>BIBLE!E46</f>
        <v/>
      </c>
      <c r="B38" s="2580">
        <f>BIBLE!F46</f>
        <v/>
      </c>
      <c r="C38" s="1699" t="n"/>
      <c r="D38" s="1815" t="n"/>
      <c r="E38" s="1815" t="n"/>
      <c r="F38" s="1816" t="n"/>
      <c r="G38" s="1817" t="n"/>
      <c r="H38" s="1378" t="n"/>
      <c r="I38" s="27" t="n"/>
      <c r="J38" s="1828" t="n">
        <v>1</v>
      </c>
      <c r="K38" s="1823" t="n"/>
      <c r="L38" s="1825" t="n"/>
      <c r="M38" s="67" t="n"/>
      <c r="N38" s="586" t="n"/>
      <c r="O38" s="1830">
        <f>C38+D38+E38+F38+G38+H38+I38+J38+K38+L38</f>
        <v/>
      </c>
      <c r="W38" s="2580" t="n"/>
    </row>
    <row r="39" ht="34" customFormat="1" customHeight="1" s="2469">
      <c r="A39" s="258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0" t="n"/>
    </row>
    <row r="40" ht="34" customFormat="1" customHeight="1" s="2469">
      <c r="A40" s="2580">
        <f>BIBLE!E48</f>
        <v/>
      </c>
      <c r="B40" s="2580">
        <f>BIBLE!F48</f>
        <v/>
      </c>
      <c r="C40" s="1699" t="n"/>
      <c r="D40" s="1815" t="n"/>
      <c r="E40" s="1815" t="n"/>
      <c r="F40" s="1816" t="n">
        <v>1</v>
      </c>
      <c r="G40" s="1817" t="n"/>
      <c r="H40" s="1378" t="n"/>
      <c r="I40" s="27" t="n"/>
      <c r="J40" s="1828" t="n">
        <v>1</v>
      </c>
      <c r="K40" s="1823" t="n"/>
      <c r="L40" s="1825" t="n"/>
      <c r="M40" s="67" t="n"/>
      <c r="N40" s="586" t="n"/>
      <c r="O40" s="1830">
        <f>C40+D40+E40+F40+G40+H40+I40+J40+K40+L40</f>
        <v/>
      </c>
      <c r="W40" s="2580" t="n"/>
    </row>
    <row r="41" customFormat="1" s="2469">
      <c r="A41" s="2580" t="n"/>
      <c r="B41" s="2580" t="n"/>
      <c r="C41" s="6" t="n"/>
      <c r="D41" s="6" t="n"/>
      <c r="E41" s="6" t="n"/>
      <c r="F41" s="6" t="n"/>
      <c r="G41" s="6" t="n"/>
      <c r="H41" s="6" t="n"/>
      <c r="I41" s="6" t="n"/>
      <c r="J41" s="6" t="n"/>
      <c r="K41" s="521" t="n"/>
      <c r="L41" s="521" t="n"/>
      <c r="M41" s="67" t="n"/>
      <c r="N41" s="586" t="n"/>
      <c r="O41" s="1830" t="n"/>
      <c r="W41" s="2580" t="n"/>
    </row>
    <row r="42" customFormat="1" s="2469">
      <c r="A42" s="2580" t="n"/>
      <c r="B42" s="2580" t="n"/>
      <c r="C42" s="6" t="n"/>
      <c r="D42" s="6" t="n"/>
      <c r="E42" s="6" t="n"/>
      <c r="F42" s="6" t="n"/>
      <c r="G42" s="6" t="n"/>
      <c r="H42" s="6" t="n"/>
      <c r="I42" s="6" t="n"/>
      <c r="J42" s="6" t="n"/>
      <c r="K42" s="521" t="n"/>
      <c r="L42" s="521" t="n"/>
      <c r="M42" s="67" t="n"/>
      <c r="N42" s="586" t="n"/>
      <c r="O42" s="1830" t="n"/>
      <c r="W42" s="2580" t="n"/>
    </row>
    <row r="43" customFormat="1" s="2469">
      <c r="A43" s="2580" t="n"/>
      <c r="B43" s="2580" t="n"/>
      <c r="C43" s="6" t="n"/>
      <c r="D43" s="6" t="n"/>
      <c r="E43" s="6" t="n"/>
      <c r="F43" s="6" t="n"/>
      <c r="G43" s="6" t="n"/>
      <c r="H43" s="6" t="n"/>
      <c r="I43" s="6" t="n"/>
      <c r="J43" s="6" t="n"/>
      <c r="K43" s="521" t="n"/>
      <c r="L43" s="521" t="n"/>
      <c r="M43" s="67" t="n"/>
      <c r="N43" s="586" t="n"/>
      <c r="O43" s="1830" t="n"/>
      <c r="W43" s="2580" t="n"/>
    </row>
    <row r="44" ht="17" customFormat="1" customHeight="1" s="2469">
      <c r="A44" s="2580">
        <f>BIBLE!E50</f>
        <v/>
      </c>
      <c r="B44" s="2580">
        <f>BIBLE!F50</f>
        <v/>
      </c>
      <c r="C44" s="1815" t="n"/>
      <c r="D44" s="1815" t="n"/>
      <c r="E44" s="1815" t="n"/>
      <c r="F44" s="1815" t="n"/>
      <c r="G44" s="1815" t="n"/>
      <c r="H44" s="1815" t="n"/>
      <c r="I44" s="1815" t="n"/>
      <c r="J44" s="1815" t="n"/>
      <c r="K44" s="1829" t="n"/>
      <c r="L44" s="1829" t="n"/>
      <c r="M44" s="67" t="n"/>
      <c r="N44" s="586" t="n"/>
      <c r="O44" s="1830" t="inlineStr">
        <is>
          <t>Unique</t>
        </is>
      </c>
      <c r="W44" s="2580" t="n"/>
    </row>
    <row r="45" ht="34" customFormat="1" customHeight="1" s="2469">
      <c r="A45" s="2580">
        <f>BIBLE!E51</f>
        <v/>
      </c>
      <c r="B45" s="2580">
        <f>BIBLE!F51</f>
        <v/>
      </c>
      <c r="C45" s="1699" t="n">
        <v>1</v>
      </c>
      <c r="D45" s="1815" t="n"/>
      <c r="E45" s="1815" t="n"/>
      <c r="F45" s="1816" t="n"/>
      <c r="G45" s="1817" t="n"/>
      <c r="H45" s="1378" t="n"/>
      <c r="I45" s="27" t="n"/>
      <c r="J45" s="1828" t="n"/>
      <c r="K45" s="1823" t="n"/>
      <c r="L45" s="1825" t="n"/>
      <c r="M45" s="67" t="n"/>
      <c r="N45" s="586" t="n"/>
      <c r="O45" s="1830">
        <f>C45+D45+E45+F45+G45+H45+I45+J45+K45+L45</f>
        <v/>
      </c>
      <c r="W45" s="258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69">
      <c r="A46" s="2580">
        <f>BIBLE!E52</f>
        <v/>
      </c>
      <c r="B46" s="2580">
        <f>BIBLE!F52</f>
        <v/>
      </c>
      <c r="C46" s="1699" t="n">
        <v>1</v>
      </c>
      <c r="D46" s="1815" t="n"/>
      <c r="E46" s="1815" t="n"/>
      <c r="F46" s="1816" t="n"/>
      <c r="G46" s="1817" t="n"/>
      <c r="H46" s="1378" t="n"/>
      <c r="I46" s="27" t="n"/>
      <c r="J46" s="1828" t="inlineStr">
        <is>
          <t>1 (si=10)</t>
        </is>
      </c>
      <c r="K46" s="1823" t="n"/>
      <c r="L46" s="1825" t="n"/>
      <c r="M46" s="67" t="n"/>
      <c r="N46" s="586" t="n"/>
      <c r="O46" s="1830" t="n">
        <v>2</v>
      </c>
      <c r="W46" s="2580" t="n"/>
    </row>
    <row r="47" ht="34" customFormat="1" customHeight="1" s="2469">
      <c r="A47" s="2580">
        <f>BIBLE!E53</f>
        <v/>
      </c>
      <c r="B47" s="2580">
        <f>BIBLE!F53</f>
        <v/>
      </c>
      <c r="C47" s="1699" t="n">
        <v>1</v>
      </c>
      <c r="D47" s="1815" t="n"/>
      <c r="E47" s="1815" t="n"/>
      <c r="F47" s="1816" t="n"/>
      <c r="G47" s="1817" t="n"/>
      <c r="H47" s="1378" t="n"/>
      <c r="I47" s="27" t="n"/>
      <c r="J47" s="1828" t="n">
        <v>1</v>
      </c>
      <c r="K47" s="1823" t="n"/>
      <c r="L47" s="1825" t="n"/>
      <c r="M47" s="67" t="n"/>
      <c r="N47" s="586" t="n"/>
      <c r="O47" s="1830">
        <f>C47+D47+E47+F47+G47+H47+I47+J47+K47+L47</f>
        <v/>
      </c>
      <c r="W47" s="2580" t="n"/>
    </row>
    <row r="48" ht="17" customFormat="1" customHeight="1" s="2469">
      <c r="A48" s="2580">
        <f>BIBLE!E54</f>
        <v/>
      </c>
      <c r="B48" s="258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0" t="inlineStr">
        <is>
          <t>Question à choix multiple. Veuillez svp cocher toutes les réponses qui s’appliquent à votre situation.</t>
        </is>
      </c>
    </row>
    <row r="49" ht="170" customFormat="1" customHeight="1" s="2469">
      <c r="A49" s="2580">
        <f>BIBLE!E55</f>
        <v/>
      </c>
      <c r="B49" s="2580">
        <f>BIBLE!F55</f>
        <v/>
      </c>
      <c r="C49" s="1835" t="n">
        <v>1</v>
      </c>
      <c r="D49" s="1815" t="n"/>
      <c r="E49" s="1815" t="n">
        <v>1</v>
      </c>
      <c r="F49" s="1816" t="n"/>
      <c r="G49" s="1817" t="n"/>
      <c r="H49" s="1378" t="n"/>
      <c r="I49" s="27" t="n"/>
      <c r="J49" s="1828" t="n"/>
      <c r="K49" s="1823" t="n"/>
      <c r="L49" s="1825" t="n"/>
      <c r="M49" s="67" t="n"/>
      <c r="N49" s="586" t="n"/>
      <c r="O49" s="1830">
        <f>C49+D49+E49+F49+G49+H49+I49+J49+K49+L49</f>
        <v/>
      </c>
      <c r="U49" s="2580" t="inlineStr">
        <is>
          <t xml:space="preserve">Soyez indulgent / il est important de reconnaître ou d'accepter qu'en coparentalité, il arrive que les méthodes éducatives soient légèrement différentes. Soyez flexibles. (pas rigides) Lâchez prise. </t>
        </is>
      </c>
      <c r="W49" s="2580" t="n"/>
    </row>
    <row r="50" ht="34" customFormat="1" customHeight="1" s="2469">
      <c r="A50" s="2580">
        <f>BIBLE!E56</f>
        <v/>
      </c>
      <c r="B50" s="2580">
        <f>BIBLE!F56</f>
        <v/>
      </c>
      <c r="C50" s="1699" t="n"/>
      <c r="D50" s="1815" t="n"/>
      <c r="E50" s="1815" t="n">
        <v>1</v>
      </c>
      <c r="F50" s="1816" t="n"/>
      <c r="G50" s="1817" t="n"/>
      <c r="H50" s="1378" t="n">
        <v>1</v>
      </c>
      <c r="I50" s="27" t="n"/>
      <c r="J50" s="1828" t="n"/>
      <c r="K50" s="1823" t="n"/>
      <c r="L50" s="1825" t="n"/>
      <c r="M50" s="67" t="n"/>
      <c r="N50" s="586" t="n"/>
      <c r="O50" s="1830">
        <f>C50+D50+E50+F50+G50+H50+I50+J50+K50+L50</f>
        <v/>
      </c>
      <c r="W50" s="2580" t="n"/>
    </row>
    <row r="51" ht="34" customFormat="1" customHeight="1" s="2469">
      <c r="A51" s="2580">
        <f>BIBLE!E57</f>
        <v/>
      </c>
      <c r="B51" s="2580">
        <f>BIBLE!F57</f>
        <v/>
      </c>
      <c r="C51" s="1699" t="n"/>
      <c r="D51" s="1815" t="n"/>
      <c r="E51" s="1815" t="n">
        <v>1</v>
      </c>
      <c r="F51" s="1816" t="n"/>
      <c r="G51" s="1817" t="n"/>
      <c r="H51" s="1378" t="n"/>
      <c r="I51" s="27" t="n"/>
      <c r="J51" s="1828" t="n"/>
      <c r="K51" s="1823" t="n"/>
      <c r="L51" s="1825" t="n"/>
      <c r="M51" s="67" t="n"/>
      <c r="N51" s="586" t="n"/>
      <c r="O51" s="1830">
        <f>C51+D51+E51+F51+G51+H51+I51+J51+K51+L51</f>
        <v/>
      </c>
      <c r="W51" s="2580" t="n"/>
    </row>
    <row r="52" ht="34" customFormat="1" customHeight="1" s="2469">
      <c r="A52" s="2580">
        <f>BIBLE!E58</f>
        <v/>
      </c>
      <c r="B52" s="2580">
        <f>BIBLE!F58</f>
        <v/>
      </c>
      <c r="C52" s="1699" t="n"/>
      <c r="D52" s="1815" t="n"/>
      <c r="E52" s="1815" t="n">
        <v>1</v>
      </c>
      <c r="F52" s="1816" t="n"/>
      <c r="G52" s="1817" t="n"/>
      <c r="H52" s="1378" t="n">
        <v>1</v>
      </c>
      <c r="I52" s="27" t="n"/>
      <c r="J52" s="1828" t="n"/>
      <c r="K52" s="1823" t="n"/>
      <c r="L52" s="1825" t="n"/>
      <c r="M52" s="67" t="n"/>
      <c r="N52" s="586" t="n"/>
      <c r="O52" s="1830">
        <f>C52+D52+E52+F52+G52+H52+I52+J52+K52+L52</f>
        <v/>
      </c>
      <c r="W52" s="2580" t="n"/>
    </row>
    <row r="53" ht="170" customFormat="1" customHeight="1" s="2469">
      <c r="A53" s="2580">
        <f>BIBLE!E59</f>
        <v/>
      </c>
      <c r="B53" s="258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0" t="inlineStr">
        <is>
          <t xml:space="preserve">Soyez indulgent / il est important de reconnaître ou d'accepter qu'en coparentalité, il arrive que les méthodes éducatives soient légèrement différentes. Soyez flexibles. (pas rigides) Lâchez prise. </t>
        </is>
      </c>
      <c r="W53" s="2580" t="inlineStr">
        <is>
          <t>Question à choix multiple. Veuillez svp cocher toutes les réponses qui s’appliquent à votre situation.</t>
        </is>
      </c>
    </row>
    <row r="54" ht="17" customFormat="1" customHeight="1" s="2469">
      <c r="A54" s="2580">
        <f>BIBLE!E60</f>
        <v/>
      </c>
      <c r="B54" s="258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0" t="n"/>
    </row>
    <row r="55" ht="34" customFormat="1" customHeight="1" s="2469">
      <c r="A55" s="2580">
        <f>BIBLE!E61</f>
        <v/>
      </c>
      <c r="B55" s="2580">
        <f>BIBLE!F61</f>
        <v/>
      </c>
      <c r="C55" s="1699" t="n"/>
      <c r="D55" s="1815" t="n"/>
      <c r="E55" s="1815" t="n"/>
      <c r="F55" s="1816" t="n"/>
      <c r="G55" s="1817" t="n"/>
      <c r="H55" s="1378" t="n">
        <v>1</v>
      </c>
      <c r="I55" s="27" t="n"/>
      <c r="J55" s="1828" t="n"/>
      <c r="K55" s="1823" t="n"/>
      <c r="L55" s="1825" t="n"/>
      <c r="M55" s="67" t="n"/>
      <c r="N55" s="586" t="n"/>
      <c r="O55" s="1830">
        <f>C55+D55+E55+F55+G55+H55+I55+J55+K55+L55</f>
        <v/>
      </c>
      <c r="W55" s="2580" t="n"/>
    </row>
    <row r="56" ht="34" customFormat="1" customHeight="1" s="2469">
      <c r="A56" s="2580">
        <f>BIBLE!E62</f>
        <v/>
      </c>
      <c r="B56" s="2580">
        <f>BIBLE!F62</f>
        <v/>
      </c>
      <c r="C56" s="1835" t="inlineStr">
        <is>
          <t>1 &lt;=12</t>
        </is>
      </c>
      <c r="D56" s="1815" t="n">
        <v>1</v>
      </c>
      <c r="E56" s="1815" t="n"/>
      <c r="F56" s="1816" t="n"/>
      <c r="G56" s="1817" t="n"/>
      <c r="H56" s="1378" t="n">
        <v>1</v>
      </c>
      <c r="I56" s="27" t="n"/>
      <c r="J56" s="1828" t="n"/>
      <c r="K56" s="1823" t="n"/>
      <c r="L56" s="1825" t="n"/>
      <c r="M56" s="67" t="n"/>
      <c r="N56" s="586" t="n"/>
      <c r="O56" s="1830" t="n">
        <v>3</v>
      </c>
      <c r="W56" s="258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69">
      <c r="A57" s="2580">
        <f>BIBLE!E63</f>
        <v/>
      </c>
      <c r="B57" s="2580">
        <f>BIBLE!F63</f>
        <v/>
      </c>
      <c r="C57" s="1699" t="n"/>
      <c r="D57" s="1815" t="n">
        <v>1</v>
      </c>
      <c r="E57" s="1815" t="n"/>
      <c r="F57" s="1816" t="n"/>
      <c r="G57" s="1817" t="n"/>
      <c r="H57" s="1378" t="n"/>
      <c r="I57" s="27" t="n"/>
      <c r="J57" s="1828" t="n"/>
      <c r="K57" s="1823" t="n"/>
      <c r="L57" s="1825" t="n"/>
      <c r="M57" s="67" t="n"/>
      <c r="N57" s="586" t="n"/>
      <c r="O57" s="1830">
        <f>C57+D57+E57+F57+G57+H57+I57+J57+K57+L57</f>
        <v/>
      </c>
      <c r="W57" s="2580" t="n"/>
    </row>
    <row r="58" ht="34" customFormat="1" customHeight="1" s="2469">
      <c r="A58" s="2580">
        <f>BIBLE!E64</f>
        <v/>
      </c>
      <c r="B58" s="2580">
        <f>BIBLE!F64</f>
        <v/>
      </c>
      <c r="C58" s="1699" t="n"/>
      <c r="D58" s="1815" t="n">
        <v>1</v>
      </c>
      <c r="E58" s="1815" t="n"/>
      <c r="F58" s="1816" t="n"/>
      <c r="G58" s="1817" t="n"/>
      <c r="H58" s="1378" t="n"/>
      <c r="I58" s="27" t="n"/>
      <c r="J58" s="1828" t="n"/>
      <c r="K58" s="1823" t="n"/>
      <c r="L58" s="1825" t="n"/>
      <c r="M58" s="67" t="n"/>
      <c r="N58" s="586" t="n"/>
      <c r="O58" s="1830">
        <f>C58+D58+E58+F58+G58+H58+I58+J58+K58+L58</f>
        <v/>
      </c>
      <c r="W58" s="2580" t="n"/>
    </row>
    <row r="59" ht="34" customFormat="1" customHeight="1" s="2469">
      <c r="A59" s="2580">
        <f>BIBLE!E65</f>
        <v/>
      </c>
      <c r="B59" s="2580">
        <f>BIBLE!F65</f>
        <v/>
      </c>
      <c r="C59" s="1699" t="n"/>
      <c r="D59" s="1815" t="n"/>
      <c r="E59" s="1815" t="n">
        <v>1</v>
      </c>
      <c r="F59" s="1816" t="n"/>
      <c r="G59" s="1817" t="n"/>
      <c r="H59" s="1378" t="n">
        <v>1</v>
      </c>
      <c r="I59" s="27" t="n"/>
      <c r="J59" s="1828" t="n"/>
      <c r="K59" s="1823" t="n"/>
      <c r="L59" s="1825" t="n"/>
      <c r="M59" s="67" t="n"/>
      <c r="N59" s="586" t="n"/>
      <c r="O59" s="1830">
        <f>C59+D59+E59+F59+G59+H59+I59+J59+K59+L59</f>
        <v/>
      </c>
      <c r="W59" s="2580" t="n"/>
    </row>
    <row r="60" ht="17" customFormat="1" customHeight="1" s="2469">
      <c r="A60" s="2580">
        <f>BIBLE!E66</f>
        <v/>
      </c>
      <c r="B60" s="258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0" t="n"/>
    </row>
    <row r="61" ht="85" customFormat="1" customHeight="1" s="2469">
      <c r="A61" s="2580">
        <f>BIBLE!E67</f>
        <v/>
      </c>
      <c r="B61" s="258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0" t="n"/>
    </row>
    <row r="62" ht="34" customFormat="1" customHeight="1" s="2469">
      <c r="A62" s="2580">
        <f>BIBLE!E68</f>
        <v/>
      </c>
      <c r="B62" s="2580">
        <f>BIBLE!F68</f>
        <v/>
      </c>
      <c r="C62" s="1699" t="n"/>
      <c r="D62" s="1815" t="n"/>
      <c r="E62" s="1815" t="n">
        <v>1</v>
      </c>
      <c r="F62" s="1816" t="n"/>
      <c r="G62" s="1817" t="n"/>
      <c r="H62" s="1378" t="n">
        <v>1</v>
      </c>
      <c r="I62" s="27" t="n"/>
      <c r="J62" s="1828" t="n"/>
      <c r="K62" s="1823" t="n"/>
      <c r="L62" s="1825" t="n"/>
      <c r="M62" s="67" t="n"/>
      <c r="N62" s="586" t="n"/>
      <c r="O62" s="1830">
        <f>C62+D62+E62+F62+G62+H62+I62+J62+K62+L62</f>
        <v/>
      </c>
      <c r="W62" s="2580" t="n"/>
    </row>
    <row r="63" ht="17" customFormat="1" customHeight="1" s="2469">
      <c r="A63" s="2580">
        <f>BIBLE!E69</f>
        <v/>
      </c>
      <c r="B63" s="2580">
        <f>BIBLE!F69</f>
        <v/>
      </c>
      <c r="C63" s="1699" t="n"/>
      <c r="D63" s="1815" t="n">
        <v>1</v>
      </c>
      <c r="E63" s="1815" t="n"/>
      <c r="F63" s="1816" t="n"/>
      <c r="G63" s="1817" t="n"/>
      <c r="H63" s="1378" t="n">
        <v>1</v>
      </c>
      <c r="I63" s="27" t="n"/>
      <c r="J63" s="1828" t="n"/>
      <c r="K63" s="1823" t="n"/>
      <c r="L63" s="1825" t="n"/>
      <c r="M63" s="67" t="n"/>
      <c r="N63" s="586" t="n"/>
      <c r="O63" s="1830">
        <f>C63+D63+E63+F63+G63+H63+I63+J63+K63+L63</f>
        <v/>
      </c>
      <c r="W63" s="2580" t="n"/>
    </row>
    <row r="64" ht="34" customFormat="1" customHeight="1" s="2469">
      <c r="A64" s="2580">
        <f>BIBLE!E70</f>
        <v/>
      </c>
      <c r="B64" s="2580">
        <f>BIBLE!F70</f>
        <v/>
      </c>
      <c r="C64" s="1699" t="n"/>
      <c r="D64" s="1815" t="n"/>
      <c r="E64" s="1815" t="n">
        <v>1</v>
      </c>
      <c r="F64" s="1816" t="n"/>
      <c r="G64" s="1817" t="n"/>
      <c r="H64" s="1378" t="n">
        <v>1</v>
      </c>
      <c r="I64" s="27" t="n"/>
      <c r="J64" s="1828" t="n"/>
      <c r="K64" s="1823" t="n"/>
      <c r="L64" s="1825" t="n"/>
      <c r="M64" s="67" t="n"/>
      <c r="N64" s="586" t="n"/>
      <c r="O64" s="1830">
        <f>C64+D64+E64+F64+G64+H64+I64+J64+K64+L64</f>
        <v/>
      </c>
      <c r="W64" s="2580" t="n"/>
    </row>
    <row r="65" ht="34" customFormat="1" customHeight="1" s="2469">
      <c r="A65" s="2580">
        <f>BIBLE!E71</f>
        <v/>
      </c>
      <c r="B65" s="258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0" t="n"/>
    </row>
    <row r="66" ht="34" customFormat="1" customHeight="1" s="2469">
      <c r="A66" s="2580">
        <f>BIBLE!E72</f>
        <v/>
      </c>
      <c r="B66" s="2580">
        <f>BIBLE!F72</f>
        <v/>
      </c>
      <c r="C66" s="1699" t="n"/>
      <c r="D66" s="1845" t="n">
        <v>1</v>
      </c>
      <c r="E66" s="1815" t="n"/>
      <c r="F66" s="1816" t="n"/>
      <c r="G66" s="1817" t="n"/>
      <c r="H66" s="1378" t="n">
        <v>1</v>
      </c>
      <c r="I66" s="27" t="n"/>
      <c r="J66" s="1828" t="n"/>
      <c r="K66" s="1823" t="n"/>
      <c r="L66" s="1825" t="n"/>
      <c r="M66" s="67" t="n"/>
      <c r="N66" s="586" t="n"/>
      <c r="O66" s="1830">
        <f>C66+D66+E66+F66+G66+H66+I66+J66+K66+L66</f>
        <v/>
      </c>
      <c r="W66" s="2580" t="n"/>
    </row>
    <row r="67" ht="17" customFormat="1" customHeight="1" s="2469">
      <c r="A67" s="2580">
        <f>BIBLE!E73</f>
        <v/>
      </c>
      <c r="B67" s="2580">
        <f>BIBLE!F73</f>
        <v/>
      </c>
      <c r="C67" s="1699" t="n"/>
      <c r="D67" s="1815" t="n"/>
      <c r="E67" s="1815" t="n"/>
      <c r="F67" s="1816" t="n"/>
      <c r="G67" s="1817" t="n"/>
      <c r="H67" s="1378" t="n">
        <v>1</v>
      </c>
      <c r="I67" s="27" t="n"/>
      <c r="J67" s="1828" t="n"/>
      <c r="K67" s="1823" t="n"/>
      <c r="L67" s="1825" t="n"/>
      <c r="M67" s="67" t="n"/>
      <c r="N67" s="586" t="n"/>
      <c r="O67" s="1830">
        <f>C67+D67+E67+F67+G67+H67+I67+J67+K67+L67</f>
        <v/>
      </c>
      <c r="W67" s="2580" t="n"/>
    </row>
    <row r="68" ht="34" customFormat="1" customHeight="1" s="2469">
      <c r="A68" s="2580">
        <f>BIBLE!E74</f>
        <v/>
      </c>
      <c r="B68" s="258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0" t="n"/>
    </row>
    <row r="69" ht="34" customFormat="1" customHeight="1" s="2469">
      <c r="A69" s="2580">
        <f>BIBLE!E75</f>
        <v/>
      </c>
      <c r="B69" s="258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0" t="n"/>
    </row>
    <row r="70" customFormat="1" s="2469">
      <c r="A70" s="2580" t="n"/>
      <c r="B70" s="2580" t="n"/>
      <c r="C70" s="6" t="n"/>
      <c r="D70" s="6" t="n"/>
      <c r="E70" s="6" t="n"/>
      <c r="F70" s="6" t="n"/>
      <c r="G70" s="6" t="n"/>
      <c r="H70" s="6" t="n"/>
      <c r="I70" s="6" t="n"/>
      <c r="J70" s="6" t="n"/>
      <c r="K70" s="521" t="n"/>
      <c r="L70" s="521" t="n"/>
      <c r="M70" s="67" t="n"/>
      <c r="N70" s="586" t="n"/>
      <c r="O70" s="1830" t="n"/>
      <c r="W70" s="2580" t="n"/>
    </row>
    <row r="71" customFormat="1" s="2469">
      <c r="A71" s="2580" t="n"/>
      <c r="B71" s="2580" t="n"/>
      <c r="C71" s="6" t="n"/>
      <c r="D71" s="6" t="n"/>
      <c r="E71" s="6" t="n"/>
      <c r="F71" s="6" t="n"/>
      <c r="G71" s="6" t="n"/>
      <c r="H71" s="6" t="n"/>
      <c r="I71" s="6" t="n"/>
      <c r="J71" s="6" t="n"/>
      <c r="K71" s="521" t="n"/>
      <c r="L71" s="521" t="n"/>
      <c r="M71" s="67" t="n"/>
      <c r="N71" s="586" t="n"/>
      <c r="O71" s="1830" t="n"/>
      <c r="W71" s="2580" t="n"/>
    </row>
    <row r="72" customFormat="1" s="2469">
      <c r="A72" s="2580" t="n"/>
      <c r="B72" s="2580" t="n"/>
      <c r="C72" s="6" t="n"/>
      <c r="D72" s="6" t="n"/>
      <c r="E72" s="6" t="n"/>
      <c r="F72" s="6" t="n"/>
      <c r="G72" s="6" t="n"/>
      <c r="H72" s="6" t="n"/>
      <c r="I72" s="6" t="n"/>
      <c r="J72" s="6" t="n"/>
      <c r="K72" s="521" t="n"/>
      <c r="L72" s="521" t="n"/>
      <c r="M72" s="67" t="n"/>
      <c r="N72" s="586" t="n"/>
      <c r="O72" s="1830" t="n"/>
      <c r="W72" s="2580" t="n"/>
    </row>
    <row r="73" customFormat="1" s="2469">
      <c r="A73" s="2580" t="n"/>
      <c r="B73" s="2580" t="n"/>
      <c r="C73" s="6" t="n"/>
      <c r="D73" s="6" t="n"/>
      <c r="E73" s="6" t="n"/>
      <c r="F73" s="6" t="n"/>
      <c r="G73" s="6" t="n"/>
      <c r="H73" s="6" t="n"/>
      <c r="I73" s="6" t="n"/>
      <c r="J73" s="6" t="n"/>
      <c r="K73" s="521" t="n"/>
      <c r="L73" s="521" t="n"/>
      <c r="M73" s="67" t="n"/>
      <c r="N73" s="586" t="n"/>
      <c r="O73" s="1830" t="n"/>
      <c r="W73" s="2580" t="n"/>
    </row>
    <row r="74" ht="34" customFormat="1" customHeight="1" s="2469">
      <c r="A74" s="2580">
        <f>BIBLE!E80</f>
        <v/>
      </c>
      <c r="B74" s="2580">
        <f>BIBLE!F80</f>
        <v/>
      </c>
      <c r="C74" s="1699" t="n"/>
      <c r="D74" s="1815" t="n"/>
      <c r="E74" s="1815" t="n">
        <v>1</v>
      </c>
      <c r="F74" s="1816" t="n"/>
      <c r="G74" s="1817" t="n"/>
      <c r="H74" s="1841" t="n">
        <v>1</v>
      </c>
      <c r="I74" s="27" t="n"/>
      <c r="J74" s="1828" t="n"/>
      <c r="K74" s="1823" t="n"/>
      <c r="L74" s="1825" t="n"/>
      <c r="M74" s="67" t="n"/>
      <c r="N74" s="586" t="n"/>
      <c r="O74" s="1830">
        <f>C74+D74+E74+F74+G74+H74+I74+J74+K74+L74</f>
        <v/>
      </c>
      <c r="W74" s="2580" t="inlineStr">
        <is>
          <t>L’utilisation du terme autre parent fait référence à votre coparent, donc au parent de l'enfant qui fait l'objet de cette analyse.</t>
        </is>
      </c>
    </row>
    <row r="75" ht="34" customFormat="1" customHeight="1" s="2469">
      <c r="A75" s="2580">
        <f>BIBLE!E81</f>
        <v/>
      </c>
      <c r="B75" s="2580">
        <f>BIBLE!F81</f>
        <v/>
      </c>
      <c r="C75" s="1699" t="n"/>
      <c r="D75" s="1815" t="n"/>
      <c r="E75" s="1815" t="n"/>
      <c r="F75" s="1816" t="n">
        <v>1</v>
      </c>
      <c r="G75" s="1817" t="n"/>
      <c r="H75" s="1378" t="n"/>
      <c r="I75" s="27" t="n"/>
      <c r="J75" s="1828" t="n"/>
      <c r="K75" s="1823" t="n"/>
      <c r="L75" s="1825" t="n"/>
      <c r="M75" s="67" t="n"/>
      <c r="N75" s="586" t="n"/>
      <c r="O75" s="1830">
        <f>C75+D75+E75+F75+G75+H75+I75+J75+K75+L75</f>
        <v/>
      </c>
      <c r="W75" s="2580" t="n"/>
    </row>
    <row r="76" ht="51" customFormat="1" customHeight="1" s="2469">
      <c r="A76" s="2580">
        <f>BIBLE!E82</f>
        <v/>
      </c>
      <c r="B76" s="2580">
        <f>BIBLE!F82</f>
        <v/>
      </c>
      <c r="C76" s="1699" t="n"/>
      <c r="D76" s="1815" t="n"/>
      <c r="E76" s="1815" t="n"/>
      <c r="F76" s="1816" t="n">
        <v>1</v>
      </c>
      <c r="G76" s="1817" t="n">
        <v>1</v>
      </c>
      <c r="H76" s="1378" t="n"/>
      <c r="I76" s="27" t="n"/>
      <c r="J76" s="1828" t="n"/>
      <c r="K76" s="1823" t="n"/>
      <c r="L76" s="1825" t="n"/>
      <c r="M76" s="67" t="n"/>
      <c r="N76" s="586" t="n"/>
      <c r="O76" s="1830">
        <f>C76+D76+E76+F76+G76+H76+I76+J76+K76+L76</f>
        <v/>
      </c>
      <c r="W76"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69">
      <c r="A77" s="2580">
        <f>BIBLE!E83</f>
        <v/>
      </c>
      <c r="B77" s="2580">
        <f>BIBLE!F83</f>
        <v/>
      </c>
      <c r="C77" s="1699" t="n"/>
      <c r="D77" s="1815" t="n"/>
      <c r="E77" s="1815" t="n"/>
      <c r="F77" s="1816" t="n"/>
      <c r="G77" s="1817" t="n">
        <v>1</v>
      </c>
      <c r="H77" s="1378" t="n"/>
      <c r="I77" s="27" t="n"/>
      <c r="J77" s="1828" t="n"/>
      <c r="K77" s="1823" t="n"/>
      <c r="L77" s="1825" t="n"/>
      <c r="M77" s="67" t="n"/>
      <c r="N77" s="586" t="n"/>
      <c r="O77" s="1830">
        <f>C77+D77+E77+F77+G77+H77+I77+J77+K77+L77</f>
        <v/>
      </c>
      <c r="W77" s="2580" t="n"/>
    </row>
    <row r="78" ht="34" customFormat="1" customHeight="1" s="2469">
      <c r="A78" s="2580">
        <f>BIBLE!E84</f>
        <v/>
      </c>
      <c r="B78" s="2580">
        <f>BIBLE!F84</f>
        <v/>
      </c>
      <c r="C78" s="1699" t="n"/>
      <c r="D78" s="1815" t="n"/>
      <c r="E78" s="1815" t="n"/>
      <c r="F78" s="1816" t="n"/>
      <c r="G78" s="1817" t="n"/>
      <c r="H78" s="1378" t="n">
        <v>1</v>
      </c>
      <c r="I78" s="27" t="n"/>
      <c r="J78" s="1828" t="n"/>
      <c r="K78" s="1823" t="n"/>
      <c r="L78" s="1825" t="n"/>
      <c r="M78" s="67" t="n"/>
      <c r="N78" s="586" t="n"/>
      <c r="O78" s="1830">
        <f>C78+D78+E78+F78+G78+H78+I78+J78+K78+L78</f>
        <v/>
      </c>
      <c r="W78" s="2580" t="n"/>
    </row>
    <row r="79" ht="17" customFormat="1" customHeight="1" s="2469">
      <c r="A79" s="2580">
        <f>BIBLE!E85</f>
        <v/>
      </c>
      <c r="B79" s="2580">
        <f>BIBLE!F85</f>
        <v/>
      </c>
      <c r="C79" s="1699" t="n"/>
      <c r="D79" s="1815" t="n"/>
      <c r="E79" s="1815" t="n"/>
      <c r="F79" s="1816" t="n"/>
      <c r="G79" s="1817" t="n"/>
      <c r="H79" s="1378" t="n">
        <v>1</v>
      </c>
      <c r="I79" s="27" t="n"/>
      <c r="J79" s="1828" t="n"/>
      <c r="K79" s="1823" t="n"/>
      <c r="L79" s="1825" t="n"/>
      <c r="M79" s="67" t="n"/>
      <c r="N79" s="586" t="n"/>
      <c r="O79" s="1830">
        <f>C79+D79+E79+F79+G79+H79+I79+J79+K79+L79</f>
        <v/>
      </c>
      <c r="W79" s="2580" t="n"/>
    </row>
    <row r="80" ht="17" customFormat="1" customHeight="1" s="2469">
      <c r="A80" s="2580">
        <f>BIBLE!E86</f>
        <v/>
      </c>
      <c r="B80" s="2580">
        <f>BIBLE!F86</f>
        <v/>
      </c>
      <c r="C80" s="1699" t="n"/>
      <c r="D80" s="1815" t="n"/>
      <c r="E80" s="1815" t="n"/>
      <c r="F80" s="1816" t="n"/>
      <c r="G80" s="1817" t="n"/>
      <c r="H80" s="1378" t="n">
        <v>1</v>
      </c>
      <c r="I80" s="27" t="n"/>
      <c r="J80" s="1828" t="n"/>
      <c r="K80" s="1823" t="n"/>
      <c r="L80" s="1825" t="n"/>
      <c r="M80" s="67" t="n"/>
      <c r="N80" s="586" t="n"/>
      <c r="O80" s="1830">
        <f>C80+D80+E80+F80+G80+H80+I80+J80+K80+L80</f>
        <v/>
      </c>
      <c r="W80" s="2580" t="n"/>
    </row>
    <row r="81" ht="17" customFormat="1" customHeight="1" s="2469">
      <c r="A81" s="2580">
        <f>BIBLE!E87</f>
        <v/>
      </c>
      <c r="B81" s="2580">
        <f>BIBLE!F87</f>
        <v/>
      </c>
      <c r="C81" s="1699" t="n"/>
      <c r="D81" s="1815" t="n"/>
      <c r="E81" s="1815" t="n"/>
      <c r="F81" s="1816" t="n"/>
      <c r="G81" s="1817" t="n"/>
      <c r="H81" s="1378" t="n">
        <v>1</v>
      </c>
      <c r="I81" s="27" t="n"/>
      <c r="J81" s="1828" t="n"/>
      <c r="K81" s="1823" t="n"/>
      <c r="L81" s="1825" t="n"/>
      <c r="M81" s="67" t="n"/>
      <c r="N81" s="586" t="n"/>
      <c r="O81" s="1830">
        <f>C81+D81+E81+F81+G81+H81+I81+J81+K81+L81</f>
        <v/>
      </c>
      <c r="W81" s="2580" t="n"/>
    </row>
    <row r="82" ht="51" customFormat="1" customHeight="1" s="2469">
      <c r="A82" s="2580">
        <f>BIBLE!E88</f>
        <v/>
      </c>
      <c r="B82" s="2580">
        <f>BIBLE!F88</f>
        <v/>
      </c>
      <c r="C82" s="1699" t="n"/>
      <c r="D82" s="1815" t="n"/>
      <c r="E82" s="1815" t="n"/>
      <c r="F82" s="1816" t="n"/>
      <c r="G82" s="1817" t="n"/>
      <c r="H82" s="1378" t="n">
        <v>1</v>
      </c>
      <c r="I82" s="27" t="n"/>
      <c r="J82" s="1828" t="n"/>
      <c r="K82" s="1823" t="n"/>
      <c r="L82" s="1825" t="n"/>
      <c r="M82" s="67" t="n"/>
      <c r="N82" s="586" t="n"/>
      <c r="O82" s="1830">
        <f>C82+D82+E82+F82+G82+H82+I82+J82+K82+L82</f>
        <v/>
      </c>
      <c r="W82" s="258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69">
      <c r="A83" s="2580">
        <f>BIBLE!E89</f>
        <v/>
      </c>
      <c r="B83" s="2580">
        <f>BIBLE!F89</f>
        <v/>
      </c>
      <c r="C83" s="1699" t="n"/>
      <c r="D83" s="1815" t="n"/>
      <c r="E83" s="1815" t="n"/>
      <c r="F83" s="1816" t="n"/>
      <c r="G83" s="1817" t="n"/>
      <c r="H83" s="1378" t="n">
        <v>1</v>
      </c>
      <c r="I83" s="27" t="n"/>
      <c r="J83" s="1828" t="n"/>
      <c r="K83" s="1823" t="n"/>
      <c r="L83" s="1825" t="n"/>
      <c r="M83" s="67" t="n"/>
      <c r="N83" s="586" t="n"/>
      <c r="O83" s="1830">
        <f>C83+D83+E83+F83+G83+H83+I83+J83+K83+L83</f>
        <v/>
      </c>
      <c r="W83" s="2580" t="n"/>
    </row>
    <row r="84" ht="34" customFormat="1" customHeight="1" s="2469">
      <c r="A84" s="2580">
        <f>BIBLE!E90</f>
        <v/>
      </c>
      <c r="B84" s="2580">
        <f>BIBLE!F90</f>
        <v/>
      </c>
      <c r="C84" s="1699" t="n"/>
      <c r="D84" s="1815" t="n"/>
      <c r="E84" s="1815" t="n"/>
      <c r="F84" s="1816" t="n"/>
      <c r="G84" s="1817" t="n"/>
      <c r="H84" s="1378" t="n">
        <v>1</v>
      </c>
      <c r="I84" s="27" t="n"/>
      <c r="J84" s="1828" t="n"/>
      <c r="K84" s="1823" t="n"/>
      <c r="L84" s="1825" t="n"/>
      <c r="M84" s="67" t="n"/>
      <c r="N84" s="586" t="n"/>
      <c r="O84" s="1830">
        <f>C84+D84+E84+F84+G84+H84+I84+J84+K84+L84</f>
        <v/>
      </c>
      <c r="W84" s="2580" t="n"/>
    </row>
    <row r="85" ht="17" customFormat="1" customHeight="1" s="2469">
      <c r="A85" s="2580">
        <f>BIBLE!E91</f>
        <v/>
      </c>
      <c r="B85" s="2580">
        <f>BIBLE!F91</f>
        <v/>
      </c>
      <c r="C85" s="1699" t="n"/>
      <c r="D85" s="1815" t="n"/>
      <c r="E85" s="1815" t="n"/>
      <c r="F85" s="1816" t="n"/>
      <c r="G85" s="1817" t="n"/>
      <c r="H85" s="1378" t="n">
        <v>1</v>
      </c>
      <c r="I85" s="27" t="n"/>
      <c r="J85" s="1828" t="n"/>
      <c r="K85" s="1823" t="n"/>
      <c r="L85" s="1825" t="n"/>
      <c r="M85" s="67" t="n"/>
      <c r="N85" s="586" t="n"/>
      <c r="O85" s="1830">
        <f>C85+D85+E85+F85+G85+H85+I85+J85+K85+L85</f>
        <v/>
      </c>
      <c r="W85" s="2580" t="n"/>
    </row>
    <row r="86" ht="34" customFormat="1" customHeight="1" s="2469">
      <c r="A86" s="2580">
        <f>BIBLE!E92</f>
        <v/>
      </c>
      <c r="B86" s="2580">
        <f>BIBLE!F92</f>
        <v/>
      </c>
      <c r="C86" s="1699" t="n"/>
      <c r="D86" s="1815" t="n"/>
      <c r="E86" s="1815" t="n"/>
      <c r="F86" s="1816" t="n"/>
      <c r="G86" s="1817" t="n"/>
      <c r="H86" s="1378" t="n">
        <v>1</v>
      </c>
      <c r="I86" s="27" t="n"/>
      <c r="J86" s="1828" t="n">
        <v>1</v>
      </c>
      <c r="K86" s="1823" t="n"/>
      <c r="L86" s="1825" t="n"/>
      <c r="M86" s="67" t="n"/>
      <c r="N86" s="586" t="n"/>
      <c r="O86" s="1830">
        <f>C86+D86+E86+F86+G86+H86+I86+J86+K86+L86</f>
        <v/>
      </c>
      <c r="W86" s="2580" t="n"/>
    </row>
    <row r="87" ht="34" customFormat="1" customHeight="1" s="2469">
      <c r="A87" s="2580">
        <f>BIBLE!E93</f>
        <v/>
      </c>
      <c r="B87" s="2580">
        <f>BIBLE!F93</f>
        <v/>
      </c>
      <c r="C87" s="1699" t="n"/>
      <c r="D87" s="1815" t="n"/>
      <c r="E87" s="1815" t="n"/>
      <c r="F87" s="1816" t="n"/>
      <c r="G87" s="1817" t="n"/>
      <c r="H87" s="1378" t="n">
        <v>1</v>
      </c>
      <c r="I87" s="27" t="n"/>
      <c r="J87" s="1828" t="n">
        <v>1</v>
      </c>
      <c r="K87" s="1823" t="n"/>
      <c r="L87" s="1825" t="n"/>
      <c r="M87" s="67" t="n"/>
      <c r="N87" s="586" t="n"/>
      <c r="O87" s="1830">
        <f>C87+D87+E87+F87+G87+H87+I87+J87+K87+L87</f>
        <v/>
      </c>
      <c r="W87" s="2580" t="n"/>
    </row>
    <row r="88" ht="34" customFormat="1" customHeight="1" s="2469">
      <c r="A88" s="2580">
        <f>BIBLE!E94</f>
        <v/>
      </c>
      <c r="B88" s="2580">
        <f>BIBLE!F94</f>
        <v/>
      </c>
      <c r="C88" s="1699" t="n"/>
      <c r="D88" s="1815" t="n"/>
      <c r="E88" s="1815" t="n">
        <v>1</v>
      </c>
      <c r="F88" s="1816" t="n"/>
      <c r="G88" s="1817" t="n"/>
      <c r="H88" s="1378" t="n">
        <v>1</v>
      </c>
      <c r="I88" s="27" t="n"/>
      <c r="J88" s="1828" t="n"/>
      <c r="K88" s="1823" t="n"/>
      <c r="L88" s="1825" t="n"/>
      <c r="M88" s="67" t="n"/>
      <c r="N88" s="586" t="n"/>
      <c r="O88" s="1830">
        <f>C88+D88+E88+F88+G88+H88+I88+J88+K88+L88</f>
        <v/>
      </c>
      <c r="W88" s="2580" t="n"/>
    </row>
    <row r="89" ht="34" customFormat="1" customHeight="1" s="2469">
      <c r="A89" s="2580">
        <f>BIBLE!E95</f>
        <v/>
      </c>
      <c r="B89" s="2580">
        <f>BIBLE!F95</f>
        <v/>
      </c>
      <c r="C89" s="1699" t="n"/>
      <c r="D89" s="1815" t="n"/>
      <c r="E89" s="1815" t="n"/>
      <c r="F89" s="1816" t="n"/>
      <c r="G89" s="1817" t="n">
        <v>1</v>
      </c>
      <c r="H89" s="1378" t="n"/>
      <c r="I89" s="27" t="n"/>
      <c r="J89" s="1828" t="n">
        <v>1</v>
      </c>
      <c r="K89" s="1823" t="n"/>
      <c r="L89" s="1825" t="n"/>
      <c r="M89" s="67" t="n"/>
      <c r="N89" s="586" t="n"/>
      <c r="O89" s="1830">
        <f>C89+D89+E89+F89+G89+H89+I89+J89+K89+L89</f>
        <v/>
      </c>
      <c r="W89" s="2580" t="n"/>
    </row>
    <row r="90" ht="34" customFormat="1" customHeight="1" s="2469">
      <c r="A90" s="2580">
        <f>BIBLE!E96</f>
        <v/>
      </c>
      <c r="B90" s="2580">
        <f>BIBLE!F96</f>
        <v/>
      </c>
      <c r="C90" s="1699" t="n"/>
      <c r="D90" s="1815" t="n"/>
      <c r="E90" s="1815" t="n">
        <v>1</v>
      </c>
      <c r="F90" s="1816" t="n"/>
      <c r="G90" s="1817" t="n"/>
      <c r="H90" s="1378" t="n">
        <v>1</v>
      </c>
      <c r="I90" s="27" t="n"/>
      <c r="J90" s="1828" t="n"/>
      <c r="K90" s="1823" t="n"/>
      <c r="L90" s="1825" t="n"/>
      <c r="M90" s="67" t="n"/>
      <c r="N90" s="586" t="n"/>
      <c r="O90" s="1830">
        <f>C90+D90+E90+F90+G90+H90+I90+J90+K90+L90</f>
        <v/>
      </c>
      <c r="W90" s="2580" t="n"/>
    </row>
    <row r="91" ht="34" customFormat="1" customHeight="1" s="2469">
      <c r="A91" s="2580">
        <f>BIBLE!E97</f>
        <v/>
      </c>
      <c r="B91" s="258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0" t="n"/>
    </row>
    <row r="92" ht="34" customFormat="1" customHeight="1" s="2469">
      <c r="A92" s="2580">
        <f>BIBLE!E98</f>
        <v/>
      </c>
      <c r="B92" s="2580">
        <f>BIBLE!F98</f>
        <v/>
      </c>
      <c r="C92" s="1699" t="n"/>
      <c r="D92" s="1815" t="n"/>
      <c r="E92" s="1815" t="n"/>
      <c r="F92" s="1816" t="n"/>
      <c r="G92" s="1817" t="n">
        <v>1</v>
      </c>
      <c r="H92" s="1378" t="n">
        <v>1</v>
      </c>
      <c r="I92" s="27" t="n"/>
      <c r="J92" s="1828" t="n"/>
      <c r="K92" s="1823" t="n"/>
      <c r="L92" s="1825" t="n"/>
      <c r="M92" s="67" t="n"/>
      <c r="N92" s="586" t="n"/>
      <c r="O92" s="1830">
        <f>C92+D92+E92+F92+G92+H92+I92+J92+K92+L92</f>
        <v/>
      </c>
      <c r="W92" s="2580" t="n"/>
    </row>
    <row r="93" ht="34" customFormat="1" customHeight="1" s="2469">
      <c r="A93" s="2580">
        <f>BIBLE!E99</f>
        <v/>
      </c>
      <c r="B93" s="2580">
        <f>BIBLE!F99</f>
        <v/>
      </c>
      <c r="C93" s="1699" t="n"/>
      <c r="D93" s="1815" t="n"/>
      <c r="E93" s="1815" t="n">
        <v>1</v>
      </c>
      <c r="F93" s="1816" t="n"/>
      <c r="G93" s="1817" t="n"/>
      <c r="H93" s="1378" t="n"/>
      <c r="I93" s="27" t="n"/>
      <c r="J93" s="1828" t="n"/>
      <c r="K93" s="1823" t="n"/>
      <c r="L93" s="1825" t="n"/>
      <c r="M93" s="67" t="n"/>
      <c r="N93" s="586" t="n"/>
      <c r="O93" s="1830">
        <f>C93+D93+E93+F93+G93+H93+I93+J93+K93+L93</f>
        <v/>
      </c>
      <c r="W93" s="2580" t="n"/>
    </row>
    <row r="94" ht="17" customFormat="1" customHeight="1" s="2469">
      <c r="A94" s="2580">
        <f>BIBLE!E100</f>
        <v/>
      </c>
      <c r="B94" s="258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0" t="n"/>
    </row>
    <row r="95" ht="34" customFormat="1" customHeight="1" s="2469">
      <c r="A95" s="2580">
        <f>BIBLE!E101</f>
        <v/>
      </c>
      <c r="B95" s="2580">
        <f>BIBLE!F101</f>
        <v/>
      </c>
      <c r="C95" s="1699" t="n"/>
      <c r="D95" s="1815" t="n"/>
      <c r="E95" s="1815" t="n"/>
      <c r="F95" s="1816" t="n"/>
      <c r="G95" s="1817" t="n"/>
      <c r="H95" s="1378" t="n"/>
      <c r="I95" s="27" t="n"/>
      <c r="J95" s="1828" t="n">
        <v>1</v>
      </c>
      <c r="K95" s="1823" t="n"/>
      <c r="L95" s="1825" t="n"/>
      <c r="M95" s="67" t="n"/>
      <c r="N95" s="586" t="n"/>
      <c r="O95" s="1830">
        <f>C95+D95+E95+F95+G95+H95+I95+J95+K95+L95</f>
        <v/>
      </c>
      <c r="W95" s="2580" t="n"/>
    </row>
    <row r="96" ht="34" customFormat="1" customHeight="1" s="2469">
      <c r="A96" s="2580">
        <f>BIBLE!E102</f>
        <v/>
      </c>
      <c r="B96" s="2580">
        <f>BIBLE!F102</f>
        <v/>
      </c>
      <c r="C96" s="1699" t="n"/>
      <c r="D96" s="1815" t="n"/>
      <c r="E96" s="1815" t="n"/>
      <c r="F96" s="1816" t="n"/>
      <c r="G96" s="1817" t="n"/>
      <c r="H96" s="1378" t="n"/>
      <c r="I96" s="27" t="n"/>
      <c r="J96" s="1828" t="n">
        <v>1</v>
      </c>
      <c r="K96" s="1823" t="n"/>
      <c r="L96" s="1825" t="n"/>
      <c r="M96" s="67" t="n"/>
      <c r="N96" s="586" t="n"/>
      <c r="O96" s="1830">
        <f>C96+D96+E96+F96+G96+H96+I96+J96+K96+L96</f>
        <v/>
      </c>
      <c r="W96" s="2580" t="n"/>
    </row>
    <row r="97" ht="34" customFormat="1" customHeight="1" s="2469">
      <c r="A97" s="2580">
        <f>BIBLE!E103</f>
        <v/>
      </c>
      <c r="B97" s="2580">
        <f>BIBLE!F103</f>
        <v/>
      </c>
      <c r="C97" s="1699" t="n"/>
      <c r="D97" s="1815" t="n"/>
      <c r="E97" s="1815" t="n"/>
      <c r="F97" s="1816" t="n"/>
      <c r="G97" s="1817" t="n"/>
      <c r="H97" s="1378" t="n"/>
      <c r="I97" s="27" t="n"/>
      <c r="J97" s="1828" t="n">
        <v>1</v>
      </c>
      <c r="K97" s="1823" t="n"/>
      <c r="L97" s="1825" t="n"/>
      <c r="M97" s="67" t="n"/>
      <c r="N97" s="586" t="n"/>
      <c r="O97" s="1830">
        <f>C97+D97+E97+F97+G97+H97+I97+J97+K97+L97</f>
        <v/>
      </c>
      <c r="W97" s="2580" t="n"/>
    </row>
    <row r="98" ht="34" customFormat="1" customHeight="1" s="2469">
      <c r="A98" s="2580">
        <f>BIBLE!E104</f>
        <v/>
      </c>
      <c r="B98" s="258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0" t="n"/>
    </row>
    <row r="99" ht="17" customFormat="1" customHeight="1" s="2469">
      <c r="A99" s="2580">
        <f>BIBLE!E105</f>
        <v/>
      </c>
      <c r="B99" s="258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0" t="n"/>
    </row>
    <row r="100" ht="34" customFormat="1" customHeight="1" s="2469">
      <c r="A100" s="2580">
        <f>BIBLE!E106</f>
        <v/>
      </c>
      <c r="B100" s="258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0" t="n"/>
    </row>
    <row r="101" ht="34" customFormat="1" customHeight="1" s="2469">
      <c r="A101" s="2580">
        <f>BIBLE!E107</f>
        <v/>
      </c>
      <c r="B101" s="258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0" t="n"/>
    </row>
    <row r="102" ht="34" customFormat="1" customHeight="1" s="2469">
      <c r="A102" s="2580">
        <f>BIBLE!E108</f>
        <v/>
      </c>
      <c r="B102" s="258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0" t="n"/>
    </row>
    <row r="103" ht="34" customFormat="1" customHeight="1" s="2469">
      <c r="A103" s="2580">
        <f>BIBLE!E109</f>
        <v/>
      </c>
      <c r="B103" s="258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0" t="n"/>
    </row>
    <row r="104" ht="34" customFormat="1" customHeight="1" s="2469">
      <c r="A104" s="2580">
        <f>BIBLE!E110</f>
        <v/>
      </c>
      <c r="B104" s="258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0" t="n"/>
    </row>
    <row r="105" ht="34" customFormat="1" customHeight="1" s="2469">
      <c r="A105" s="2580">
        <f>BIBLE!E111</f>
        <v/>
      </c>
      <c r="B105" s="258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0" t="n"/>
    </row>
    <row r="106" ht="34" customFormat="1" customHeight="1" s="2469">
      <c r="A106" s="2580">
        <f>BIBLE!E112</f>
        <v/>
      </c>
      <c r="B106" s="258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0" t="n"/>
    </row>
    <row r="107" ht="34" customFormat="1" customHeight="1" s="2469">
      <c r="A107" s="2580">
        <f>BIBLE!E113</f>
        <v/>
      </c>
      <c r="B107" s="258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0" t="n"/>
    </row>
    <row r="108" ht="34" customFormat="1" customHeight="1" s="2469">
      <c r="A108" s="2580">
        <f>BIBLE!E114</f>
        <v/>
      </c>
      <c r="B108" s="258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0" t="n"/>
    </row>
    <row r="109" ht="17" customFormat="1" customHeight="1" s="2469">
      <c r="A109" s="2580">
        <f>BIBLE!E115</f>
        <v/>
      </c>
      <c r="B109" s="258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0" t="n"/>
    </row>
    <row r="110" ht="34" customFormat="1" customHeight="1" s="2469">
      <c r="A110" s="2580">
        <f>BIBLE!E116</f>
        <v/>
      </c>
      <c r="B110" s="258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0" t="n"/>
    </row>
    <row r="111" ht="34" customFormat="1" customHeight="1" s="2469">
      <c r="A111" s="2580">
        <f>BIBLE!E117</f>
        <v/>
      </c>
      <c r="B111" s="258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0" t="n"/>
    </row>
    <row r="112" ht="34" customFormat="1" customHeight="1" s="2469">
      <c r="A112" s="2580">
        <f>BIBLE!E118</f>
        <v/>
      </c>
      <c r="B112" s="258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0" t="n"/>
    </row>
    <row r="113" ht="34" customFormat="1" customHeight="1" s="2469">
      <c r="A113" s="2580">
        <f>BIBLE!E119</f>
        <v/>
      </c>
      <c r="B113" s="258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69">
      <c r="A114" s="2580">
        <f>BIBLE!E120</f>
        <v/>
      </c>
      <c r="B114" s="258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0" t="n"/>
    </row>
    <row r="115" ht="34" customFormat="1" customHeight="1" s="2469">
      <c r="A115" s="2580">
        <f>BIBLE!E121</f>
        <v/>
      </c>
      <c r="B115" s="258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0" t="n"/>
    </row>
    <row r="116" ht="17" customFormat="1" customHeight="1" s="2469">
      <c r="A116" s="2580">
        <f>BIBLE!E122</f>
        <v/>
      </c>
      <c r="B116" s="258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0" t="n"/>
    </row>
    <row r="117" ht="34" customFormat="1" customHeight="1" s="2469">
      <c r="A117" s="2580">
        <f>BIBLE!E123</f>
        <v/>
      </c>
      <c r="B117" s="258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0" t="n"/>
    </row>
    <row r="118" ht="34" customFormat="1" customHeight="1" s="2469">
      <c r="A118" s="2580">
        <f>BIBLE!E124</f>
        <v/>
      </c>
      <c r="B118" s="258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0" t="n"/>
    </row>
    <row r="119" ht="17" customFormat="1" customHeight="1" s="2469">
      <c r="A119" s="2580">
        <f>BIBLE!E125</f>
        <v/>
      </c>
      <c r="B119" s="2580">
        <f>BIBLE!F125</f>
        <v/>
      </c>
      <c r="C119" s="1815" t="n"/>
      <c r="D119" s="1815" t="n"/>
      <c r="E119" s="1815" t="n"/>
      <c r="F119" s="1815" t="n"/>
      <c r="G119" s="1815" t="n"/>
      <c r="H119" s="1815" t="n"/>
      <c r="I119" s="1815" t="n"/>
      <c r="J119" s="1815" t="n"/>
      <c r="K119" s="1829" t="n"/>
      <c r="L119" s="1829" t="n"/>
      <c r="M119" s="67" t="n"/>
      <c r="N119" s="586" t="n"/>
      <c r="O119" s="1830" t="n"/>
      <c r="W119" s="2580" t="n"/>
    </row>
    <row r="120" ht="34" customFormat="1" customHeight="1" s="2469">
      <c r="A120" s="2580">
        <f>BIBLE!E126</f>
        <v/>
      </c>
      <c r="B120" s="258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0" t="n"/>
    </row>
    <row r="121" ht="34" customFormat="1" customHeight="1" s="2469">
      <c r="A121" s="2580">
        <f>BIBLE!E127</f>
        <v/>
      </c>
      <c r="B121" s="258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0" t="n"/>
    </row>
    <row r="122" ht="34" customFormat="1" customHeight="1" s="2469">
      <c r="A122" s="2580">
        <f>BIBLE!E128</f>
        <v/>
      </c>
      <c r="B122" s="258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0" t="n"/>
    </row>
    <row r="123" ht="34" customFormat="1" customHeight="1" s="2469">
      <c r="A123" s="2580">
        <f>BIBLE!E129</f>
        <v/>
      </c>
      <c r="B123" s="258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0" t="n"/>
    </row>
    <row r="124" ht="34" customFormat="1" customHeight="1" s="2469">
      <c r="A124" s="2580">
        <f>BIBLE!E130</f>
        <v/>
      </c>
      <c r="B124" s="258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0" t="n"/>
    </row>
    <row r="125" ht="34" customFormat="1" customHeight="1" s="2469">
      <c r="A125" s="2580">
        <f>BIBLE!E131</f>
        <v/>
      </c>
      <c r="B125" s="258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0" t="n"/>
    </row>
    <row r="126" ht="17" customFormat="1" customHeight="1" s="2469">
      <c r="A126" s="2580">
        <f>BIBLE!E132</f>
        <v/>
      </c>
      <c r="B126" s="2580">
        <f>BIBLE!F132</f>
        <v/>
      </c>
      <c r="C126" s="1699" t="n"/>
      <c r="D126" s="1815" t="n"/>
      <c r="E126" s="1815" t="n"/>
      <c r="F126" s="1816" t="n"/>
      <c r="G126" s="1842" t="n">
        <v>1</v>
      </c>
      <c r="H126" s="1378" t="n"/>
      <c r="I126" s="27" t="n"/>
      <c r="J126" s="1828" t="n"/>
      <c r="K126" s="1823" t="n"/>
      <c r="L126" s="1825" t="n"/>
      <c r="M126" s="67" t="n"/>
      <c r="N126" s="586" t="n"/>
      <c r="O126" s="1830" t="n"/>
      <c r="W126" s="2580" t="n"/>
    </row>
    <row r="127" ht="34" customFormat="1" customHeight="1" s="2469">
      <c r="A127" s="2580">
        <f>BIBLE!E133</f>
        <v/>
      </c>
      <c r="B127" s="258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0" t="inlineStr">
        <is>
          <t>Question à choix multiple. Veuillez svp cocher toutes les réponses qui s’appliquent à votre situation.</t>
        </is>
      </c>
    </row>
    <row r="128" ht="68" customFormat="1" customHeight="1" s="2469">
      <c r="A128" s="2580">
        <f>BIBLE!E134</f>
        <v/>
      </c>
      <c r="B128" s="258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69">
      <c r="A129" s="2580">
        <f>BIBLE!E135</f>
        <v/>
      </c>
      <c r="B129" s="258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0" t="n"/>
    </row>
    <row r="130" ht="17" customFormat="1" customHeight="1" s="2469">
      <c r="A130" s="2580">
        <f>BIBLE!E136</f>
        <v/>
      </c>
      <c r="B130" s="258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0" t="n"/>
    </row>
    <row r="131" ht="34" customFormat="1" customHeight="1" s="2469">
      <c r="A131" s="2580">
        <f>BIBLE!E137</f>
        <v/>
      </c>
      <c r="B131" s="258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0" t="n"/>
    </row>
    <row r="132" ht="34" customFormat="1" customHeight="1" s="2469">
      <c r="A132" s="2580">
        <f>BIBLE!E138</f>
        <v/>
      </c>
      <c r="B132" s="258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69" t="inlineStr">
        <is>
          <t>conseils</t>
        </is>
      </c>
      <c r="W132" s="2580" t="inlineStr">
        <is>
          <t>Question à choix multiple. Veuillez svp cocher toutes les réponses appropriées.</t>
        </is>
      </c>
    </row>
    <row r="133" ht="34" customFormat="1" customHeight="1" s="2469">
      <c r="A133" s="2580">
        <f>BIBLE!E139</f>
        <v/>
      </c>
      <c r="B133" s="258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0" t="n"/>
    </row>
    <row r="134" ht="17" customFormat="1" customHeight="1" s="2469">
      <c r="A134" s="2580">
        <f>BIBLE!E140</f>
        <v/>
      </c>
      <c r="B134" s="258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0" t="n"/>
    </row>
    <row r="135" ht="34" customFormat="1" customHeight="1" s="2469">
      <c r="A135" s="2580">
        <f>BIBLE!E141</f>
        <v/>
      </c>
      <c r="B135" s="258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0" t="n"/>
    </row>
    <row r="136" ht="34" customFormat="1" customHeight="1" s="2469">
      <c r="A136" s="2580">
        <f>BIBLE!E142</f>
        <v/>
      </c>
      <c r="B136" s="258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0" t="n"/>
    </row>
    <row r="137" ht="34" customFormat="1" customHeight="1" s="2469">
      <c r="A137" s="2580">
        <f>BIBLE!E143</f>
        <v/>
      </c>
      <c r="B137" s="258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0" t="n"/>
    </row>
    <row r="138" ht="34" customFormat="1" customHeight="1" s="2469">
      <c r="A138" s="2580">
        <f>BIBLE!E144</f>
        <v/>
      </c>
      <c r="B138" s="258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0" t="n"/>
    </row>
    <row r="139" ht="34" customFormat="1" customHeight="1" s="2469">
      <c r="A139" s="2580">
        <f>BIBLE!E145</f>
        <v/>
      </c>
      <c r="B139" s="258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0" t="n"/>
    </row>
    <row r="140" ht="17" customFormat="1" customHeight="1" s="2469">
      <c r="A140" s="2580">
        <f>BIBLE!E146</f>
        <v/>
      </c>
      <c r="B140" s="258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0" t="n"/>
    </row>
    <row r="141" ht="34" customFormat="1" customHeight="1" s="2469">
      <c r="A141" s="2580">
        <f>BIBLE!E147</f>
        <v/>
      </c>
      <c r="B141" s="258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0" t="inlineStr">
        <is>
          <t xml:space="preserve">conseils … principe de base </t>
        </is>
      </c>
      <c r="W141" s="2580" t="inlineStr">
        <is>
          <t>Question à choix multiple. Veuillez svp cocher toutes les réponses appropriées.</t>
        </is>
      </c>
    </row>
    <row r="142" customFormat="1" s="2469">
      <c r="A142" s="2580" t="n"/>
      <c r="B142" s="2580" t="n"/>
      <c r="C142" s="6" t="n"/>
      <c r="D142" s="6" t="n"/>
      <c r="E142" s="6" t="n"/>
      <c r="F142" s="6" t="n"/>
      <c r="G142" s="1851" t="n"/>
      <c r="H142" s="6" t="n"/>
      <c r="I142" s="6" t="n"/>
      <c r="J142" s="6" t="n"/>
      <c r="K142" s="521" t="n"/>
      <c r="L142" s="521" t="n"/>
      <c r="M142" s="67" t="n"/>
      <c r="N142" s="586" t="n"/>
      <c r="O142" s="1830" t="n"/>
      <c r="U142" s="2580" t="n"/>
      <c r="W142" s="2580" t="n"/>
    </row>
    <row r="143" customFormat="1" s="2469">
      <c r="A143" s="2580" t="n"/>
      <c r="B143" s="2580" t="n"/>
      <c r="C143" s="6" t="n"/>
      <c r="D143" s="6" t="n"/>
      <c r="E143" s="6" t="n"/>
      <c r="F143" s="6" t="n"/>
      <c r="G143" s="1851" t="n"/>
      <c r="H143" s="6" t="n"/>
      <c r="I143" s="6" t="n"/>
      <c r="J143" s="6" t="n"/>
      <c r="K143" s="521" t="n"/>
      <c r="L143" s="521" t="n"/>
      <c r="M143" s="67" t="n"/>
      <c r="N143" s="586" t="n"/>
      <c r="O143" s="1830" t="n"/>
      <c r="U143" s="2580" t="n"/>
      <c r="W143" s="2580" t="n"/>
    </row>
    <row r="144" customFormat="1" s="2469">
      <c r="A144" s="2580" t="n"/>
      <c r="B144" s="2580" t="n"/>
      <c r="C144" s="6" t="n"/>
      <c r="D144" s="6" t="n"/>
      <c r="E144" s="6" t="n"/>
      <c r="F144" s="6" t="n"/>
      <c r="G144" s="6" t="n"/>
      <c r="H144" s="6" t="n"/>
      <c r="I144" s="6" t="n"/>
      <c r="J144" s="6" t="n"/>
      <c r="K144" s="521" t="n"/>
      <c r="L144" s="521" t="n"/>
      <c r="M144" s="67" t="n"/>
      <c r="N144" s="586" t="n"/>
      <c r="O144" s="1830" t="n"/>
      <c r="W144" s="2580" t="n"/>
    </row>
    <row r="145" customFormat="1" s="2469">
      <c r="A145" s="2580" t="n"/>
      <c r="B145" s="2580" t="n"/>
      <c r="C145" s="6" t="n"/>
      <c r="D145" s="6" t="n"/>
      <c r="E145" s="6" t="n"/>
      <c r="F145" s="6" t="n"/>
      <c r="G145" s="6" t="n"/>
      <c r="H145" s="6" t="n"/>
      <c r="I145" s="6" t="n"/>
      <c r="J145" s="6" t="n"/>
      <c r="K145" s="521" t="n"/>
      <c r="L145" s="521" t="n"/>
      <c r="M145" s="67" t="n"/>
      <c r="N145" s="586" t="n"/>
      <c r="O145" s="1830" t="n"/>
      <c r="W145" s="2580" t="n"/>
    </row>
    <row r="146" customFormat="1" s="2469">
      <c r="A146" s="2580" t="n"/>
      <c r="B146" s="2580" t="n"/>
      <c r="C146" s="6" t="n"/>
      <c r="D146" s="6" t="n"/>
      <c r="E146" s="6" t="n"/>
      <c r="F146" s="6" t="n"/>
      <c r="G146" s="6" t="n"/>
      <c r="H146" s="6" t="n"/>
      <c r="I146" s="6" t="n"/>
      <c r="J146" s="6" t="n"/>
      <c r="K146" s="521" t="n"/>
      <c r="L146" s="521" t="n"/>
      <c r="M146" s="67" t="n"/>
      <c r="N146" s="586" t="n"/>
      <c r="O146" s="1830" t="n"/>
      <c r="W146" s="2580" t="n"/>
    </row>
    <row r="147" ht="34" customFormat="1" customHeight="1" s="2469">
      <c r="A147" s="2580">
        <f>BIBLE!E151</f>
        <v/>
      </c>
      <c r="B147" s="258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0" t="n"/>
    </row>
    <row r="148" ht="51" customFormat="1" customHeight="1" s="2469">
      <c r="A148" s="2580">
        <f>BIBLE!E152</f>
        <v/>
      </c>
      <c r="B148" s="258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69">
      <c r="A149" s="2580">
        <f>BIBLE!E153</f>
        <v/>
      </c>
      <c r="B149" s="258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0" t="n"/>
    </row>
    <row r="150" ht="34" customFormat="1" customHeight="1" s="2469">
      <c r="A150" s="2580">
        <f>BIBLE!E154</f>
        <v/>
      </c>
      <c r="B150" s="258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0" t="n"/>
    </row>
    <row r="151" ht="17" customFormat="1" customHeight="1" s="2469">
      <c r="A151" s="2580">
        <f>BIBLE!E155</f>
        <v/>
      </c>
      <c r="B151" s="258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0" t="n"/>
    </row>
    <row r="152" ht="17" customFormat="1" customHeight="1" s="2469">
      <c r="A152" s="2580">
        <f>BIBLE!E156</f>
        <v/>
      </c>
      <c r="B152" s="258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0" t="n"/>
    </row>
    <row r="153" ht="34" customFormat="1" customHeight="1" s="2469">
      <c r="A153" s="2580">
        <f>BIBLE!E157</f>
        <v/>
      </c>
      <c r="B153" s="258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0" t="n"/>
    </row>
    <row r="154" ht="17" customFormat="1" customHeight="1" s="2469">
      <c r="A154" s="2580">
        <f>BIBLE!E158</f>
        <v/>
      </c>
      <c r="B154" s="258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0" t="n"/>
    </row>
    <row r="155" ht="17" customFormat="1" customHeight="1" s="2469">
      <c r="A155" s="2580">
        <f>BIBLE!E159</f>
        <v/>
      </c>
      <c r="B155" s="258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0" t="n"/>
    </row>
    <row r="156" ht="17" customFormat="1" customHeight="1" s="2469">
      <c r="A156" s="2580">
        <f>BIBLE!E160</f>
        <v/>
      </c>
      <c r="B156" s="2580">
        <f>BIBLE!F160</f>
        <v/>
      </c>
      <c r="C156" s="1699" t="n"/>
      <c r="D156" s="1699" t="n"/>
      <c r="E156" s="1699" t="n"/>
      <c r="F156" s="1699" t="n"/>
      <c r="G156" s="1699" t="n"/>
      <c r="H156" s="1699" t="n"/>
      <c r="I156" s="1699" t="n"/>
      <c r="J156" s="1699" t="n"/>
      <c r="K156" s="1699" t="n"/>
      <c r="L156" s="1699" t="n"/>
      <c r="M156" s="67" t="inlineStr">
        <is>
          <t>Constats</t>
        </is>
      </c>
      <c r="N156" s="586" t="n"/>
      <c r="O156" s="1830" t="n"/>
      <c r="W156" s="2580" t="inlineStr">
        <is>
          <t>Question à choix multiple. Veuillez svp cocher toutes les réponses qui s’appliquent à votre situation.</t>
        </is>
      </c>
    </row>
    <row r="157" ht="17" customFormat="1" customHeight="1" s="2469">
      <c r="A157" s="2580">
        <f>BIBLE!E161</f>
        <v/>
      </c>
      <c r="B157" s="258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0" t="n"/>
    </row>
    <row r="158" ht="34" customFormat="1" customHeight="1" s="2469">
      <c r="A158" s="2580">
        <f>BIBLE!E162</f>
        <v/>
      </c>
      <c r="B158" s="258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0" t="n"/>
    </row>
    <row r="159" ht="34" customFormat="1" customHeight="1" s="2469">
      <c r="A159" s="2580">
        <f>BIBLE!E163</f>
        <v/>
      </c>
      <c r="B159" s="258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0" t="n"/>
    </row>
    <row r="160" ht="34" customFormat="1" customHeight="1" s="2469">
      <c r="A160" s="2580">
        <f>BIBLE!E164</f>
        <v/>
      </c>
      <c r="B160" s="258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0" t="n"/>
    </row>
    <row r="161" ht="34" customFormat="1" customHeight="1" s="2469">
      <c r="A161" s="2580">
        <f>BIBLE!E165</f>
        <v/>
      </c>
      <c r="B161" s="258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0" t="n"/>
    </row>
    <row r="162" ht="17" customFormat="1" customHeight="1" s="2469">
      <c r="A162" s="2580">
        <f>BIBLE!E166</f>
        <v/>
      </c>
      <c r="B162" s="258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0" t="n"/>
    </row>
    <row r="163" ht="34" customFormat="1" customHeight="1" s="2469">
      <c r="A163" s="2580">
        <f>BIBLE!E167</f>
        <v/>
      </c>
      <c r="B163" s="258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0" t="n"/>
    </row>
    <row r="164" ht="34" customFormat="1" customHeight="1" s="2469">
      <c r="A164" s="2580">
        <f>BIBLE!E168</f>
        <v/>
      </c>
      <c r="B164" s="258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0" t="n"/>
    </row>
    <row r="165" ht="17" customFormat="1" customHeight="1" s="2469">
      <c r="A165" s="2580">
        <f>BIBLE!E169</f>
        <v/>
      </c>
      <c r="B165" s="258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0" t="n"/>
    </row>
    <row r="166" ht="34" customFormat="1" customHeight="1" s="2469">
      <c r="A166" s="2580">
        <f>BIBLE!E170</f>
        <v/>
      </c>
      <c r="B166" s="258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0" t="n"/>
    </row>
    <row r="167" ht="34" customFormat="1" customHeight="1" s="2469">
      <c r="A167" s="2580">
        <f>BIBLE!E171</f>
        <v/>
      </c>
      <c r="B167" s="258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0" t="n"/>
    </row>
    <row r="168" ht="34" customFormat="1" customHeight="1" s="2469">
      <c r="A168" s="2580">
        <f>BIBLE!E172</f>
        <v/>
      </c>
      <c r="B168" s="258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0" t="n"/>
    </row>
    <row r="169" ht="17" customFormat="1" customHeight="1" s="2469">
      <c r="A169" s="2580">
        <f>BIBLE!E173</f>
        <v/>
      </c>
      <c r="B169" s="258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0" t="n"/>
    </row>
    <row r="170" ht="34" customFormat="1" customHeight="1" s="2469">
      <c r="A170" s="2580">
        <f>BIBLE!E174</f>
        <v/>
      </c>
      <c r="B170" s="2580">
        <f>BIBLE!F174</f>
        <v/>
      </c>
      <c r="C170" s="1815" t="n"/>
      <c r="D170" s="1815" t="n"/>
      <c r="E170" s="1815" t="n"/>
      <c r="F170" s="1815" t="n"/>
      <c r="G170" s="1815" t="n"/>
      <c r="H170" s="1815" t="n"/>
      <c r="I170" s="1815" t="n"/>
      <c r="J170" s="1815" t="n"/>
      <c r="K170" s="1815" t="n"/>
      <c r="L170" s="1815" t="n"/>
      <c r="M170" s="67" t="n"/>
      <c r="N170" s="586" t="n"/>
      <c r="O170" s="1830" t="n"/>
      <c r="W170" s="2580" t="inlineStr">
        <is>
          <t>Question à choix multiple. Veuillez svp cocher toutes les réponses qui s’appliquent à votre situation.</t>
        </is>
      </c>
    </row>
    <row r="171" ht="51" customFormat="1" customHeight="1" s="2469">
      <c r="A171" s="2580">
        <f>BIBLE!E175</f>
        <v/>
      </c>
      <c r="B171" s="258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0" t="n"/>
    </row>
    <row r="172" ht="51" customFormat="1" customHeight="1" s="2469">
      <c r="A172" s="2580">
        <f>BIBLE!E176</f>
        <v/>
      </c>
      <c r="B172" s="258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0" t="n"/>
    </row>
    <row r="173" ht="17" customFormat="1" customHeight="1" s="2469">
      <c r="A173" s="2580">
        <f>BIBLE!E177</f>
        <v/>
      </c>
      <c r="B173" s="258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0" t="n"/>
    </row>
    <row r="174" ht="34" customFormat="1" customHeight="1" s="2469">
      <c r="A174" s="2580">
        <f>BIBLE!E178</f>
        <v/>
      </c>
      <c r="B174" s="258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0" t="n"/>
    </row>
    <row r="175" ht="34" customFormat="1" customHeight="1" s="2469">
      <c r="A175" s="2580">
        <f>BIBLE!E179</f>
        <v/>
      </c>
      <c r="B175" s="258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0" t="n"/>
    </row>
    <row r="176" ht="34" customFormat="1" customHeight="1" s="2469">
      <c r="A176" s="2580">
        <f>BIBLE!E180</f>
        <v/>
      </c>
      <c r="B176" s="258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0" t="n"/>
    </row>
    <row r="177" ht="34" customFormat="1" customHeight="1" s="2469">
      <c r="A177" s="2580">
        <f>BIBLE!E181</f>
        <v/>
      </c>
      <c r="B177" s="258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69">
      <c r="A179" s="2580">
        <f>BIBLE!E183</f>
        <v/>
      </c>
      <c r="B179" s="258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0" t="n"/>
    </row>
    <row r="180" ht="34" customFormat="1" customHeight="1" s="2469">
      <c r="A180" s="2580">
        <f>BIBLE!E184</f>
        <v/>
      </c>
      <c r="B180" s="258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0" t="n"/>
    </row>
    <row r="181" ht="51" customFormat="1" customHeight="1" s="2469">
      <c r="A181" s="2580">
        <f>BIBLE!E185</f>
        <v/>
      </c>
      <c r="B181" s="258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0" t="n"/>
    </row>
    <row r="182" ht="34" customFormat="1" customHeight="1" s="2469">
      <c r="A182" s="2580">
        <f>BIBLE!E186</f>
        <v/>
      </c>
      <c r="B182" s="258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0" t="n"/>
    </row>
    <row r="183" ht="34" customFormat="1" customHeight="1" s="2469">
      <c r="A183" s="2580">
        <f>BIBLE!E187</f>
        <v/>
      </c>
      <c r="B183" s="258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0" t="n"/>
    </row>
    <row r="184" ht="34" customFormat="1" customHeight="1" s="2469">
      <c r="A184" s="2580">
        <f>BIBLE!E188</f>
        <v/>
      </c>
      <c r="B184" s="258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0" t="n"/>
    </row>
    <row r="185" ht="17" customFormat="1" customHeight="1" s="2469">
      <c r="A185" s="2580">
        <f>BIBLE!E189</f>
        <v/>
      </c>
      <c r="B185" s="258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0" t="n"/>
    </row>
    <row r="186" ht="34" customFormat="1" customHeight="1" s="2469">
      <c r="A186" s="2580">
        <f>BIBLE!E190</f>
        <v/>
      </c>
      <c r="B186" s="258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0" t="n"/>
    </row>
    <row r="187" ht="34" customFormat="1" customHeight="1" s="2469">
      <c r="A187" s="2580">
        <f>BIBLE!E191</f>
        <v/>
      </c>
      <c r="B187" s="258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0" t="n"/>
    </row>
    <row r="188" ht="17" customFormat="1" customHeight="1" s="2469">
      <c r="A188" s="2580">
        <f>BIBLE!E192</f>
        <v/>
      </c>
      <c r="B188" s="258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0" t="n"/>
    </row>
    <row r="189" ht="34" customFormat="1" customHeight="1" s="2469">
      <c r="A189" s="2580">
        <f>BIBLE!E193</f>
        <v/>
      </c>
      <c r="B189" s="258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0" t="n"/>
    </row>
    <row r="190" ht="34" customFormat="1" customHeight="1" s="2469">
      <c r="A190" s="2580">
        <f>BIBLE!E194</f>
        <v/>
      </c>
      <c r="B190" s="258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0" t="n"/>
    </row>
    <row r="191" ht="34" customFormat="1" customHeight="1" s="2469">
      <c r="A191" s="2580">
        <f>BIBLE!E195</f>
        <v/>
      </c>
      <c r="B191" s="258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0" t="n"/>
    </row>
    <row r="192" ht="34" customFormat="1" customHeight="1" s="2469">
      <c r="A192" s="2580">
        <f>BIBLE!E196</f>
        <v/>
      </c>
      <c r="B192" s="258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0" t="n"/>
    </row>
    <row r="193" ht="34" customFormat="1" customHeight="1" s="2469">
      <c r="A193" s="2580">
        <f>BIBLE!E197</f>
        <v/>
      </c>
      <c r="B193" s="258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0" t="n"/>
    </row>
    <row r="194" ht="17" customFormat="1" customHeight="1" s="2469">
      <c r="A194" s="258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0" t="n"/>
    </row>
    <row r="195" ht="34" customFormat="1" customHeight="1" s="2469">
      <c r="A195" s="2580">
        <f>BIBLE!E199</f>
        <v/>
      </c>
      <c r="B195" s="258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0" t="n"/>
    </row>
    <row r="196" ht="34" customFormat="1" customHeight="1" s="2469">
      <c r="A196" s="2580">
        <f>BIBLE!E200</f>
        <v/>
      </c>
      <c r="B196" s="258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0" t="n"/>
    </row>
    <row r="197" ht="34" customFormat="1" customHeight="1" s="2469">
      <c r="A197" s="2580">
        <f>BIBLE!E201</f>
        <v/>
      </c>
      <c r="B197" s="258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0" t="n"/>
    </row>
    <row r="198" ht="17" customFormat="1" customHeight="1" s="2469">
      <c r="A198" s="2580">
        <f>BIBLE!E202</f>
        <v/>
      </c>
      <c r="B198" s="258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0" t="n"/>
    </row>
    <row r="199" ht="34" customFormat="1" customHeight="1" s="2469">
      <c r="A199" s="2580">
        <f>BIBLE!E203</f>
        <v/>
      </c>
      <c r="B199" s="2580">
        <f>BIBLE!F203</f>
        <v/>
      </c>
      <c r="C199" s="1815" t="n"/>
      <c r="D199" s="1815" t="n"/>
      <c r="E199" s="1815" t="n"/>
      <c r="F199" s="1815" t="n"/>
      <c r="G199" s="1815" t="n"/>
      <c r="H199" s="1815" t="n"/>
      <c r="I199" s="1815" t="n"/>
      <c r="J199" s="1815" t="n"/>
      <c r="K199" s="1815" t="n"/>
      <c r="L199" s="1815" t="n"/>
      <c r="M199" s="67" t="n"/>
      <c r="N199" s="586" t="n"/>
      <c r="O199" s="1830" t="n"/>
      <c r="W199" s="2580" t="n"/>
    </row>
    <row r="200" ht="34" customFormat="1" customHeight="1" s="2469">
      <c r="A200" s="2580">
        <f>BIBLE!E204</f>
        <v/>
      </c>
      <c r="B200" s="258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0" t="n"/>
    </row>
    <row r="201" ht="17" customFormat="1" customHeight="1" s="2469">
      <c r="A201" s="2580">
        <f>BIBLE!E205</f>
        <v/>
      </c>
      <c r="B201" s="258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0" t="n"/>
    </row>
    <row r="202" ht="17" customFormat="1" customHeight="1" s="2469">
      <c r="A202" s="2580">
        <f>BIBLE!E206</f>
        <v/>
      </c>
      <c r="B202" s="2580">
        <f>BIBLE!F206</f>
        <v/>
      </c>
      <c r="C202" s="1815" t="n"/>
      <c r="D202" s="1815" t="n"/>
      <c r="E202" s="1815" t="n"/>
      <c r="F202" s="1815" t="n"/>
      <c r="G202" s="1815" t="n"/>
      <c r="H202" s="1815" t="n"/>
      <c r="I202" s="1815" t="n"/>
      <c r="J202" s="1815" t="n"/>
      <c r="K202" s="1815" t="n"/>
      <c r="L202" s="1815" t="n"/>
      <c r="M202" s="67" t="n"/>
      <c r="N202" s="586" t="n"/>
      <c r="O202" s="1830" t="n"/>
      <c r="W202" s="2580" t="n"/>
    </row>
    <row r="203" ht="34" customFormat="1" customHeight="1" s="2469">
      <c r="A203" s="2580">
        <f>BIBLE!E207</f>
        <v/>
      </c>
      <c r="B203" s="258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0" t="n"/>
    </row>
    <row r="204" ht="34" customFormat="1" customHeight="1" s="2469">
      <c r="A204" s="2580">
        <f>BIBLE!E208</f>
        <v/>
      </c>
      <c r="B204" s="258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0" t="n"/>
    </row>
    <row r="205" ht="34" customFormat="1" customHeight="1" s="2469">
      <c r="A205" s="2580">
        <f>BIBLE!E209</f>
        <v/>
      </c>
      <c r="B205" s="2580">
        <f>BIBLE!F209</f>
        <v/>
      </c>
      <c r="C205" s="1815" t="n"/>
      <c r="D205" s="1815" t="n"/>
      <c r="E205" s="1815" t="n"/>
      <c r="F205" s="1815" t="n"/>
      <c r="G205" s="1815" t="n"/>
      <c r="H205" s="1815" t="n"/>
      <c r="I205" s="1815" t="n"/>
      <c r="J205" s="1815" t="n"/>
      <c r="K205" s="1815" t="n"/>
      <c r="L205" s="1815" t="n"/>
      <c r="M205" s="67" t="n"/>
      <c r="N205" s="586" t="n"/>
      <c r="O205" s="1830" t="n"/>
      <c r="W205" s="2580" t="n"/>
    </row>
    <row r="206" ht="34" customFormat="1" customHeight="1" s="2469">
      <c r="A206" s="2580">
        <f>BIBLE!E210</f>
        <v/>
      </c>
      <c r="B206" s="258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0" t="inlineStr">
        <is>
          <t>Question à choix unique. Veuillez svp choisir la réponse qui représente le mieux votre situation.</t>
        </is>
      </c>
    </row>
    <row r="207" customFormat="1" s="2469">
      <c r="A207" s="2580" t="n"/>
      <c r="B207" s="2580" t="n"/>
      <c r="C207" s="1699" t="n"/>
      <c r="D207" s="1815" t="n"/>
      <c r="E207" s="1815" t="n"/>
      <c r="F207" s="1816" t="n"/>
      <c r="G207" s="1817" t="n"/>
      <c r="H207" s="1378" t="n"/>
      <c r="I207" s="27" t="n"/>
      <c r="J207" s="1828" t="n"/>
      <c r="K207" s="1823" t="n"/>
      <c r="L207" s="1825" t="n"/>
      <c r="M207" s="67" t="n"/>
      <c r="N207" s="586" t="n"/>
      <c r="O207" s="1830">
        <f>C207+D207+E207+F207+G207+H207+I207+J207+K207+L207</f>
        <v/>
      </c>
      <c r="W207" s="2580" t="n"/>
    </row>
    <row r="208" customFormat="1" s="2469">
      <c r="A208" s="2580" t="n"/>
      <c r="B208" s="2580" t="n"/>
      <c r="C208" s="1699" t="n"/>
      <c r="D208" s="1815" t="n"/>
      <c r="E208" s="1815" t="n"/>
      <c r="F208" s="1816" t="n"/>
      <c r="G208" s="1817" t="n"/>
      <c r="H208" s="1378" t="n"/>
      <c r="I208" s="27" t="n"/>
      <c r="J208" s="1828" t="n"/>
      <c r="K208" s="1823" t="n"/>
      <c r="L208" s="1825" t="n"/>
      <c r="M208" s="67" t="n"/>
      <c r="N208" s="586" t="n"/>
      <c r="O208" s="1830">
        <f>C208+D208+E208+F208+G208+H208+I208+J208+K208+L208</f>
        <v/>
      </c>
      <c r="W208" s="2580" t="n"/>
    </row>
    <row r="209" ht="68" customFormat="1" customHeight="1" s="2469">
      <c r="A209" s="2580">
        <f>BIBLE!E213</f>
        <v/>
      </c>
      <c r="B209" s="258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0" t="inlineStr">
        <is>
          <t>Question à choix unique. Veuillez svp choisir la réponse qui représente le mieux votre situation.</t>
        </is>
      </c>
    </row>
    <row r="210" ht="51" customFormat="1" customHeight="1" s="2469">
      <c r="A210" s="2580">
        <f>BIBLE!E214</f>
        <v/>
      </c>
      <c r="B210" s="258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0" t="inlineStr">
        <is>
          <t>Question à choix unique. Veuillez svp choisir la réponse qui représente le mieux votre situation.</t>
        </is>
      </c>
    </row>
    <row r="211" customFormat="1" s="2469">
      <c r="A211" s="2580" t="n"/>
      <c r="B211" s="2580" t="n"/>
      <c r="C211" s="6" t="n"/>
      <c r="D211" s="6" t="n"/>
      <c r="E211" s="6" t="n"/>
      <c r="F211" s="6" t="n"/>
      <c r="G211" s="6" t="n"/>
      <c r="H211" s="6" t="n"/>
      <c r="I211" s="6" t="n"/>
      <c r="J211" s="6" t="n"/>
      <c r="K211" s="6" t="n"/>
      <c r="L211" s="6" t="n"/>
      <c r="M211" s="67" t="n"/>
      <c r="N211" s="67" t="n"/>
      <c r="O211" s="1830" t="n"/>
      <c r="W211" s="2580" t="n"/>
    </row>
    <row r="212" customFormat="1" s="2469">
      <c r="A212" s="2580" t="n"/>
      <c r="B212" s="2580" t="n"/>
      <c r="C212" s="6" t="n"/>
      <c r="D212" s="6" t="n"/>
      <c r="E212" s="6" t="n"/>
      <c r="F212" s="6" t="n"/>
      <c r="G212" s="6" t="n"/>
      <c r="H212" s="6" t="n"/>
      <c r="I212" s="6" t="n"/>
      <c r="J212" s="6" t="n"/>
      <c r="K212" s="6" t="n"/>
      <c r="L212" s="6" t="n"/>
      <c r="M212" s="67" t="n"/>
      <c r="N212" s="67" t="n"/>
      <c r="O212" s="1830" t="n"/>
      <c r="W212" s="2580" t="n"/>
    </row>
    <row r="213" customFormat="1" s="2469">
      <c r="A213" s="2580" t="n"/>
      <c r="B213" s="2580" t="n"/>
      <c r="C213" s="6" t="n"/>
      <c r="D213" s="6" t="n"/>
      <c r="E213" s="6" t="n"/>
      <c r="F213" s="6" t="n"/>
      <c r="G213" s="6" t="n"/>
      <c r="H213" s="6" t="n"/>
      <c r="I213" s="6" t="n"/>
      <c r="J213" s="6" t="n"/>
      <c r="K213" s="6" t="n"/>
      <c r="L213" s="6" t="n"/>
      <c r="M213" s="67" t="n"/>
      <c r="N213" s="67" t="n"/>
      <c r="O213" s="1830" t="n"/>
      <c r="W213" s="2580" t="n"/>
    </row>
    <row r="214" customFormat="1" s="2469">
      <c r="A214" s="2580" t="n"/>
      <c r="B214" s="2580" t="n"/>
      <c r="C214" s="6" t="n"/>
      <c r="D214" s="6" t="n"/>
      <c r="E214" s="6" t="n"/>
      <c r="F214" s="6" t="n"/>
      <c r="G214" s="6" t="n"/>
      <c r="H214" s="6" t="n"/>
      <c r="I214" s="6" t="n"/>
      <c r="J214" s="6" t="n"/>
      <c r="K214" s="6" t="n"/>
      <c r="L214" s="6" t="n"/>
      <c r="M214" s="67" t="n"/>
      <c r="N214" s="586" t="n"/>
      <c r="O214" s="1830" t="n"/>
      <c r="W214" s="2580" t="n"/>
    </row>
    <row r="215" customFormat="1" s="2469">
      <c r="A215" s="2580" t="n"/>
      <c r="B215" s="2580" t="n"/>
      <c r="C215" s="6" t="n"/>
      <c r="D215" s="6" t="n"/>
      <c r="E215" s="6" t="n"/>
      <c r="F215" s="6" t="n"/>
      <c r="G215" s="6" t="n"/>
      <c r="H215" s="6" t="n"/>
      <c r="I215" s="6" t="n"/>
      <c r="J215" s="6" t="n"/>
      <c r="K215" s="521" t="n"/>
      <c r="L215" s="521" t="n"/>
      <c r="M215" s="67" t="n"/>
      <c r="N215" s="586" t="n"/>
      <c r="O215" s="1830" t="n"/>
      <c r="W215" s="2580" t="n"/>
    </row>
    <row r="216" ht="34" customFormat="1" customHeight="1" s="2469">
      <c r="A216" s="2580">
        <f>BIBLE!E216</f>
        <v/>
      </c>
      <c r="B216" s="2580">
        <f>BIBLE!F216</f>
        <v/>
      </c>
      <c r="C216" s="1815" t="n"/>
      <c r="D216" s="1815" t="n"/>
      <c r="E216" s="1815" t="n"/>
      <c r="F216" s="1815" t="n"/>
      <c r="G216" s="1815" t="n"/>
      <c r="H216" s="1815" t="n"/>
      <c r="I216" s="1815" t="n"/>
      <c r="J216" s="1815" t="n"/>
      <c r="K216" s="1829" t="n"/>
      <c r="L216" s="1829" t="n"/>
      <c r="M216" s="67" t="n"/>
      <c r="N216" s="586" t="n"/>
      <c r="O216" s="1830" t="inlineStr">
        <is>
          <t>Unique</t>
        </is>
      </c>
      <c r="W216" s="2580" t="n"/>
    </row>
    <row r="217" ht="17" customFormat="1" customHeight="1" s="2469">
      <c r="A217" s="2580">
        <f>BIBLE!E217</f>
        <v/>
      </c>
      <c r="B217" s="258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0" t="n"/>
    </row>
    <row r="218" ht="17" customFormat="1" customHeight="1" s="2469">
      <c r="A218" s="2580">
        <f>BIBLE!E218</f>
        <v/>
      </c>
      <c r="B218" s="258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0" t="n"/>
    </row>
    <row r="219" ht="34" customFormat="1" customHeight="1" s="2469">
      <c r="A219" s="2580">
        <f>BIBLE!E219</f>
        <v/>
      </c>
      <c r="B219" s="258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0" t="n"/>
    </row>
    <row r="220" ht="34" customFormat="1" customHeight="1" s="2469">
      <c r="A220" s="2580">
        <f>BIBLE!E220</f>
        <v/>
      </c>
      <c r="B220" s="258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0" t="n"/>
    </row>
    <row r="221" ht="34" customFormat="1" customHeight="1" s="2469">
      <c r="A221" s="2580">
        <f>BIBLE!E221</f>
        <v/>
      </c>
      <c r="B221" s="258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0" t="n"/>
    </row>
    <row r="222" ht="34" customFormat="1" customHeight="1" s="2469">
      <c r="A222" s="2580">
        <f>BIBLE!E222</f>
        <v/>
      </c>
      <c r="B222" s="258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0" t="n"/>
    </row>
    <row r="223" ht="34" customFormat="1" customHeight="1" s="2469">
      <c r="A223" s="2580">
        <f>BIBLE!E223</f>
        <v/>
      </c>
      <c r="B223" s="258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0" t="n"/>
    </row>
    <row r="224" ht="17" customFormat="1" customHeight="1" s="2469">
      <c r="A224" s="2580">
        <f>BIBLE!E224</f>
        <v/>
      </c>
      <c r="B224" s="258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0" t="n"/>
    </row>
    <row r="225" ht="34" customFormat="1" customHeight="1" s="2469">
      <c r="A225" s="2580">
        <f>BIBLE!E225</f>
        <v/>
      </c>
      <c r="B225" s="258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0" t="n"/>
    </row>
    <row r="226" ht="34" customFormat="1" customHeight="1" s="2469">
      <c r="A226" s="2580">
        <f>BIBLE!E226</f>
        <v/>
      </c>
      <c r="B226" s="258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0" t="n"/>
    </row>
    <row r="227" ht="34" customFormat="1" customHeight="1" s="2469">
      <c r="A227" s="2580">
        <f>BIBLE!E227</f>
        <v/>
      </c>
      <c r="B227" s="258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0" t="n"/>
    </row>
    <row r="228" ht="34" customFormat="1" customHeight="1" s="2469">
      <c r="A228" s="2580">
        <f>BIBLE!E228</f>
        <v/>
      </c>
      <c r="B228" s="258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0" t="n"/>
    </row>
    <row r="229" ht="34" customFormat="1" customHeight="1" s="2469">
      <c r="A229" s="2580">
        <f>BIBLE!E229</f>
        <v/>
      </c>
      <c r="B229" s="258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0" t="n"/>
    </row>
    <row r="230" ht="34" customFormat="1" customHeight="1" s="2469">
      <c r="A230" s="2580">
        <f>BIBLE!E230</f>
        <v/>
      </c>
      <c r="B230" s="258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0" t="n"/>
    </row>
    <row r="231" ht="34" customFormat="1" customHeight="1" s="2469">
      <c r="A231" s="2580">
        <f>BIBLE!E231</f>
        <v/>
      </c>
      <c r="B231" s="258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0" t="n"/>
    </row>
    <row r="232" ht="17" customFormat="1" customHeight="1" s="2469">
      <c r="A232" s="2580">
        <f>BIBLE!E232</f>
        <v/>
      </c>
      <c r="B232" s="258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0" t="n"/>
    </row>
    <row r="233" ht="34" customFormat="1" customHeight="1" s="2469">
      <c r="A233" s="2580">
        <f>BIBLE!E233</f>
        <v/>
      </c>
      <c r="B233" s="258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0" t="n"/>
    </row>
    <row r="234" ht="34" customFormat="1" customHeight="1" s="2469">
      <c r="A234" s="2580">
        <f>BIBLE!E234</f>
        <v/>
      </c>
      <c r="B234" s="258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0" t="n"/>
    </row>
    <row r="235" customFormat="1" s="2469">
      <c r="A235" s="2580" t="n"/>
      <c r="B235" s="2580" t="n"/>
      <c r="C235" s="6" t="n"/>
      <c r="D235" s="6" t="n"/>
      <c r="E235" s="6" t="n"/>
      <c r="F235" s="6" t="n"/>
      <c r="G235" s="6" t="n"/>
      <c r="H235" s="6" t="n"/>
      <c r="I235" s="6" t="n"/>
      <c r="J235" s="6" t="n"/>
      <c r="K235" s="521" t="n"/>
      <c r="L235" s="521" t="n"/>
      <c r="M235" s="67" t="n"/>
      <c r="N235" s="586" t="n"/>
      <c r="O235" s="1830" t="n"/>
      <c r="W235" s="2580" t="n"/>
    </row>
    <row r="236" customFormat="1" s="2469">
      <c r="A236" s="2580" t="n"/>
      <c r="B236" s="2580" t="n"/>
      <c r="C236" s="6" t="n"/>
      <c r="D236" s="6" t="n"/>
      <c r="E236" s="6" t="n"/>
      <c r="F236" s="6" t="n"/>
      <c r="G236" s="6" t="n"/>
      <c r="H236" s="6" t="n"/>
      <c r="I236" s="6" t="n"/>
      <c r="J236" s="6" t="n"/>
      <c r="K236" s="521" t="n"/>
      <c r="L236" s="521" t="n"/>
      <c r="M236" s="67" t="n"/>
      <c r="N236" s="586" t="n"/>
      <c r="O236" s="1830" t="n"/>
      <c r="W236" s="2580" t="n"/>
    </row>
    <row r="237" customFormat="1" s="2469">
      <c r="A237" s="2580" t="n"/>
      <c r="B237" s="2580" t="n"/>
      <c r="C237" s="6" t="n"/>
      <c r="D237" s="6" t="n"/>
      <c r="E237" s="6" t="n"/>
      <c r="F237" s="6" t="n"/>
      <c r="G237" s="6" t="n"/>
      <c r="H237" s="6" t="n"/>
      <c r="I237" s="6" t="n"/>
      <c r="J237" s="6" t="n"/>
      <c r="K237" s="521" t="n"/>
      <c r="L237" s="521" t="n"/>
      <c r="M237" s="67" t="n"/>
      <c r="N237" s="586" t="n"/>
      <c r="O237" s="1830" t="n"/>
      <c r="W237" s="2580" t="n"/>
    </row>
    <row r="238" customFormat="1" s="2469">
      <c r="A238" s="2580" t="n"/>
      <c r="B238" s="2580" t="n"/>
      <c r="C238" s="6" t="n"/>
      <c r="D238" s="6" t="n"/>
      <c r="E238" s="6" t="n"/>
      <c r="F238" s="6" t="n"/>
      <c r="G238" s="6" t="n"/>
      <c r="H238" s="6" t="n"/>
      <c r="I238" s="6" t="n"/>
      <c r="J238" s="6" t="n"/>
      <c r="K238" s="521" t="n"/>
      <c r="L238" s="521" t="n"/>
      <c r="M238" s="67" t="n"/>
      <c r="N238" s="586" t="n"/>
      <c r="O238" s="1830" t="n"/>
      <c r="W238" s="2580" t="n"/>
    </row>
    <row r="239" customFormat="1" s="2469">
      <c r="A239" s="2580" t="n"/>
      <c r="B239" s="2580" t="n"/>
      <c r="C239" s="6" t="n"/>
      <c r="D239" s="6" t="n"/>
      <c r="E239" s="6" t="n"/>
      <c r="F239" s="6" t="n"/>
      <c r="G239" s="6" t="n"/>
      <c r="H239" s="6" t="n"/>
      <c r="I239" s="6" t="n"/>
      <c r="J239" s="6" t="n"/>
      <c r="K239" s="521" t="n"/>
      <c r="L239" s="521" t="n"/>
      <c r="M239" s="67" t="n"/>
      <c r="N239" s="586" t="n"/>
      <c r="O239" s="1830" t="n"/>
      <c r="W239" s="2580" t="n"/>
    </row>
    <row r="240" ht="17" customFormat="1" customHeight="1" s="2469">
      <c r="A240" s="2580">
        <f>BIBLE!E240</f>
        <v/>
      </c>
      <c r="B240" s="2580">
        <f>BIBLE!F240</f>
        <v/>
      </c>
      <c r="C240" s="1699" t="n"/>
      <c r="D240" s="1815" t="n"/>
      <c r="E240" s="1815" t="n"/>
      <c r="F240" s="1816" t="n"/>
      <c r="G240" s="1817" t="n"/>
      <c r="H240" s="1378" t="n"/>
      <c r="I240" s="27" t="n"/>
      <c r="J240" s="1828" t="n"/>
      <c r="K240" s="1823" t="n"/>
      <c r="L240" s="1825" t="n"/>
      <c r="M240" s="67" t="n"/>
      <c r="N240" s="586" t="n"/>
      <c r="O240" s="1830" t="n"/>
      <c r="W240" s="2580" t="inlineStr">
        <is>
          <t>Cette questions sert à des fins statistiques et non à l'établissement de vos résultats et du rapport d'analyse.</t>
        </is>
      </c>
    </row>
    <row r="241" ht="51" customFormat="1" customHeight="1" s="2469">
      <c r="A241" s="2580">
        <f>BIBLE!E241</f>
        <v/>
      </c>
      <c r="B241" s="258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0" t="inlineStr">
        <is>
          <t>Cette questions sert à des fins statistiques et non à l'établissement de vos résultats et du rapport d'analyse.</t>
        </is>
      </c>
    </row>
    <row r="242" ht="51" customFormat="1" customHeight="1" s="2469">
      <c r="A242" s="2580">
        <f>BIBLE!E242</f>
        <v/>
      </c>
      <c r="B242" s="258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0" t="inlineStr">
        <is>
          <t>Cette questions sert à des fins statistiques et non à l'établissement de vos résultats et du rapport d'analyse.</t>
        </is>
      </c>
    </row>
    <row r="243" ht="68" customFormat="1" customHeight="1" s="2469">
      <c r="A243" s="2580">
        <f>BIBLE!E243</f>
        <v/>
      </c>
      <c r="B243" s="2580">
        <f>BIBLE!F243</f>
        <v/>
      </c>
      <c r="C243" s="1699" t="n"/>
      <c r="D243" s="1815" t="n"/>
      <c r="E243" s="1815" t="n"/>
      <c r="F243" s="1816" t="n"/>
      <c r="G243" s="1817" t="n"/>
      <c r="H243" s="1378" t="n"/>
      <c r="I243" s="27" t="n"/>
      <c r="J243" s="1828" t="n"/>
      <c r="K243" s="1823" t="n"/>
      <c r="L243" s="1825" t="n"/>
      <c r="M243" s="67" t="n"/>
      <c r="N243" s="586" t="n"/>
      <c r="O243" s="1830" t="n"/>
      <c r="W243" s="2580" t="inlineStr">
        <is>
          <t>Cette questions sert à des fins statistiques et non à l'établissement de vos résultats et du rapport d'analyse.</t>
        </is>
      </c>
    </row>
    <row r="244" ht="35" customFormat="1" customHeight="1" s="2469" thickBot="1">
      <c r="A244" s="2580">
        <f>BIBLE!E244</f>
        <v/>
      </c>
      <c r="B244" s="2580">
        <f>BIBLE!F244</f>
        <v/>
      </c>
      <c r="C244" s="1699" t="n"/>
      <c r="D244" s="1815" t="n"/>
      <c r="E244" s="1815" t="n"/>
      <c r="F244" s="1816" t="n"/>
      <c r="G244" s="1817" t="n"/>
      <c r="H244" s="1378" t="n"/>
      <c r="I244" s="27" t="n"/>
      <c r="J244" s="1828" t="n"/>
      <c r="K244" s="1823" t="n"/>
      <c r="L244" s="1825" t="n"/>
      <c r="M244" s="67" t="n"/>
      <c r="N244" s="586" t="n"/>
      <c r="O244" s="1831" t="n"/>
      <c r="W244" s="258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C107" workbookViewId="0">
      <selection activeCell="G111" sqref="G111"/>
    </sheetView>
  </sheetViews>
  <sheetFormatPr baseColWidth="10" defaultColWidth="11" defaultRowHeight="40" customHeight="1"/>
  <cols>
    <col width="22.6640625" customWidth="1" style="2456" min="1" max="1"/>
    <col width="17.33203125" customWidth="1" style="2456" min="2" max="2"/>
    <col width="20.1640625" customWidth="1" style="2456" min="3" max="3"/>
    <col width="10" customWidth="1" style="2465" min="4" max="4"/>
    <col width="8.83203125" customWidth="1" style="2465" min="5" max="5"/>
    <col width="47.83203125" customWidth="1" style="2501" min="6" max="6"/>
    <col hidden="1" width="74.5" customWidth="1" style="2520" min="7" max="7"/>
    <col width="28.33203125" customWidth="1" style="2501" min="8" max="8"/>
    <col width="0.1640625" customWidth="1" style="2501" min="9" max="9"/>
    <col width="15.5" bestFit="1" customWidth="1" style="2465" min="10" max="10"/>
    <col width="8.1640625" bestFit="1" customWidth="1" style="2465" min="11" max="11"/>
    <col width="14.1640625" customWidth="1" style="2463" min="12" max="13"/>
    <col width="19.33203125" customWidth="1" style="2463" min="14" max="14"/>
    <col width="36.33203125" customWidth="1" style="598" min="15" max="15"/>
    <col width="9.1640625" customWidth="1" style="2463" min="16" max="17"/>
    <col width="27.5" customWidth="1" style="2463" min="18" max="18"/>
    <col width="9" customWidth="1" style="163" min="19" max="19"/>
    <col width="9" customWidth="1" style="110" min="20" max="21"/>
    <col width="35.1640625" customWidth="1" style="152" min="22" max="22"/>
    <col width="5.6640625" customWidth="1" style="2457" min="23" max="24"/>
    <col width="5.6640625" customWidth="1" style="409" min="25" max="26"/>
    <col width="5.6640625" customWidth="1" style="138" min="27" max="30"/>
    <col width="28.5" customWidth="1" style="2465" min="31" max="31"/>
    <col width="13.6640625" customWidth="1" style="2471" min="32" max="33"/>
    <col width="13.6640625" customWidth="1" style="2465" min="34" max="34"/>
    <col width="13.6640625" customWidth="1" style="2472"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6" t="n"/>
      <c r="P1" s="128" t="n"/>
      <c r="Q1" s="163" t="n"/>
      <c r="R1" s="163" t="n"/>
      <c r="S1" s="110" t="n"/>
      <c r="U1" s="2485" t="n"/>
    </row>
    <row r="2" ht="15" customHeight="1" s="2456">
      <c r="F2" s="942" t="n"/>
      <c r="L2" s="2468" t="inlineStr">
        <is>
          <t>Compt. A</t>
        </is>
      </c>
      <c r="M2" s="2469" t="inlineStr">
        <is>
          <t>E1A</t>
        </is>
      </c>
      <c r="N2" s="541" t="n"/>
      <c r="O2" s="2501" t="inlineStr">
        <is>
          <t xml:space="preserve">Jamais / Rarement / Occasionnellement / Régulièrement / Souvent / Toujours / S.O. </t>
        </is>
      </c>
      <c r="P2" s="2501" t="n"/>
      <c r="Q2" s="163" t="n"/>
      <c r="R2" s="163" t="n"/>
      <c r="S2" s="110" t="n"/>
      <c r="U2" s="2485" t="n"/>
      <c r="AX2" s="2469" t="inlineStr">
        <is>
          <t>E1A</t>
        </is>
      </c>
      <c r="AY2">
        <f>O2</f>
        <v/>
      </c>
    </row>
    <row r="3" ht="15" customHeight="1" s="2456">
      <c r="M3" s="2469" t="inlineStr">
        <is>
          <t>E2A</t>
        </is>
      </c>
      <c r="N3" s="541" t="n"/>
      <c r="O3" s="2501" t="inlineStr">
        <is>
          <t xml:space="preserve">Excellente / Très bonne / Bonne / Moyenne / Faible / Mauvaise / S.O.   </t>
        </is>
      </c>
      <c r="P3" s="2501" t="n"/>
      <c r="Q3" s="163" t="n"/>
      <c r="R3" s="163" t="n"/>
      <c r="S3" s="110" t="n"/>
      <c r="U3" s="2485" t="n"/>
      <c r="AX3" s="2469" t="inlineStr">
        <is>
          <t xml:space="preserve">E1B </t>
        </is>
      </c>
      <c r="AY3">
        <f>O9</f>
        <v/>
      </c>
    </row>
    <row r="4" ht="15" customHeight="1" s="2456">
      <c r="M4" s="2469" t="inlineStr">
        <is>
          <t>E3A</t>
        </is>
      </c>
      <c r="N4" s="541" t="n"/>
      <c r="O4" s="2501" t="inlineStr">
        <is>
          <t>Tout à fait en désaccord / En désaccord /  Partiellement en désaccord /  Partiellement d’accord / D’accord / Tout à fait d’accord / S.O.</t>
        </is>
      </c>
      <c r="P4" s="2501" t="n"/>
      <c r="Q4" s="163" t="n"/>
      <c r="R4" s="163" t="n"/>
      <c r="S4" s="110" t="n"/>
      <c r="U4" s="2485" t="n"/>
      <c r="AU4" t="inlineStr">
        <is>
          <t>révisé</t>
        </is>
      </c>
      <c r="AX4" s="2469" t="inlineStr">
        <is>
          <t>E2A</t>
        </is>
      </c>
      <c r="AY4">
        <f>O3</f>
        <v/>
      </c>
    </row>
    <row r="5" ht="15" customHeight="1" s="2456">
      <c r="M5" s="2469" t="inlineStr">
        <is>
          <t>E4A</t>
        </is>
      </c>
      <c r="N5" s="541" t="n"/>
      <c r="O5" s="2501" t="inlineStr">
        <is>
          <t xml:space="preserve">Nulle / Très faible / Faible / Moyenne / Élevée / Très élevée / S.O. </t>
        </is>
      </c>
      <c r="P5" s="2501" t="n"/>
      <c r="Q5" s="163" t="n"/>
      <c r="R5" s="163" t="n"/>
      <c r="S5" s="110" t="n"/>
      <c r="U5" s="2485" t="n"/>
      <c r="AX5" s="805" t="inlineStr">
        <is>
          <t>E2B</t>
        </is>
      </c>
      <c r="AY5">
        <f>O10</f>
        <v/>
      </c>
    </row>
    <row r="6" ht="15" customHeight="1" s="2456">
      <c r="M6" s="2469" t="inlineStr">
        <is>
          <t>E5A</t>
        </is>
      </c>
      <c r="N6" s="541" t="n"/>
      <c r="O6" s="2501" t="inlineStr">
        <is>
          <t>Pas du tout / Très peu / Un peu / Moyennement / Grandement / Totalement / S.O.</t>
        </is>
      </c>
      <c r="P6" s="2501" t="n"/>
      <c r="Q6" s="163" t="n"/>
      <c r="R6" s="163" t="n"/>
      <c r="S6" s="110" t="n"/>
      <c r="U6" s="2485" t="n"/>
      <c r="AX6" s="805" t="n"/>
    </row>
    <row r="7" ht="15" customHeight="1" s="2456">
      <c r="L7" s="835" t="n"/>
      <c r="M7" s="2469" t="inlineStr">
        <is>
          <t>E6</t>
        </is>
      </c>
      <c r="N7" s="541" t="n"/>
      <c r="O7" s="2501" t="inlineStr">
        <is>
          <t xml:space="preserve">Jamais / Rarement, au besoin / 1 à 2 fois semaine / 3 à 5 fois semaine / Presque tous les jours / Plusieurs fois par jour / S.O. </t>
        </is>
      </c>
      <c r="P7" s="2501" t="n"/>
      <c r="Q7" s="163" t="n"/>
      <c r="R7" s="163" t="n"/>
      <c r="S7" s="110" t="n"/>
      <c r="U7" s="2485" t="n"/>
      <c r="AX7" s="804" t="inlineStr">
        <is>
          <t>E3A</t>
        </is>
      </c>
      <c r="AY7">
        <f>O4</f>
        <v/>
      </c>
    </row>
    <row r="8" ht="15" customHeight="1" s="2456">
      <c r="L8" s="835" t="n"/>
      <c r="M8" s="2469" t="inlineStr">
        <is>
          <t>E7</t>
        </is>
      </c>
      <c r="N8" s="541" t="n"/>
      <c r="O8" s="2501" t="inlineStr">
        <is>
          <t>En tout temps / Presque toujours / Régulièrement / Parfois / Rarement / S.O.</t>
        </is>
      </c>
      <c r="P8" s="2501" t="n"/>
      <c r="Q8" s="163" t="n"/>
      <c r="R8" s="163" t="n"/>
      <c r="S8" s="110" t="n"/>
      <c r="U8" s="2485" t="n"/>
      <c r="AX8" s="803" t="inlineStr">
        <is>
          <t>E3B</t>
        </is>
      </c>
      <c r="AY8" t="inlineStr">
        <is>
          <t xml:space="preserve">Tout à fait d’accord / D'accord / Partiellement d'accord / Partiellement en désaccord / En désaccord / Tout à fait en désaccord / S.O. </t>
        </is>
      </c>
    </row>
    <row r="9" ht="15" customHeight="1" s="2456">
      <c r="L9" s="2463" t="inlineStr">
        <is>
          <t>Compt. B</t>
        </is>
      </c>
      <c r="M9" s="2469" t="inlineStr">
        <is>
          <t xml:space="preserve">E1B </t>
        </is>
      </c>
      <c r="N9" s="541" t="n"/>
      <c r="O9" s="2501" t="inlineStr">
        <is>
          <t>Toujours / Souvent / Régulièrement / Occasionnellement / Rarement / Jamais / S.O.</t>
        </is>
      </c>
      <c r="P9" s="2501" t="n"/>
      <c r="Q9" s="163" t="n"/>
      <c r="R9" s="163" t="n"/>
      <c r="S9" s="110" t="n"/>
      <c r="U9" s="2485" t="n"/>
      <c r="AX9" s="2469" t="inlineStr">
        <is>
          <t>E4A</t>
        </is>
      </c>
      <c r="AY9">
        <f>O5</f>
        <v/>
      </c>
    </row>
    <row r="10" ht="15" customHeight="1" s="2456">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56">
      <c r="M11" s="2501" t="inlineStr">
        <is>
          <t>E3B</t>
        </is>
      </c>
      <c r="N11" s="541" t="inlineStr">
        <is>
          <t>échelle non utilisée</t>
        </is>
      </c>
      <c r="O11" s="2501" t="inlineStr">
        <is>
          <t xml:space="preserve">Tout à fait d’accord / D'accord / Partiellement d'accord / Partiellement en désaccord / En désaccord / Tout à fait en désaccord / S.O. </t>
        </is>
      </c>
      <c r="P11" s="2501" t="n"/>
      <c r="Q11" s="163" t="n"/>
      <c r="R11" s="163" t="n"/>
      <c r="S11" s="110" t="n"/>
      <c r="U11" s="2485" t="n"/>
      <c r="AU11" t="inlineStr">
        <is>
          <t>révisé</t>
        </is>
      </c>
      <c r="AX11" s="2469" t="inlineStr">
        <is>
          <t>E5</t>
        </is>
      </c>
      <c r="AY11">
        <f>O7</f>
        <v/>
      </c>
    </row>
    <row r="12" ht="15" customHeight="1" s="2456">
      <c r="M12" s="2501" t="inlineStr">
        <is>
          <t>E4B</t>
        </is>
      </c>
      <c r="N12" s="541" t="n"/>
      <c r="O12" s="2501" t="inlineStr">
        <is>
          <t>Très élevée / Élevée / Moyenne / Faible / Très faible / Nulle / S.O.</t>
        </is>
      </c>
      <c r="P12" s="2501" t="n"/>
      <c r="Q12" s="163" t="n"/>
      <c r="R12" s="163" t="n"/>
      <c r="S12" s="110" t="n"/>
      <c r="U12" s="2485" t="n"/>
      <c r="AX12" s="2469" t="inlineStr">
        <is>
          <t>E6</t>
        </is>
      </c>
      <c r="AY12">
        <f>O7</f>
        <v/>
      </c>
    </row>
    <row r="13" ht="15" customHeight="1" s="2456">
      <c r="M13" s="2469" t="inlineStr">
        <is>
          <t>E5B</t>
        </is>
      </c>
      <c r="N13" s="541" t="n"/>
      <c r="O13" s="2501" t="inlineStr">
        <is>
          <t>Totalement / Grandement / Moyennement / Un peu / Très peu / Pas du tout / S.O.</t>
        </is>
      </c>
      <c r="P13" s="2501" t="n"/>
      <c r="Q13" s="163" t="n"/>
      <c r="R13" s="163" t="n"/>
      <c r="S13" s="110" t="n"/>
      <c r="U13" s="2485" t="n"/>
      <c r="AX13" s="805" t="n"/>
    </row>
    <row r="14" ht="76" customHeight="1" s="2456">
      <c r="N14" s="2501" t="n"/>
      <c r="O14" s="2578" t="inlineStr">
        <is>
          <t>Je communique avec le coparent / rarement, au besoin seulement/ 1 à 2 fois semaine / 3 à 5 fois semaine / tous les jours / plusieurs fois par jour / S.O.</t>
        </is>
      </c>
      <c r="P14" s="2501" t="n"/>
      <c r="Q14" s="2501" t="n"/>
      <c r="R14" s="2501" t="n"/>
      <c r="S14" s="2501" t="n"/>
    </row>
    <row r="15" ht="20" customHeight="1" s="2456">
      <c r="D15" s="2464" t="inlineStr">
        <is>
          <t>Questionnaires</t>
        </is>
      </c>
      <c r="E15" s="2464" t="n"/>
      <c r="F15" s="95" t="n"/>
      <c r="G15" s="2464" t="n"/>
      <c r="H15" s="95" t="n"/>
      <c r="I15" s="95" t="n"/>
      <c r="J15" s="2464" t="n"/>
      <c r="K15" s="246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56">
      <c r="E16" s="2464" t="n"/>
      <c r="F16" s="95" t="n"/>
      <c r="G16" s="2464" t="n"/>
      <c r="H16" s="95" t="n"/>
      <c r="I16" s="95" t="n"/>
      <c r="J16" s="2464" t="n"/>
      <c r="K16" s="246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56" thickBot="1">
      <c r="A17" s="2467" t="inlineStr">
        <is>
          <t>Question conditionnelle à :</t>
        </is>
      </c>
      <c r="E17" s="95" t="n"/>
      <c r="F17" s="95" t="n"/>
      <c r="G17" s="95" t="n"/>
      <c r="H17" s="95" t="inlineStr">
        <is>
          <t>Choix de réponses</t>
        </is>
      </c>
      <c r="I17" s="95" t="n"/>
      <c r="J17" s="2464" t="inlineStr">
        <is>
          <t>sq1: 1er niveau
sq2: 2e niveau</t>
        </is>
      </c>
      <c r="K17" s="2464" t="n"/>
      <c r="L17" s="2461" t="inlineStr">
        <is>
          <t>Intensité</t>
        </is>
      </c>
      <c r="M17" s="2462" t="n"/>
      <c r="N17" s="2461" t="inlineStr">
        <is>
          <t>Échelle de fréquence</t>
        </is>
      </c>
      <c r="O17" s="2462" t="n"/>
      <c r="P17" s="764" t="n"/>
      <c r="Q17" s="485" t="inlineStr">
        <is>
          <t>Résultat Questionnaire</t>
        </is>
      </c>
      <c r="R17" s="485" t="n"/>
      <c r="S17" s="2473" t="inlineStr">
        <is>
          <t>Échelle CEV</t>
        </is>
      </c>
      <c r="T17" s="2474" t="n"/>
      <c r="U17" s="2475" t="n"/>
      <c r="V17" s="740" t="inlineStr">
        <is>
          <t>Catégories</t>
        </is>
      </c>
      <c r="W17" s="414" t="n"/>
      <c r="X17" s="414" t="n"/>
      <c r="AE17" s="2470" t="inlineStr">
        <is>
          <t>Bulle info 🔶</t>
        </is>
      </c>
      <c r="AH17" s="2470" t="inlineStr">
        <is>
          <t>Drapeau rouge 🔴</t>
        </is>
      </c>
    </row>
    <row r="18" ht="78" customHeight="1" s="2456"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2" t="inlineStr">
        <is>
          <t>références</t>
        </is>
      </c>
      <c r="AH18" s="985" t="n"/>
      <c r="AI18" s="2472" t="inlineStr">
        <is>
          <t>références</t>
        </is>
      </c>
      <c r="AJ18" s="836" t="n"/>
    </row>
    <row r="19" ht="50" customHeight="1" s="2456">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38"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56">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56">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49"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49"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56">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78"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49"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56"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2"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3"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2" t="inlineStr">
        <is>
          <t xml:space="preserve">réf. : Jocelyne Dahan, médiatrice familiale </t>
        </is>
      </c>
      <c r="AJ38" s="500" t="n"/>
    </row>
    <row r="39" ht="40" customHeight="1" s="2456"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69">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69">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69" t="inlineStr">
        <is>
          <t>Altération ou dévoiement de la réalité</t>
        </is>
      </c>
    </row>
    <row r="42" ht="34" customFormat="1" customHeight="1" s="2469">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69" t="inlineStr">
        <is>
          <t>Chantage affectif, manipulation</t>
        </is>
      </c>
    </row>
    <row r="43" ht="64" customFormat="1" customHeight="1" s="2469">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69" t="inlineStr">
        <is>
          <t>Dénigrement</t>
        </is>
      </c>
    </row>
    <row r="44" ht="48" customFormat="1" customHeight="1" s="2469">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69" t="inlineStr">
        <is>
          <t>Interférence temps et/ou communication</t>
        </is>
      </c>
    </row>
    <row r="45" ht="48" customFormat="1" customHeight="1" s="2469">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69" t="inlineStr">
        <is>
          <t>Interférence lien affectif ou symbolique</t>
        </is>
      </c>
    </row>
    <row r="46" ht="34" customFormat="1" customHeight="1" s="2469">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69" t="inlineStr">
        <is>
          <t>Parentification</t>
        </is>
      </c>
    </row>
    <row r="47" ht="74" customFormat="1" customHeight="1" s="2469">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69" t="inlineStr">
        <is>
          <t>Rôle actif de l'enfant</t>
        </is>
      </c>
    </row>
    <row r="48" ht="51" customFormat="1" customHeight="1" s="2469">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1" t="n"/>
      <c r="AG49" s="2471" t="n"/>
      <c r="AH49" s="500" t="n"/>
      <c r="AI49" s="2472"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1" t="n"/>
      <c r="AG50" s="2471" t="n"/>
      <c r="AH50" s="500" t="n"/>
      <c r="AI50" s="2472"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78"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78"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78"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C55" t="inlineStr"/>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56">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69">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78"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1" t="n"/>
      <c r="AG57" s="2471" t="n"/>
      <c r="AH57" s="992" t="inlineStr">
        <is>
          <t>🔴</t>
        </is>
      </c>
      <c r="AI57" s="834" t="n"/>
      <c r="AJ57" s="835" t="inlineStr">
        <is>
          <t xml:space="preserve">si tendance forte aux questionnements  : mise en garde concernant la position dans laquelle cela met l'enfant </t>
        </is>
      </c>
      <c r="AO57" s="2469" t="inlineStr">
        <is>
          <t>E06a</t>
        </is>
      </c>
      <c r="AP57" s="2469" t="inlineStr">
        <is>
          <t>Votre enfant croit que vous souffrez d’une maladie mentale ou que vous êtes instable psychologiquement.</t>
        </is>
      </c>
      <c r="AQ57" s="2469" t="inlineStr">
        <is>
          <t>Évaluez la fréquence ou l'intensité de l'énoncé : votre enfant croyait que vous souffriez d’une maladie mentale ou que vous étiez instable psychologiquement.</t>
        </is>
      </c>
      <c r="AR57" s="2469" t="n">
        <v>0</v>
      </c>
      <c r="AS57" s="2469" t="n">
        <v>0</v>
      </c>
      <c r="AT57" s="2469" t="inlineStr">
        <is>
          <t>sq1</t>
        </is>
      </c>
      <c r="AU57" s="2469" t="n">
        <v>4</v>
      </c>
      <c r="AV57" s="2469" t="n">
        <v>3</v>
      </c>
      <c r="AW57" s="2469" t="n">
        <v>0</v>
      </c>
      <c r="AX57" s="2469" t="inlineStr">
        <is>
          <t>E4A</t>
        </is>
      </c>
      <c r="AY57" s="2469" t="inlineStr">
        <is>
          <t>Nulle / Très faible / Faible / Moyenne / Élevée / Très élevée / S.O.</t>
        </is>
      </c>
      <c r="AZ57" s="2469" t="n">
        <v>0</v>
      </c>
      <c r="BA57" s="2469" t="n">
        <v>0</v>
      </c>
      <c r="BB57" s="2469" t="inlineStr">
        <is>
          <t>Pense que son parent souffre de maladie mentale</t>
        </is>
      </c>
      <c r="BC57" s="2469" t="n">
        <v>0</v>
      </c>
      <c r="BD57" s="2469" t="n">
        <v>1</v>
      </c>
      <c r="BE57" s="2469" t="n">
        <v>0</v>
      </c>
      <c r="BF57" s="2469" t="inlineStr">
        <is>
          <t>Altération ou dévoiement de la réalité</t>
        </is>
      </c>
    </row>
    <row r="58" ht="99" customHeight="1" s="2456">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78"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56">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56">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56">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56">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56">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69">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69">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78"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56">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69">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69">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1" t="n"/>
      <c r="AG73" s="2471"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69">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5" t="n"/>
      <c r="X74" s="2465" t="n"/>
      <c r="Y74" s="410" t="n"/>
      <c r="Z74" s="424" t="n"/>
      <c r="AA74" s="42" t="n"/>
      <c r="AB74" s="42" t="n"/>
      <c r="AC74" s="42" t="n"/>
      <c r="AD74" s="42" t="n"/>
      <c r="AE74" s="527" t="n"/>
      <c r="AF74" s="984" t="n"/>
      <c r="AG74" s="984" t="n"/>
      <c r="AH74" s="500" t="inlineStr">
        <is>
          <t>🔴</t>
        </is>
      </c>
      <c r="AI74" s="834" t="n"/>
      <c r="AJ74" s="2468" t="inlineStr">
        <is>
          <t xml:space="preserve">Si indice AP élevée : présenter les meilleures pratiques pour le nouveau conjoint : </t>
        </is>
      </c>
    </row>
    <row r="75" ht="35" customFormat="1" customHeight="1" s="2469"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5" t="n"/>
      <c r="X75" s="2465" t="n"/>
      <c r="Y75" s="420" t="n"/>
      <c r="Z75" s="424" t="n"/>
      <c r="AA75" s="42" t="n"/>
      <c r="AB75" s="42" t="n"/>
      <c r="AC75" s="42" t="n"/>
      <c r="AD75" s="42" t="n"/>
      <c r="AE75" s="527" t="n"/>
      <c r="AF75" s="984" t="n"/>
      <c r="AG75" s="984" t="n"/>
      <c r="AH75" s="500" t="inlineStr">
        <is>
          <t>🔴</t>
        </is>
      </c>
      <c r="AI75" s="834" t="n"/>
    </row>
    <row r="76" ht="37" customFormat="1" customHeight="1" s="107">
      <c r="A76" s="2469" t="n"/>
      <c r="B76" s="2469" t="n"/>
      <c r="C76" s="2469"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65" t="n"/>
      <c r="X76" s="2465" t="n"/>
      <c r="Y76" s="420" t="n"/>
      <c r="Z76" s="424" t="n"/>
      <c r="AA76" s="42" t="n"/>
      <c r="AB76" s="42" t="n"/>
      <c r="AC76" s="42" t="n"/>
      <c r="AD76" s="42" t="n"/>
      <c r="AE76" s="1005" t="n"/>
      <c r="AF76" s="1006" t="n"/>
      <c r="AG76" s="1007" t="n"/>
      <c r="AH76" s="1008" t="n"/>
      <c r="AI76" s="1009" t="n"/>
      <c r="AJ76" s="1010" t="n"/>
      <c r="AK76" s="2469" t="n"/>
      <c r="AL76" s="2469" t="n"/>
      <c r="AM76" s="2469" t="n"/>
      <c r="AN76" s="2469" t="n"/>
      <c r="AO76" s="2469" t="n"/>
      <c r="AP76" s="2469" t="n"/>
      <c r="AQ76" s="2469" t="n"/>
      <c r="AR76" s="2469" t="n"/>
      <c r="AS76" s="2469" t="n"/>
      <c r="AT76" s="2469" t="n"/>
      <c r="AU76" s="2469" t="n"/>
      <c r="AV76" s="2469" t="n"/>
      <c r="AW76" s="2469" t="n"/>
      <c r="AX76" s="2469" t="n"/>
      <c r="AY76" s="2469" t="n"/>
      <c r="AZ76" s="2469" t="n"/>
      <c r="BA76" s="2469" t="n"/>
      <c r="BB76" s="2469" t="n"/>
      <c r="BC76" s="2469" t="n"/>
      <c r="BD76" s="2469" t="n"/>
      <c r="BE76" s="2469" t="n"/>
      <c r="BF76" s="2469" t="n"/>
      <c r="BG76" s="2469" t="n"/>
      <c r="BH76" s="2469" t="n"/>
      <c r="BI76" s="2469" t="n"/>
      <c r="BJ76" s="2469" t="n"/>
      <c r="BK76" s="2469" t="n"/>
      <c r="BL76" s="2469" t="n"/>
      <c r="BM76" s="2469" t="n"/>
      <c r="BN76" s="2469" t="n"/>
      <c r="BO76" s="2469" t="n"/>
      <c r="BP76" s="2469" t="n"/>
      <c r="BQ76" s="2469" t="n"/>
      <c r="BR76" s="2469" t="n"/>
      <c r="BS76" s="2469" t="n"/>
      <c r="BT76" s="2469" t="n"/>
      <c r="BU76" s="2469" t="n"/>
      <c r="BV76" s="2469" t="n"/>
      <c r="BW76" s="2469" t="n"/>
      <c r="BX76" s="2469" t="n"/>
      <c r="BY76" s="2469" t="n"/>
      <c r="BZ76" s="2469" t="n"/>
      <c r="CA76" s="2469" t="n"/>
      <c r="CB76" s="2469" t="n"/>
      <c r="CC76" s="2469" t="n"/>
      <c r="CD76" s="2469" t="n"/>
      <c r="CE76" s="2469" t="n"/>
      <c r="CF76" s="2469" t="n"/>
      <c r="CG76" s="2469" t="n"/>
      <c r="CH76" s="2469" t="n"/>
      <c r="CI76" s="2469" t="n"/>
      <c r="CJ76" s="2469" t="n"/>
      <c r="CK76" s="2469" t="n"/>
      <c r="CL76" s="2469" t="n"/>
      <c r="CM76" s="2469" t="n"/>
      <c r="CN76" s="2469" t="n"/>
      <c r="CO76" s="2469" t="n"/>
      <c r="CP76" s="2469" t="n"/>
      <c r="CQ76" s="2469" t="n"/>
      <c r="CR76" s="2469" t="n"/>
      <c r="CS76" s="2469" t="n"/>
      <c r="CT76" s="2469" t="n"/>
    </row>
    <row r="77" ht="37" customFormat="1" customHeight="1" s="107">
      <c r="A77" s="2469" t="n"/>
      <c r="B77" s="2469" t="n"/>
      <c r="C77" s="2469"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65" t="n"/>
      <c r="X77" s="2465" t="n"/>
      <c r="Y77" s="420" t="n"/>
      <c r="Z77" s="424" t="n"/>
      <c r="AA77" s="42" t="n"/>
      <c r="AB77" s="42" t="n"/>
      <c r="AC77" s="42" t="n"/>
      <c r="AD77" s="42" t="n"/>
      <c r="AE77" s="1005" t="n"/>
      <c r="AF77" s="1006" t="n"/>
      <c r="AG77" s="1007" t="n"/>
      <c r="AH77" s="1008" t="n"/>
      <c r="AI77" s="1009" t="n"/>
      <c r="AJ77" s="1010" t="n"/>
      <c r="AK77" s="2469" t="n"/>
      <c r="AL77" s="2469" t="n"/>
      <c r="AM77" s="2469" t="n"/>
      <c r="AN77" s="2469" t="n"/>
      <c r="AO77" s="2469" t="n"/>
      <c r="AP77" s="2469" t="n"/>
      <c r="AQ77" s="2469" t="n"/>
      <c r="AR77" s="2469" t="n"/>
      <c r="AS77" s="2469" t="n"/>
      <c r="AT77" s="2469" t="n"/>
      <c r="AU77" s="2469" t="n"/>
      <c r="AV77" s="2469" t="n"/>
      <c r="AW77" s="2469" t="n"/>
      <c r="AX77" s="2469" t="n"/>
      <c r="AY77" s="2469" t="n"/>
      <c r="AZ77" s="2469" t="n"/>
      <c r="BA77" s="2469" t="n"/>
      <c r="BB77" s="2469" t="n"/>
      <c r="BC77" s="2469" t="n"/>
      <c r="BD77" s="2469" t="n"/>
      <c r="BE77" s="2469" t="n"/>
      <c r="BF77" s="2469" t="n"/>
      <c r="BG77" s="2469" t="n"/>
      <c r="BH77" s="2469" t="n"/>
      <c r="BI77" s="2469" t="n"/>
      <c r="BJ77" s="2469" t="n"/>
      <c r="BK77" s="2469" t="n"/>
      <c r="BL77" s="2469" t="n"/>
      <c r="BM77" s="2469" t="n"/>
      <c r="BN77" s="2469" t="n"/>
      <c r="BO77" s="2469" t="n"/>
      <c r="BP77" s="2469" t="n"/>
      <c r="BQ77" s="2469" t="n"/>
      <c r="BR77" s="2469" t="n"/>
      <c r="BS77" s="2469" t="n"/>
      <c r="BT77" s="2469" t="n"/>
      <c r="BU77" s="2469" t="n"/>
      <c r="BV77" s="2469" t="n"/>
      <c r="BW77" s="2469" t="n"/>
      <c r="BX77" s="2469" t="n"/>
      <c r="BY77" s="2469" t="n"/>
      <c r="BZ77" s="2469" t="n"/>
      <c r="CA77" s="2469" t="n"/>
      <c r="CB77" s="2469" t="n"/>
      <c r="CC77" s="2469" t="n"/>
      <c r="CD77" s="2469" t="n"/>
      <c r="CE77" s="2469" t="n"/>
      <c r="CF77" s="2469" t="n"/>
      <c r="CG77" s="2469" t="n"/>
      <c r="CH77" s="2469" t="n"/>
      <c r="CI77" s="2469" t="n"/>
      <c r="CJ77" s="2469" t="n"/>
      <c r="CK77" s="2469" t="n"/>
      <c r="CL77" s="2469" t="n"/>
      <c r="CM77" s="2469" t="n"/>
      <c r="CN77" s="2469" t="n"/>
      <c r="CO77" s="2469" t="n"/>
      <c r="CP77" s="2469" t="n"/>
      <c r="CQ77" s="2469" t="n"/>
      <c r="CR77" s="2469" t="n"/>
      <c r="CS77" s="2469" t="n"/>
      <c r="CT77" s="2469" t="n"/>
    </row>
    <row r="78" ht="21" customHeight="1" s="2456">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69">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65" t="n"/>
      <c r="X81" s="423" t="n"/>
      <c r="Y81" s="2465" t="n"/>
      <c r="Z81" s="424" t="n"/>
      <c r="AA81" s="42" t="n"/>
      <c r="AB81" s="42" t="n"/>
      <c r="AC81" s="42" t="n"/>
      <c r="AD81" s="42" t="n"/>
      <c r="AE81" s="983" t="n"/>
      <c r="AF81" s="984" t="n"/>
      <c r="AG81" s="984" t="n"/>
      <c r="AH81" s="983" t="n"/>
      <c r="AI81" s="834" t="n"/>
      <c r="AJ81" s="836"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65" t="n"/>
      <c r="X83" s="423" t="n"/>
      <c r="Z83" s="425" t="n"/>
      <c r="AE83" s="500" t="n"/>
      <c r="AF83" s="986" t="n"/>
      <c r="AG83" s="986" t="n"/>
      <c r="AH83" s="500" t="inlineStr">
        <is>
          <t>🔴</t>
        </is>
      </c>
      <c r="AI83" s="263" t="n"/>
      <c r="AJ83" s="2468"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69">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78"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69">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78"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69">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78"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69">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78"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69">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78"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69">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78"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69">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5" t="n"/>
      <c r="X90" s="1042" t="n">
        <v>1</v>
      </c>
      <c r="Y90" s="411" t="n"/>
      <c r="Z90" s="424" t="n"/>
      <c r="AA90" s="42" t="n"/>
      <c r="AB90" s="42" t="n"/>
      <c r="AC90" s="42" t="n"/>
      <c r="AD90" s="42" t="n"/>
      <c r="AE90" s="983" t="n"/>
      <c r="AF90" s="984" t="n"/>
      <c r="AG90" s="984" t="n"/>
      <c r="AH90" s="983" t="n"/>
      <c r="AI90" s="834" t="n"/>
      <c r="AJ90" s="836"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69">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69">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69">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69">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5" t="n"/>
      <c r="X95" s="423" t="n"/>
      <c r="Y95" s="1043" t="n">
        <v>1</v>
      </c>
      <c r="Z95" s="424" t="n"/>
      <c r="AA95" s="42" t="n"/>
      <c r="AB95" s="42" t="n"/>
      <c r="AC95" s="42" t="n"/>
      <c r="AD95" s="42" t="n"/>
      <c r="AE95" s="983" t="n"/>
      <c r="AF95" s="984" t="n"/>
      <c r="AG95" s="984" t="n"/>
      <c r="AH95" s="983" t="n"/>
      <c r="AI95" s="834" t="n"/>
      <c r="AJ95" s="836" t="n"/>
    </row>
    <row r="96" ht="52" customFormat="1" customHeight="1" s="2469">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5" t="n"/>
      <c r="X96" s="423" t="n"/>
      <c r="Y96" s="1043" t="n">
        <v>1</v>
      </c>
      <c r="Z96" s="424" t="n"/>
      <c r="AA96" s="42" t="n"/>
      <c r="AB96" s="42" t="n"/>
      <c r="AC96" s="42" t="n"/>
      <c r="AD96" s="42" t="n"/>
      <c r="AE96" s="983" t="n"/>
      <c r="AF96" s="984" t="n"/>
      <c r="AG96" s="984" t="n"/>
      <c r="AH96" s="983" t="n"/>
      <c r="AI96" s="834" t="n"/>
      <c r="AJ96" s="836" t="n"/>
    </row>
    <row r="97" ht="91" customFormat="1" customHeight="1" s="2469">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5" t="n"/>
      <c r="X97" s="423" t="n"/>
      <c r="Y97" s="44" t="n"/>
      <c r="Z97" s="424" t="n"/>
      <c r="AA97" s="42" t="n"/>
      <c r="AB97" s="42" t="n"/>
      <c r="AC97" s="42" t="n"/>
      <c r="AD97" s="1044" t="n">
        <v>1</v>
      </c>
      <c r="AE97" s="983" t="n"/>
      <c r="AF97" s="984" t="n"/>
      <c r="AG97" s="984" t="n"/>
      <c r="AH97" s="983" t="n"/>
      <c r="AI97" s="834" t="n"/>
      <c r="AJ97" s="836" t="n"/>
    </row>
    <row r="98" ht="73" customFormat="1" customHeight="1" s="2469">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5" t="n"/>
      <c r="X98" s="423" t="n"/>
      <c r="Y98" s="411" t="n"/>
      <c r="Z98" s="424" t="n"/>
      <c r="AA98" s="42" t="n"/>
      <c r="AB98" s="42" t="n"/>
      <c r="AC98" s="42" t="n"/>
      <c r="AD98" s="1044" t="n">
        <v>1</v>
      </c>
      <c r="AE98" s="983" t="n"/>
      <c r="AF98" s="984" t="n"/>
      <c r="AG98" s="984" t="n"/>
      <c r="AH98" s="983" t="n"/>
      <c r="AI98" s="834" t="n"/>
      <c r="AJ98" s="836" t="n"/>
    </row>
    <row r="99" ht="78" customFormat="1" customHeight="1" s="2469">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69">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5" t="n"/>
      <c r="X100" s="423" t="n"/>
      <c r="Y100" s="44" t="n"/>
      <c r="Z100" s="424" t="n">
        <v>1</v>
      </c>
      <c r="AA100" s="42" t="n"/>
      <c r="AB100" s="42" t="n"/>
      <c r="AC100" s="42" t="n"/>
      <c r="AD100" s="42" t="n"/>
      <c r="AE100" s="500" t="inlineStr">
        <is>
          <t>🔶</t>
        </is>
      </c>
      <c r="AF100" s="2471" t="n"/>
      <c r="AG100" s="2471" t="n"/>
      <c r="AH100" s="500" t="inlineStr">
        <is>
          <t>🔴</t>
        </is>
      </c>
      <c r="AI100" s="2472" t="n"/>
      <c r="AJ100" s="500" t="n"/>
    </row>
    <row r="101" ht="55" customFormat="1" customHeight="1" s="2469">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5" t="n"/>
      <c r="X101" s="423" t="n"/>
      <c r="Y101" s="44" t="n"/>
      <c r="Z101" s="424" t="n">
        <v>1</v>
      </c>
      <c r="AA101" s="42" t="n"/>
      <c r="AB101" s="42" t="n"/>
      <c r="AC101" s="42" t="n"/>
      <c r="AD101" s="42" t="n"/>
      <c r="AE101" s="983" t="n"/>
      <c r="AF101" s="984" t="n"/>
      <c r="AG101" s="984" t="n"/>
      <c r="AH101" s="983" t="n"/>
      <c r="AI101" s="834" t="n"/>
      <c r="AJ101" s="836" t="n"/>
    </row>
    <row r="102" ht="54" customFormat="1" customHeight="1" s="2469">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69">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5" t="n"/>
      <c r="X103" s="423" t="n"/>
      <c r="Y103" s="44" t="n"/>
      <c r="Z103" s="424" t="n">
        <v>1</v>
      </c>
      <c r="AA103" s="42" t="n"/>
      <c r="AB103" s="42" t="n"/>
      <c r="AC103" s="42" t="n"/>
      <c r="AD103" s="42" t="n"/>
      <c r="AE103" s="983" t="n"/>
      <c r="AF103" s="984" t="n"/>
      <c r="AG103" s="984" t="n"/>
      <c r="AH103" s="983" t="n"/>
      <c r="AI103" s="834" t="n"/>
      <c r="AJ103" s="836" t="n"/>
    </row>
    <row r="104" ht="70" customFormat="1" customHeight="1" s="2469">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69">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5" t="n"/>
      <c r="X105" s="423" t="n"/>
      <c r="Y105" s="44" t="n"/>
      <c r="Z105" s="424" t="n">
        <v>1</v>
      </c>
      <c r="AA105" s="42" t="n"/>
      <c r="AB105" s="42" t="n"/>
      <c r="AC105" s="42" t="n"/>
      <c r="AD105" s="42" t="n"/>
      <c r="AE105" s="983" t="n"/>
      <c r="AF105" s="984" t="n"/>
      <c r="AG105" s="984" t="n"/>
      <c r="AH105" s="983" t="n"/>
      <c r="AI105" s="834" t="n"/>
      <c r="AJ105" s="836" t="n"/>
    </row>
    <row r="106" ht="55" customFormat="1" customHeight="1" s="2469">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5" t="n"/>
      <c r="X106" s="423" t="n"/>
      <c r="Y106" s="411" t="n"/>
      <c r="Z106" s="424" t="n">
        <v>1</v>
      </c>
      <c r="AA106" s="42" t="n"/>
      <c r="AB106" s="42" t="n"/>
      <c r="AC106" s="42" t="n"/>
      <c r="AD106" s="42" t="n"/>
      <c r="AE106" s="983" t="n"/>
      <c r="AF106" s="984" t="n"/>
      <c r="AG106" s="984" t="n"/>
      <c r="AH106" s="983" t="n"/>
      <c r="AI106" s="834" t="n"/>
      <c r="AJ106" s="836" t="n"/>
    </row>
    <row r="107" ht="62" customFormat="1" customHeight="1" s="2469">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5" t="n"/>
      <c r="X107" s="423" t="n"/>
      <c r="Y107" s="44" t="n"/>
      <c r="Z107" s="424" t="n"/>
      <c r="AA107" s="1044" t="n">
        <v>1</v>
      </c>
      <c r="AB107" s="42" t="n"/>
      <c r="AC107" s="42" t="n"/>
      <c r="AD107" s="42" t="n"/>
      <c r="AE107" s="500" t="inlineStr">
        <is>
          <t>🔶</t>
        </is>
      </c>
      <c r="AF107" s="2471" t="n"/>
      <c r="AG107" s="2471" t="n"/>
      <c r="AH107" s="500" t="inlineStr">
        <is>
          <t>🔴</t>
        </is>
      </c>
      <c r="AI107" s="2472" t="n"/>
      <c r="AJ107" s="500" t="n"/>
    </row>
    <row r="108" ht="52" customFormat="1" customHeight="1" s="2469">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5" t="n"/>
      <c r="X108" s="423" t="n"/>
      <c r="Y108" s="44" t="n"/>
      <c r="Z108" s="424" t="n"/>
      <c r="AA108" s="1044" t="n">
        <v>1</v>
      </c>
      <c r="AB108" s="42" t="n"/>
      <c r="AC108" s="42" t="n"/>
      <c r="AD108" s="42" t="n"/>
      <c r="AE108" s="983" t="n"/>
      <c r="AF108" s="984" t="n"/>
      <c r="AG108" s="984" t="n"/>
      <c r="AH108" s="983" t="n"/>
      <c r="AI108" s="834" t="n"/>
      <c r="AJ108" s="836" t="n"/>
    </row>
    <row r="109" ht="58" customFormat="1" customHeight="1" s="2469">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5" t="n"/>
      <c r="X109" s="423" t="n"/>
      <c r="Y109" s="44" t="n"/>
      <c r="Z109" s="424" t="n"/>
      <c r="AA109" s="1044" t="n">
        <v>1</v>
      </c>
      <c r="AB109" s="42" t="n"/>
      <c r="AC109" s="42" t="n"/>
      <c r="AD109" s="42" t="n"/>
      <c r="AE109" s="983" t="n"/>
      <c r="AF109" s="984" t="n"/>
      <c r="AG109" s="984" t="n"/>
      <c r="AH109" s="983" t="n"/>
      <c r="AI109" s="834" t="n"/>
      <c r="AJ109" s="836" t="n"/>
    </row>
    <row r="110" ht="60" customFormat="1" customHeight="1" s="2469">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5" t="n"/>
      <c r="X110" s="423" t="n"/>
      <c r="Y110" s="44" t="n"/>
      <c r="Z110" s="424" t="n"/>
      <c r="AA110" s="1044" t="n">
        <v>1</v>
      </c>
      <c r="AB110" s="42" t="n"/>
      <c r="AC110" s="42" t="n"/>
      <c r="AD110" s="42" t="n"/>
      <c r="AE110" s="983" t="n"/>
      <c r="AF110" s="984" t="n"/>
      <c r="AG110" s="984" t="n"/>
      <c r="AH110" s="983" t="n"/>
      <c r="AI110" s="834" t="n"/>
      <c r="AJ110" s="836" t="n"/>
    </row>
    <row r="111" ht="61" customFormat="1" customHeight="1" s="2469">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5" t="n"/>
      <c r="X111" s="423" t="n"/>
      <c r="Y111" s="44" t="n"/>
      <c r="Z111" s="424" t="n"/>
      <c r="AA111" s="1044" t="n">
        <v>1</v>
      </c>
      <c r="AB111" s="42" t="n"/>
      <c r="AC111" s="42" t="n"/>
      <c r="AD111" s="42" t="n"/>
      <c r="AE111" s="500" t="inlineStr">
        <is>
          <t>🔶</t>
        </is>
      </c>
      <c r="AF111" s="2471" t="n"/>
      <c r="AG111" s="2471" t="n"/>
      <c r="AH111" s="983" t="n"/>
      <c r="AI111" s="834" t="n"/>
      <c r="AJ111" s="836" t="n"/>
    </row>
    <row r="112" ht="93" customFormat="1" customHeight="1" s="2469">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5" t="n"/>
      <c r="X112" s="423" t="n"/>
      <c r="Y112" s="44" t="n"/>
      <c r="Z112" s="424" t="n"/>
      <c r="AA112" s="1044" t="n">
        <v>1</v>
      </c>
      <c r="AB112" s="42" t="n"/>
      <c r="AC112" s="42" t="n"/>
      <c r="AD112" s="42" t="n"/>
      <c r="AE112" s="983" t="n"/>
      <c r="AF112" s="984" t="n"/>
      <c r="AG112" s="984" t="n"/>
      <c r="AH112" s="983" t="n"/>
      <c r="AI112" s="834" t="n"/>
      <c r="AJ112" s="836" t="n"/>
    </row>
    <row r="113" ht="57" customFormat="1" customHeight="1" s="2469">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5" t="n"/>
      <c r="X113" s="423" t="n"/>
      <c r="Y113" s="44" t="n"/>
      <c r="Z113" s="424" t="n"/>
      <c r="AA113" s="1044" t="n">
        <v>1</v>
      </c>
      <c r="AB113" s="42" t="n"/>
      <c r="AC113" s="42" t="n"/>
      <c r="AD113" s="42" t="n"/>
      <c r="AE113" s="983" t="n"/>
      <c r="AF113" s="984" t="n"/>
      <c r="AG113" s="984" t="n"/>
      <c r="AH113" s="983" t="n"/>
      <c r="AI113" s="834" t="n"/>
      <c r="AJ113" s="836" t="n"/>
    </row>
    <row r="114" ht="80" customFormat="1" customHeight="1" s="2469">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5" t="n"/>
      <c r="X114" s="423" t="n"/>
      <c r="Y114" s="44" t="n"/>
      <c r="Z114" s="424" t="n"/>
      <c r="AA114" s="1044" t="n">
        <v>1</v>
      </c>
      <c r="AB114" s="42" t="n"/>
      <c r="AC114" s="42" t="n"/>
      <c r="AD114" s="42" t="n"/>
      <c r="AE114" s="983" t="n"/>
      <c r="AF114" s="984" t="n"/>
      <c r="AG114" s="984" t="n"/>
      <c r="AH114" s="983" t="n"/>
      <c r="AI114" s="834" t="n"/>
      <c r="AJ114" s="836" t="n"/>
    </row>
    <row r="115" ht="78" customFormat="1" customHeight="1" s="2469">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69">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5" t="n"/>
      <c r="X116" s="423" t="n"/>
      <c r="Y116" s="411" t="n"/>
      <c r="Z116" s="424" t="n"/>
      <c r="AA116" s="1044" t="n">
        <v>1</v>
      </c>
      <c r="AB116" s="42" t="n"/>
      <c r="AC116" s="42" t="n"/>
      <c r="AD116" s="42" t="n"/>
      <c r="AE116" s="983" t="n"/>
      <c r="AF116" s="984" t="n"/>
      <c r="AG116" s="984" t="n"/>
      <c r="AH116" s="983" t="n"/>
      <c r="AI116" s="834" t="n"/>
      <c r="AJ116" s="836" t="n"/>
    </row>
    <row r="117" ht="63" customFormat="1" customHeight="1" s="2469">
      <c r="B117" s="99" t="inlineStr">
        <is>
          <t>sq1 (s'active si PFA20a&gt;=condition)</t>
        </is>
      </c>
      <c r="C117" s="258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5" t="n"/>
      <c r="X117" s="423" t="n"/>
      <c r="Y117" s="411" t="n"/>
      <c r="Z117" s="424" t="n">
        <v>1</v>
      </c>
      <c r="AA117" s="42" t="n"/>
      <c r="AB117" s="42" t="n"/>
      <c r="AC117" s="42" t="n"/>
      <c r="AD117" s="42" t="n"/>
      <c r="AE117" s="983" t="n"/>
      <c r="AF117" s="984" t="n"/>
      <c r="AG117" s="984" t="n"/>
      <c r="AH117" s="500" t="n"/>
      <c r="AI117" s="2472" t="n"/>
      <c r="AJ117" s="836" t="n"/>
    </row>
    <row r="118" ht="63" customFormat="1" customHeight="1" s="2469">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5" t="n"/>
      <c r="X118" s="423" t="n"/>
      <c r="Y118" s="411" t="n"/>
      <c r="Z118" s="424" t="n"/>
      <c r="AA118" s="1044" t="n">
        <v>1</v>
      </c>
      <c r="AB118" s="42" t="n"/>
      <c r="AC118" s="42" t="n"/>
      <c r="AD118" s="42" t="n"/>
      <c r="AE118" s="983" t="n"/>
      <c r="AF118" s="984" t="n"/>
      <c r="AG118" s="984" t="n"/>
      <c r="AH118" s="500" t="inlineStr">
        <is>
          <t>🔴</t>
        </is>
      </c>
      <c r="AI118" s="2472" t="n"/>
      <c r="AJ118" s="836" t="n"/>
    </row>
    <row r="119" ht="72" customHeight="1" s="2456">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5" t="n"/>
      <c r="X122" s="423" t="n"/>
      <c r="Z122" s="425" t="n"/>
      <c r="AB122" s="1041" t="n">
        <v>1</v>
      </c>
      <c r="AE122" s="500" t="inlineStr">
        <is>
          <t>🔶</t>
        </is>
      </c>
      <c r="AH122" s="500" t="inlineStr">
        <is>
          <t>🔴</t>
        </is>
      </c>
      <c r="AI122" s="834" t="n"/>
      <c r="AJ122" s="836" t="n"/>
    </row>
    <row r="123" ht="64" customHeight="1" s="2456">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5" t="n"/>
      <c r="X123" s="423" t="n"/>
      <c r="Z123" s="425" t="n"/>
      <c r="AB123" s="1041" t="n"/>
      <c r="AE123" s="500" t="n"/>
      <c r="AH123" s="500" t="n"/>
      <c r="AI123" s="834" t="n"/>
      <c r="AJ123" s="836" t="n"/>
    </row>
    <row r="124" ht="86" customHeight="1" s="2456">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5" t="n"/>
      <c r="X124" s="423" t="n"/>
      <c r="Z124" s="425" t="n"/>
      <c r="AB124" s="1041" t="n">
        <v>1</v>
      </c>
      <c r="AE124" s="500" t="inlineStr">
        <is>
          <t>🔶</t>
        </is>
      </c>
      <c r="AH124" s="500" t="inlineStr">
        <is>
          <t>🔴</t>
        </is>
      </c>
      <c r="AI124" s="834" t="n"/>
      <c r="AJ124" s="836" t="n"/>
    </row>
    <row r="125" ht="80" customFormat="1" customHeight="1" s="2469">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5" t="n"/>
      <c r="X125" s="423" t="n"/>
      <c r="Y125" s="44" t="n"/>
      <c r="Z125" s="424" t="n"/>
      <c r="AA125" s="42" t="n"/>
      <c r="AB125" s="1041" t="n">
        <v>1</v>
      </c>
      <c r="AC125" s="42" t="n"/>
      <c r="AD125" s="42" t="n"/>
      <c r="AE125" s="983" t="n"/>
      <c r="AF125" s="984" t="n"/>
      <c r="AG125" s="984" t="n"/>
      <c r="AH125" s="983" t="n"/>
      <c r="AI125" s="834" t="n"/>
      <c r="AJ125" s="836" t="n"/>
    </row>
    <row r="126" ht="84" customFormat="1" customHeight="1" s="2469">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69">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65" t="n"/>
      <c r="X127" s="423" t="n"/>
      <c r="Y127" s="44" t="n"/>
      <c r="Z127" s="424" t="n"/>
      <c r="AA127" s="42" t="n"/>
      <c r="AB127" s="1041" t="n">
        <v>1</v>
      </c>
      <c r="AC127" s="42" t="n"/>
      <c r="AD127" s="42" t="n"/>
      <c r="AE127" s="983" t="n"/>
      <c r="AF127" s="984" t="n"/>
      <c r="AG127" s="984" t="n"/>
      <c r="AH127" s="500" t="n"/>
      <c r="AI127" s="834" t="n"/>
      <c r="AJ127" s="836" t="n"/>
    </row>
    <row r="128" ht="63" customFormat="1" customHeight="1" s="2469">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65" t="n"/>
      <c r="X128" s="423" t="n"/>
      <c r="Y128" s="44" t="n"/>
      <c r="Z128" s="424" t="n"/>
      <c r="AA128" s="42" t="n"/>
      <c r="AB128" s="1041" t="n">
        <v>1</v>
      </c>
      <c r="AC128" s="42" t="n"/>
      <c r="AD128" s="42" t="n"/>
      <c r="AE128" s="983" t="n"/>
      <c r="AF128" s="984" t="n"/>
      <c r="AG128" s="984" t="n"/>
      <c r="AH128" s="983" t="n"/>
      <c r="AI128" s="834" t="n"/>
      <c r="AJ128" s="836" t="n"/>
    </row>
    <row r="129" ht="58" customFormat="1" customHeight="1" s="2469">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5" t="n"/>
      <c r="X129" s="423" t="n"/>
      <c r="Y129" s="44" t="n"/>
      <c r="Z129" s="424" t="n"/>
      <c r="AA129" s="42" t="n"/>
      <c r="AB129" s="1041" t="n">
        <v>1</v>
      </c>
      <c r="AC129" s="42" t="n"/>
      <c r="AD129" s="42" t="n"/>
      <c r="AE129" s="983" t="n"/>
      <c r="AF129" s="984" t="n"/>
      <c r="AG129" s="984" t="n"/>
      <c r="AH129" s="983" t="n"/>
      <c r="AI129" s="834" t="n"/>
      <c r="AJ129" s="836" t="n"/>
    </row>
    <row r="130" ht="55" customFormat="1" customHeight="1" s="2469">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65" t="n"/>
      <c r="X130" s="423" t="n"/>
      <c r="Y130" s="44" t="n"/>
      <c r="Z130" s="424" t="n"/>
      <c r="AA130" s="42" t="n"/>
      <c r="AB130" s="1041" t="n">
        <v>1</v>
      </c>
      <c r="AC130" s="42" t="n"/>
      <c r="AD130" s="42" t="n"/>
      <c r="AE130" s="500" t="inlineStr">
        <is>
          <t>🔶</t>
        </is>
      </c>
      <c r="AF130" s="2471" t="n"/>
      <c r="AG130" s="2471" t="n"/>
      <c r="AH130" s="500" t="inlineStr">
        <is>
          <t>🔴</t>
        </is>
      </c>
      <c r="AI130" s="834" t="n"/>
      <c r="AJ130" s="836" t="n"/>
    </row>
    <row r="131" ht="79" customFormat="1" customHeight="1" s="2469">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6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69">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6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69">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6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69">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6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65" t="n"/>
      <c r="X135" s="423" t="n"/>
      <c r="Z135" s="425" t="n"/>
      <c r="AB135" s="1041" t="n">
        <v>1</v>
      </c>
      <c r="AE135" s="983" t="n"/>
      <c r="AF135" s="984" t="n"/>
      <c r="AG135" s="984" t="n"/>
      <c r="AH135" s="983" t="n"/>
      <c r="AI135" s="834" t="n"/>
      <c r="AJ135" s="836"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5" t="n"/>
      <c r="X136" s="423" t="n"/>
      <c r="Z136" s="425" t="n"/>
      <c r="AB136" s="1041" t="n">
        <v>1</v>
      </c>
      <c r="AE136" s="500" t="inlineStr">
        <is>
          <t>🔶</t>
        </is>
      </c>
      <c r="AH136" s="837" t="inlineStr">
        <is>
          <t>🔴 ATTN : déf. AP</t>
        </is>
      </c>
      <c r="AJ136" s="2468"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78"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5" t="n"/>
      <c r="X137" s="423" t="n"/>
      <c r="Z137" s="425" t="n"/>
      <c r="AB137" s="1041" t="n">
        <v>1</v>
      </c>
      <c r="AE137" s="983" t="n"/>
      <c r="AF137" s="984" t="n"/>
      <c r="AG137" s="984" t="n"/>
      <c r="AH137" s="500" t="inlineStr">
        <is>
          <t>🔴</t>
        </is>
      </c>
      <c r="AI137" s="834" t="n"/>
      <c r="AJ137" s="1014"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68"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69">
      <c r="A139" s="258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69">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69">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78"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5" t="n"/>
      <c r="X141" s="423" t="n"/>
      <c r="Y141" s="44" t="n"/>
      <c r="Z141" s="424" t="n"/>
      <c r="AA141" s="42" t="n"/>
      <c r="AB141" s="42" t="n"/>
      <c r="AC141" s="1044" t="n">
        <v>1</v>
      </c>
      <c r="AD141" s="42" t="n"/>
      <c r="AE141" s="500" t="n"/>
      <c r="AF141" s="2471" t="n"/>
      <c r="AG141" s="2471"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69">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6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69">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65" t="n"/>
      <c r="X143" s="423" t="n"/>
      <c r="Y143" s="44" t="n"/>
      <c r="Z143" s="424" t="n"/>
      <c r="AA143" s="42" t="n"/>
      <c r="AB143" s="42" t="n"/>
      <c r="AC143" s="42" t="n"/>
      <c r="AD143" s="1044" t="n">
        <v>1</v>
      </c>
      <c r="AE143" s="500" t="n"/>
      <c r="AF143" s="2471" t="n"/>
      <c r="AG143" s="2471" t="n"/>
      <c r="AH143" s="983" t="n"/>
      <c r="AI143" s="834" t="n"/>
      <c r="AJ143" s="836" t="n"/>
    </row>
    <row r="144" ht="100" customFormat="1" customHeight="1" s="2469">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78"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5" t="n"/>
      <c r="X144" s="423" t="n"/>
      <c r="Y144" s="44" t="n"/>
      <c r="Z144" s="424" t="n"/>
      <c r="AA144" s="42" t="n"/>
      <c r="AB144" s="42" t="n"/>
      <c r="AC144" s="42" t="n"/>
      <c r="AD144" s="1044" t="n">
        <v>1</v>
      </c>
      <c r="AE144" s="983" t="n"/>
      <c r="AF144" s="984" t="n"/>
      <c r="AG144" s="984" t="n"/>
      <c r="AH144" s="983" t="n"/>
      <c r="AI144" s="834" t="n"/>
      <c r="AJ144" s="836" t="n"/>
    </row>
    <row r="145" ht="75" customFormat="1" customHeight="1" s="2469">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78"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5" t="n"/>
      <c r="X145" s="423" t="n"/>
      <c r="Y145" s="44" t="n"/>
      <c r="Z145" s="424" t="n"/>
      <c r="AA145" s="42" t="n"/>
      <c r="AB145" s="42" t="n"/>
      <c r="AC145" s="42" t="n"/>
      <c r="AD145" s="1044" t="n">
        <v>1</v>
      </c>
      <c r="AE145" s="983" t="n"/>
      <c r="AF145" s="984" t="n"/>
      <c r="AG145" s="984" t="n"/>
      <c r="AH145" s="983" t="n"/>
      <c r="AI145" s="834" t="n"/>
      <c r="AJ145" s="836" t="n"/>
    </row>
    <row r="146" ht="120" customFormat="1" customHeight="1" s="2469">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6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68" t="n"/>
      <c r="M147" s="2468"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69" t="n"/>
      <c r="B148" s="2469" t="n"/>
      <c r="C148" s="2469"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65" t="n"/>
      <c r="X148" s="2465" t="n"/>
      <c r="Y148" s="420" t="n"/>
      <c r="Z148" s="424" t="n"/>
      <c r="AA148" s="42" t="n"/>
      <c r="AB148" s="42" t="n"/>
      <c r="AC148" s="42" t="n"/>
      <c r="AD148" s="42" t="n"/>
      <c r="AE148" s="1016" t="n"/>
      <c r="AF148" s="1007" t="n"/>
      <c r="AG148" s="1007" t="n"/>
      <c r="AH148" s="1008" t="n"/>
      <c r="AI148" s="1009" t="n"/>
      <c r="AJ148" s="1010" t="n"/>
      <c r="AK148" s="2469" t="n"/>
      <c r="AL148" s="2469" t="n"/>
      <c r="AM148" s="2469" t="n"/>
      <c r="AN148" s="2469" t="n"/>
      <c r="AO148" s="2469" t="n"/>
      <c r="AP148" s="2469" t="n"/>
      <c r="AQ148" s="2469" t="n"/>
      <c r="AR148" s="2469" t="n"/>
      <c r="AS148" s="2469" t="n"/>
      <c r="AT148" s="2469" t="n"/>
      <c r="AU148" s="2469" t="n"/>
      <c r="AV148" s="2469" t="n"/>
      <c r="AW148" s="2469" t="n"/>
      <c r="AX148" s="2469" t="n"/>
      <c r="AY148" s="2469" t="n"/>
      <c r="AZ148" s="2469" t="n"/>
      <c r="BA148" s="2469" t="n"/>
      <c r="BB148" s="2469" t="n"/>
      <c r="BC148" s="2469" t="n"/>
      <c r="BD148" s="2469" t="n"/>
      <c r="BE148" s="2469" t="n"/>
      <c r="BF148" s="2469" t="n"/>
      <c r="BG148" s="2469" t="n"/>
      <c r="BH148" s="2469" t="n"/>
      <c r="BI148" s="2469" t="n"/>
      <c r="BJ148" s="2469" t="n"/>
      <c r="BK148" s="2469" t="n"/>
      <c r="BL148" s="2469" t="n"/>
      <c r="BM148" s="2469" t="n"/>
      <c r="BN148" s="2469" t="n"/>
      <c r="BO148" s="2469" t="n"/>
      <c r="BP148" s="2469" t="n"/>
      <c r="BQ148" s="2469" t="n"/>
      <c r="BR148" s="2469" t="n"/>
      <c r="BS148" s="2469" t="n"/>
      <c r="BT148" s="2469" t="n"/>
      <c r="BU148" s="2469" t="n"/>
      <c r="BV148" s="2469" t="n"/>
      <c r="BW148" s="2469" t="n"/>
      <c r="BX148" s="2469" t="n"/>
      <c r="BY148" s="2469" t="n"/>
      <c r="BZ148" s="2469" t="n"/>
      <c r="CA148" s="2469" t="n"/>
      <c r="CB148" s="2469" t="n"/>
      <c r="CC148" s="2469" t="n"/>
      <c r="CD148" s="2469" t="n"/>
      <c r="CE148" s="2469" t="n"/>
      <c r="CF148" s="2469" t="n"/>
      <c r="CG148" s="2469" t="n"/>
      <c r="CH148" s="2469" t="n"/>
      <c r="CI148" s="2469" t="n"/>
      <c r="CJ148" s="2469" t="n"/>
      <c r="CK148" s="2469" t="n"/>
      <c r="CL148" s="2469" t="n"/>
      <c r="CM148" s="2469" t="n"/>
      <c r="CN148" s="2469" t="n"/>
      <c r="CO148" s="2469" t="n"/>
      <c r="CP148" s="2469" t="n"/>
      <c r="CQ148" s="2469" t="n"/>
      <c r="CR148" s="2469" t="n"/>
      <c r="CS148" s="2469" t="n"/>
      <c r="CT148" s="2469" t="n"/>
    </row>
    <row r="149" ht="40" customHeight="1" s="2456"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57" t="n"/>
      <c r="Z149" s="425" t="n"/>
      <c r="AE149" s="1017" t="n"/>
      <c r="AF149" s="1018" t="n"/>
      <c r="AG149" s="984" t="n"/>
      <c r="AH149" s="500" t="n"/>
      <c r="AJ149" s="500" t="n"/>
    </row>
    <row r="150" ht="40" customHeight="1" s="2456">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56">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5" t="n"/>
      <c r="X151" s="423" t="n"/>
      <c r="Y151" s="420" t="n"/>
      <c r="Z151" s="425" t="n"/>
      <c r="AE151" s="996" t="inlineStr">
        <is>
          <t> </t>
        </is>
      </c>
      <c r="AF151" s="997" t="n"/>
      <c r="AG151" s="997" t="n"/>
      <c r="AH151" s="996" t="inlineStr">
        <is>
          <t> </t>
        </is>
      </c>
      <c r="AI151" s="998" t="n"/>
      <c r="AJ151" s="999" t="n"/>
    </row>
    <row r="152" ht="49" customHeight="1" s="2456">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5" t="n"/>
      <c r="X152" s="423" t="n"/>
      <c r="Z152" s="425" t="n"/>
      <c r="AE152" s="500" t="inlineStr">
        <is>
          <t>🔶</t>
        </is>
      </c>
      <c r="AH152" s="983" t="n"/>
      <c r="AI152" s="834" t="n"/>
      <c r="AJ152" s="836" t="n"/>
    </row>
    <row r="153" ht="58" customHeight="1" s="2456">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56">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78"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56">
      <c r="A155" s="1128" t="n"/>
      <c r="B155" s="99" t="inlineStr">
        <is>
          <t>sq1 (s'active si E03&gt;=condition)</t>
        </is>
      </c>
      <c r="C155" s="258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56">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78"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56">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78"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56">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78"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5" t="n"/>
      <c r="X158" s="423" t="n"/>
      <c r="Y158" s="420" t="n"/>
      <c r="Z158" s="425" t="n"/>
      <c r="AD158" s="1041" t="n">
        <v>1</v>
      </c>
      <c r="AE158" s="996" t="inlineStr">
        <is>
          <t> </t>
        </is>
      </c>
      <c r="AF158" s="997" t="n"/>
      <c r="AG158" s="997" t="n"/>
      <c r="AH158" s="996" t="inlineStr">
        <is>
          <t> </t>
        </is>
      </c>
      <c r="AI158" s="998" t="n"/>
      <c r="AJ158" s="999" t="n"/>
    </row>
    <row r="159" ht="69" customHeight="1" s="2456">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78"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56">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56">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78"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78"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5" t="n"/>
      <c r="X165" s="423" t="n"/>
      <c r="Y165" s="1046" t="n">
        <v>1</v>
      </c>
      <c r="Z165" s="425" t="n"/>
      <c r="AE165" s="996" t="inlineStr">
        <is>
          <t> </t>
        </is>
      </c>
      <c r="AF165" s="997" t="n"/>
      <c r="AG165" s="997" t="n"/>
      <c r="AH165" s="996" t="inlineStr">
        <is>
          <t> </t>
        </is>
      </c>
      <c r="AI165" s="998" t="n"/>
      <c r="AJ165" s="2559"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78"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5" t="n"/>
      <c r="X167" s="423" t="n"/>
      <c r="Y167" s="1046" t="n">
        <v>1</v>
      </c>
      <c r="Z167" s="424" t="n"/>
      <c r="AE167" s="996" t="inlineStr">
        <is>
          <t> </t>
        </is>
      </c>
      <c r="AF167" s="997" t="n"/>
      <c r="AG167" s="997" t="n"/>
      <c r="AH167" s="996" t="inlineStr">
        <is>
          <t> </t>
        </is>
      </c>
      <c r="AI167" s="998" t="n"/>
      <c r="AJ167" s="999" t="n"/>
    </row>
    <row r="168" ht="58" customHeight="1" s="2456">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78"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5" t="n"/>
      <c r="X168" s="423" t="n"/>
      <c r="Y168" s="420" t="n"/>
      <c r="Z168" s="425" t="n">
        <v>1</v>
      </c>
      <c r="AE168" s="996" t="inlineStr">
        <is>
          <t> </t>
        </is>
      </c>
      <c r="AF168" s="997" t="n"/>
      <c r="AG168" s="997" t="n"/>
      <c r="AH168" s="996" t="inlineStr">
        <is>
          <t> </t>
        </is>
      </c>
      <c r="AI168" s="998" t="n"/>
      <c r="AJ168" s="999" t="n"/>
    </row>
    <row r="169" ht="83" customHeight="1" s="2456">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78"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56">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5" t="n"/>
      <c r="X170" s="423" t="n"/>
      <c r="Y170" s="420" t="n"/>
      <c r="Z170" s="425" t="n">
        <v>1</v>
      </c>
      <c r="AE170" s="996" t="n"/>
      <c r="AF170" s="997" t="n"/>
      <c r="AG170" s="997" t="n"/>
      <c r="AH170" s="996" t="n"/>
      <c r="AI170" s="998" t="n"/>
      <c r="AJ170" s="999" t="n"/>
    </row>
    <row r="171" ht="65" customHeight="1" s="2456">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78"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5" t="n"/>
      <c r="X171" s="423" t="n"/>
      <c r="Y171" s="420" t="n"/>
      <c r="Z171" s="425" t="n">
        <v>1</v>
      </c>
      <c r="AE171" s="996" t="inlineStr">
        <is>
          <t> </t>
        </is>
      </c>
      <c r="AF171" s="997" t="n"/>
      <c r="AG171" s="997" t="n"/>
      <c r="AH171" s="996" t="inlineStr">
        <is>
          <t> </t>
        </is>
      </c>
      <c r="AI171" s="998" t="n"/>
      <c r="AJ171" s="999" t="n"/>
    </row>
    <row r="172" ht="71" customHeight="1" s="2456">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78"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56">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78"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5" t="n"/>
      <c r="X173" s="423" t="n"/>
      <c r="Y173" s="420" t="n"/>
      <c r="Z173" s="425" t="n"/>
      <c r="AA173" s="1041" t="n">
        <v>1</v>
      </c>
      <c r="AE173" s="996" t="inlineStr">
        <is>
          <t> </t>
        </is>
      </c>
      <c r="AF173" s="997" t="n"/>
      <c r="AG173" s="997" t="n"/>
      <c r="AH173" s="996" t="inlineStr">
        <is>
          <t> </t>
        </is>
      </c>
      <c r="AI173" s="998" t="n"/>
      <c r="AJ173" s="999" t="n"/>
    </row>
    <row r="174" ht="72" customHeight="1" s="2456">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56">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78"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5" t="n"/>
      <c r="X175" s="423" t="n"/>
      <c r="Y175" s="420" t="n"/>
      <c r="Z175" s="425" t="n"/>
      <c r="AA175" s="1041" t="n">
        <v>1</v>
      </c>
      <c r="AE175" s="996" t="inlineStr">
        <is>
          <t> </t>
        </is>
      </c>
      <c r="AF175" s="997" t="n"/>
      <c r="AG175" s="997" t="n"/>
      <c r="AH175" s="996" t="inlineStr">
        <is>
          <t> </t>
        </is>
      </c>
      <c r="AI175" s="998" t="n"/>
      <c r="AJ175" s="999" t="n"/>
    </row>
    <row r="176" ht="88" customHeight="1" s="2456">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78"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5" t="n"/>
      <c r="X176" s="423" t="n"/>
      <c r="Y176" s="420" t="n"/>
      <c r="Z176" s="425" t="n"/>
      <c r="AA176" s="1041" t="n">
        <v>1</v>
      </c>
      <c r="AE176" s="996" t="inlineStr">
        <is>
          <t> </t>
        </is>
      </c>
      <c r="AF176" s="997" t="n"/>
      <c r="AG176" s="997" t="n"/>
      <c r="AH176" s="996" t="inlineStr">
        <is>
          <t> </t>
        </is>
      </c>
      <c r="AI176" s="998" t="n"/>
      <c r="AJ176" s="999" t="n"/>
    </row>
    <row r="177" ht="73" customHeight="1" s="2456">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5" t="n"/>
      <c r="X177" s="423" t="n"/>
      <c r="Y177" s="420" t="n"/>
      <c r="Z177" s="425" t="n"/>
      <c r="AA177" s="1041" t="n">
        <v>1</v>
      </c>
      <c r="AE177" s="996" t="inlineStr">
        <is>
          <t> </t>
        </is>
      </c>
      <c r="AF177" s="997" t="n"/>
      <c r="AG177" s="997" t="n"/>
      <c r="AH177" s="996" t="inlineStr">
        <is>
          <t> </t>
        </is>
      </c>
      <c r="AI177" s="998" t="n"/>
      <c r="AJ177" s="999" t="n"/>
    </row>
    <row r="178" ht="77" customHeight="1" s="2456">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520" t="n"/>
      <c r="C179" s="2559"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56">
      <c r="A180" s="1490" t="n"/>
      <c r="B180" s="99" t="inlineStr">
        <is>
          <t>sq1 (s'active si E20&gt;=condition)</t>
        </is>
      </c>
      <c r="C180" s="2559"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5" t="n"/>
      <c r="X180" s="423" t="n"/>
      <c r="Y180" s="420" t="n"/>
      <c r="Z180" s="425" t="n"/>
      <c r="AB180" s="1041" t="n">
        <v>1</v>
      </c>
      <c r="AE180" s="992" t="n"/>
      <c r="AF180" s="1001" t="n"/>
      <c r="AG180" s="1001" t="n"/>
      <c r="AH180" s="992" t="n"/>
      <c r="AI180" s="994" t="n"/>
      <c r="AJ180" s="995" t="n"/>
    </row>
    <row r="181" ht="66" customHeight="1" s="2456">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56">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5" t="n"/>
      <c r="X182" s="423" t="n"/>
      <c r="Y182" s="411" t="n"/>
      <c r="Z182" s="424" t="n"/>
      <c r="AB182" s="1041" t="n">
        <v>1</v>
      </c>
      <c r="AE182" s="996" t="inlineStr">
        <is>
          <t> </t>
        </is>
      </c>
      <c r="AF182" s="997" t="n"/>
      <c r="AG182" s="997" t="n"/>
      <c r="AH182" s="996" t="inlineStr">
        <is>
          <t> </t>
        </is>
      </c>
      <c r="AI182" s="998" t="n"/>
      <c r="AJ182" s="999" t="n"/>
    </row>
    <row r="183" ht="72" customHeight="1" s="2456">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56">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78"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5" t="n"/>
      <c r="X185" s="423" t="n"/>
      <c r="Y185" s="420" t="n"/>
      <c r="Z185" s="425" t="n"/>
      <c r="AC185" s="1041" t="n">
        <v>1</v>
      </c>
      <c r="AE185" s="996" t="inlineStr">
        <is>
          <t> </t>
        </is>
      </c>
      <c r="AF185" s="997" t="n"/>
      <c r="AG185" s="997" t="n"/>
      <c r="AH185" s="996" t="inlineStr">
        <is>
          <t> </t>
        </is>
      </c>
      <c r="AI185" s="998" t="n"/>
      <c r="AJ185" s="999" t="n"/>
    </row>
    <row r="186" ht="72" customHeight="1" s="2456">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78"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5" t="n"/>
      <c r="X189" s="423" t="n"/>
      <c r="Y189" s="420" t="n"/>
      <c r="Z189" s="425" t="n"/>
      <c r="AD189" s="1041" t="n">
        <v>1</v>
      </c>
      <c r="AE189" s="996" t="inlineStr">
        <is>
          <t> </t>
        </is>
      </c>
      <c r="AF189" s="997" t="n"/>
      <c r="AG189" s="997" t="n"/>
      <c r="AH189" s="996" t="inlineStr">
        <is>
          <t> </t>
        </is>
      </c>
      <c r="AI189" s="998" t="n"/>
      <c r="AJ189" s="999" t="n"/>
    </row>
    <row r="190" ht="64" customHeight="1" s="2456">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78"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5" t="n"/>
      <c r="X190" s="423" t="n"/>
      <c r="Y190" s="420" t="n"/>
      <c r="Z190" s="425" t="n">
        <v>1</v>
      </c>
      <c r="AE190" s="996" t="inlineStr">
        <is>
          <t> </t>
        </is>
      </c>
      <c r="AF190" s="997" t="n"/>
      <c r="AG190" s="997" t="n"/>
      <c r="AH190" s="996" t="inlineStr">
        <is>
          <t> </t>
        </is>
      </c>
      <c r="AI190" s="998" t="n"/>
      <c r="AJ190" s="999" t="n"/>
    </row>
    <row r="191" ht="54" customHeight="1" s="2456">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78"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56">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78" t="n"/>
      <c r="P192" s="304" t="n"/>
      <c r="Q192" s="304" t="n"/>
      <c r="R192" s="304" t="n"/>
      <c r="S192" s="315" t="inlineStr">
        <is>
          <t>n/a</t>
        </is>
      </c>
      <c r="T192" s="339" t="inlineStr">
        <is>
          <t>n/a</t>
        </is>
      </c>
      <c r="U192" s="342" t="inlineStr">
        <is>
          <t>n/a</t>
        </is>
      </c>
      <c r="V192" s="659" t="inlineStr">
        <is>
          <t>Rôle actif de l'enfant</t>
        </is>
      </c>
      <c r="W192" s="2465" t="n"/>
      <c r="X192" s="423" t="n"/>
      <c r="Y192" s="420" t="n"/>
      <c r="Z192" s="425" t="n"/>
      <c r="AD192" s="1041" t="n">
        <v>1</v>
      </c>
      <c r="AE192" s="992" t="n"/>
      <c r="AF192" s="997" t="n"/>
      <c r="AG192" s="997" t="n"/>
      <c r="AH192" s="992" t="n"/>
      <c r="AI192" s="998" t="n"/>
      <c r="AJ192" s="999" t="n"/>
    </row>
    <row r="193" ht="68" customHeight="1" s="2456">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78"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5" t="n"/>
      <c r="X193" s="423" t="n"/>
      <c r="Y193" s="420" t="n"/>
      <c r="Z193" s="426" t="n"/>
      <c r="AA193" s="140" t="n"/>
      <c r="AD193" s="1041" t="n">
        <v>1</v>
      </c>
      <c r="AE193" s="1026" t="inlineStr">
        <is>
          <t> </t>
        </is>
      </c>
      <c r="AF193" s="993" t="n"/>
      <c r="AG193" s="993" t="n"/>
      <c r="AH193" s="992" t="inlineStr">
        <is>
          <t>🔴</t>
        </is>
      </c>
      <c r="AI193" s="998" t="n"/>
      <c r="AJ193" s="1027" t="n"/>
    </row>
    <row r="194" ht="63" customHeight="1" s="2456">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78"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5" t="n"/>
      <c r="X194" s="423" t="n"/>
      <c r="Y194" s="420" t="n"/>
      <c r="Z194" s="425" t="n"/>
      <c r="AD194" s="1041" t="n">
        <v>1</v>
      </c>
      <c r="AE194" s="996" t="inlineStr">
        <is>
          <t> </t>
        </is>
      </c>
      <c r="AF194" s="997" t="n"/>
      <c r="AG194" s="997" t="n"/>
      <c r="AH194" s="996" t="inlineStr">
        <is>
          <t> </t>
        </is>
      </c>
      <c r="AI194" s="998" t="n"/>
      <c r="AJ194" s="999" t="n"/>
    </row>
    <row r="195" ht="82" customHeight="1" s="2456">
      <c r="A195" s="2520"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5" t="n"/>
      <c r="X195" s="423" t="n"/>
      <c r="Y195" s="420" t="n"/>
      <c r="Z195" s="425" t="n"/>
      <c r="AD195" s="1041" t="n">
        <v>1</v>
      </c>
      <c r="AE195" s="996" t="inlineStr">
        <is>
          <t> </t>
        </is>
      </c>
      <c r="AF195" s="997" t="n"/>
      <c r="AG195" s="997" t="n"/>
      <c r="AH195" s="996" t="inlineStr">
        <is>
          <t> </t>
        </is>
      </c>
      <c r="AI195" s="998" t="n"/>
      <c r="AJ195" s="999" t="n"/>
    </row>
    <row r="196" ht="71" customHeight="1" s="2456">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5" t="n"/>
      <c r="X196" s="423" t="n"/>
      <c r="Y196" s="420" t="n"/>
      <c r="Z196" s="426" t="n"/>
      <c r="AA196" s="140" t="n"/>
      <c r="AD196" s="1041" t="n">
        <v>1</v>
      </c>
      <c r="AE196" s="1026" t="inlineStr">
        <is>
          <t> </t>
        </is>
      </c>
      <c r="AF196" s="993" t="n"/>
      <c r="AG196" s="993" t="n"/>
      <c r="AH196" s="1028" t="inlineStr">
        <is>
          <t> </t>
        </is>
      </c>
      <c r="AI196" s="998" t="n"/>
      <c r="AJ196" s="1027" t="n"/>
    </row>
    <row r="197" ht="73" customHeight="1" s="2456">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78"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5" t="n"/>
      <c r="X197" s="423" t="n"/>
      <c r="Y197" s="420" t="n"/>
      <c r="Z197" s="425" t="n"/>
      <c r="AD197" s="1041" t="n">
        <v>1</v>
      </c>
      <c r="AE197" s="996" t="inlineStr">
        <is>
          <t> </t>
        </is>
      </c>
      <c r="AF197" s="997" t="n"/>
      <c r="AG197" s="997" t="n"/>
      <c r="AH197" s="996" t="inlineStr">
        <is>
          <t> </t>
        </is>
      </c>
      <c r="AI197" s="998" t="n"/>
      <c r="AJ197" s="999" t="n"/>
    </row>
    <row r="198" ht="72" customHeight="1" s="2456">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78"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5" t="n"/>
      <c r="X198" s="423" t="n"/>
      <c r="Y198" s="420" t="n"/>
      <c r="Z198" s="425" t="n"/>
      <c r="AD198" s="1041" t="n">
        <v>1</v>
      </c>
      <c r="AE198" s="996" t="inlineStr">
        <is>
          <t> </t>
        </is>
      </c>
      <c r="AF198" s="997" t="n"/>
      <c r="AG198" s="997" t="n"/>
      <c r="AH198" s="996" t="inlineStr">
        <is>
          <t> </t>
        </is>
      </c>
      <c r="AI198" s="998" t="n"/>
      <c r="AJ198" s="999" t="n"/>
    </row>
    <row r="199" ht="78" customHeight="1" s="2456">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78"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5" t="n"/>
      <c r="X199" s="423" t="n"/>
      <c r="Y199" s="420" t="n"/>
      <c r="Z199" s="425" t="n"/>
      <c r="AD199" s="1041" t="n">
        <v>1</v>
      </c>
      <c r="AE199" s="996" t="inlineStr">
        <is>
          <t> </t>
        </is>
      </c>
      <c r="AF199" s="997" t="n"/>
      <c r="AG199" s="997" t="n"/>
      <c r="AH199" s="996" t="inlineStr">
        <is>
          <t> </t>
        </is>
      </c>
      <c r="AI199" s="998" t="n"/>
      <c r="AJ199" s="999" t="n"/>
    </row>
    <row r="200" ht="75" customHeight="1" s="2456">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78"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5" t="n"/>
      <c r="X200" s="423" t="n"/>
      <c r="Y200" s="420" t="n"/>
      <c r="Z200" s="425" t="n"/>
      <c r="AD200" s="1041" t="n">
        <v>1</v>
      </c>
      <c r="AE200" s="996" t="inlineStr">
        <is>
          <t> </t>
        </is>
      </c>
      <c r="AF200" s="997" t="n"/>
      <c r="AG200" s="997" t="n"/>
      <c r="AH200" s="996" t="inlineStr">
        <is>
          <t> </t>
        </is>
      </c>
      <c r="AI200" s="998" t="n"/>
      <c r="AJ200" s="999" t="n"/>
    </row>
    <row r="201" ht="75" customHeight="1" s="2456">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78"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5" t="n"/>
      <c r="X201" s="423" t="n"/>
      <c r="Y201" s="420" t="n"/>
      <c r="Z201" s="426" t="n"/>
      <c r="AA201" s="140" t="n"/>
      <c r="AD201" s="1041" t="n">
        <v>1</v>
      </c>
      <c r="AE201" s="1026" t="inlineStr">
        <is>
          <t> </t>
        </is>
      </c>
      <c r="AF201" s="993" t="n"/>
      <c r="AG201" s="993" t="n"/>
      <c r="AH201" s="1028" t="inlineStr">
        <is>
          <t> </t>
        </is>
      </c>
      <c r="AI201" s="998" t="n"/>
      <c r="AJ201" s="1027" t="n"/>
    </row>
    <row r="202" ht="72" customHeight="1" s="2456">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78"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56">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5" t="n"/>
      <c r="X203" s="423" t="n"/>
      <c r="Y203" s="420" t="n"/>
      <c r="Z203" s="426" t="n"/>
      <c r="AA203" s="140" t="n"/>
      <c r="AD203" s="1041" t="n"/>
      <c r="AE203" s="1026" t="n"/>
      <c r="AF203" s="993" t="n"/>
      <c r="AG203" s="993" t="n"/>
      <c r="AH203" s="1028" t="inlineStr">
        <is>
          <t> </t>
        </is>
      </c>
      <c r="AI203" s="998" t="n"/>
      <c r="AJ203" s="1027" t="n"/>
    </row>
    <row r="204" ht="85" customHeight="1" s="2456">
      <c r="A204" s="2520"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78"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5" t="n"/>
      <c r="X204" s="423" t="n"/>
      <c r="Y204" s="420" t="n"/>
      <c r="Z204" s="426" t="n"/>
      <c r="AA204" s="140" t="n"/>
      <c r="AD204" s="1041" t="n">
        <v>1</v>
      </c>
      <c r="AE204" s="1026" t="n"/>
      <c r="AF204" s="993" t="n"/>
      <c r="AG204" s="993" t="n"/>
      <c r="AH204" s="1028" t="n"/>
      <c r="AI204" s="998" t="n"/>
      <c r="AJ204" s="1027" t="n"/>
    </row>
    <row r="205" ht="82" customHeight="1" s="2456">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78"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5" t="n"/>
      <c r="X205" s="423" t="n"/>
      <c r="Y205" s="420" t="n"/>
      <c r="Z205" s="426" t="n"/>
      <c r="AA205" s="140" t="n"/>
      <c r="AD205" s="1041" t="n">
        <v>1</v>
      </c>
      <c r="AE205" s="1026" t="n"/>
      <c r="AF205" s="993" t="n"/>
      <c r="AG205" s="993" t="n"/>
      <c r="AH205" s="837" t="inlineStr">
        <is>
          <t>🔴 ATTN : déf. AP</t>
        </is>
      </c>
      <c r="AI205" s="998" t="n"/>
      <c r="AJ205" s="1027" t="n"/>
    </row>
    <row r="206" ht="49" customHeight="1" s="2456">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78" t="n"/>
      <c r="P206" s="304" t="n"/>
      <c r="Q206" s="304" t="n"/>
      <c r="R206" s="304" t="n"/>
      <c r="S206" s="315" t="inlineStr">
        <is>
          <t>n/a</t>
        </is>
      </c>
      <c r="T206" s="339" t="inlineStr">
        <is>
          <t>n/a</t>
        </is>
      </c>
      <c r="U206" s="342" t="inlineStr">
        <is>
          <t>n/a</t>
        </is>
      </c>
      <c r="V206" s="659" t="inlineStr">
        <is>
          <t>Rôle actif de l'enfant</t>
        </is>
      </c>
      <c r="W206" s="2465" t="n"/>
      <c r="X206" s="423" t="n"/>
      <c r="Y206" s="420" t="n"/>
      <c r="Z206" s="426" t="n"/>
      <c r="AA206" s="140" t="n"/>
      <c r="AD206" s="1041" t="n">
        <v>1</v>
      </c>
      <c r="AE206" s="1026" t="n"/>
      <c r="AF206" s="993" t="n"/>
      <c r="AG206" s="993" t="n"/>
      <c r="AH206" s="1028" t="n"/>
      <c r="AI206" s="998" t="n"/>
      <c r="AJ206" s="1027" t="n"/>
    </row>
    <row r="207" ht="233" customHeight="1" s="2456">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78"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69">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78"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69">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78"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69">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78"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69" thickBot="1">
      <c r="A211" s="287" t="n"/>
      <c r="B211" s="287" t="n"/>
      <c r="C211" s="287" t="n"/>
      <c r="D211" s="147" t="inlineStr">
        <is>
          <t>PCR - B</t>
        </is>
      </c>
      <c r="E211" s="2543" t="n"/>
      <c r="F211" s="1283" t="n"/>
      <c r="G211" s="2543"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56">
      <c r="C212" s="1557" t="inlineStr">
        <is>
          <t>Fais suite soit au formulaire du NC ou du PFA si pas de NC</t>
        </is>
      </c>
      <c r="D212" s="2476"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56">
      <c r="A213" s="510" t="inlineStr">
        <is>
          <t>S'ouvre si E27 &gt;= 4 (retour de garde de l'enfant)</t>
        </is>
      </c>
      <c r="B213" s="2580" t="n"/>
      <c r="C213" s="2476" t="n"/>
      <c r="D213" s="2476"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56" thickBot="1">
      <c r="A214" s="510" t="inlineStr">
        <is>
          <t>S'ouvre si E04 OU E32 &gt;= 4 (défend l'autre parent OU accuse de voler)</t>
        </is>
      </c>
      <c r="B214" s="2580" t="n"/>
      <c r="C214" s="2477"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78"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69"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69"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69">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69">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69">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5" t="n"/>
      <c r="X220" s="423" t="n"/>
      <c r="Y220" s="411" t="n">
        <v>1</v>
      </c>
      <c r="Z220" s="433" t="n"/>
      <c r="AA220" s="42" t="n"/>
      <c r="AB220" s="42" t="n"/>
      <c r="AC220" s="42" t="n"/>
      <c r="AD220" s="42" t="n"/>
      <c r="AE220" s="527" t="n"/>
      <c r="AF220" s="984" t="n"/>
      <c r="AG220" s="984" t="n"/>
      <c r="AH220" s="983" t="n"/>
      <c r="AI220" s="834" t="n"/>
      <c r="AJ220" s="836" t="n"/>
    </row>
    <row r="221" ht="65" customFormat="1" customHeight="1" s="2469"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65" t="n"/>
      <c r="X221" s="423" t="n"/>
      <c r="Y221" s="411" t="n"/>
      <c r="Z221" s="1639" t="n">
        <v>1</v>
      </c>
      <c r="AA221" s="42" t="n"/>
      <c r="AB221" s="42" t="n"/>
      <c r="AC221" s="42" t="n"/>
      <c r="AD221" s="42" t="n"/>
      <c r="AE221" s="527" t="n"/>
      <c r="AF221" s="984" t="n"/>
      <c r="AG221" s="984" t="n"/>
      <c r="AH221" s="983" t="n"/>
      <c r="AI221" s="834" t="n"/>
      <c r="AJ221" s="836" t="n"/>
    </row>
    <row r="222" ht="63" customFormat="1" customHeight="1" s="2469">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78"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69">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78"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69">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78"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69">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78"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69">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78"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69">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78"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5" t="n"/>
      <c r="X227" s="423" t="n"/>
      <c r="Y227" s="44" t="n"/>
      <c r="Z227" s="432" t="n"/>
      <c r="AA227" s="1044" t="n">
        <v>1</v>
      </c>
      <c r="AB227" s="42" t="n"/>
      <c r="AC227" s="42" t="n"/>
      <c r="AD227" s="42" t="n"/>
      <c r="AE227" s="527" t="n"/>
      <c r="AF227" s="984" t="n"/>
      <c r="AG227" s="984" t="n"/>
      <c r="AH227" s="983" t="n"/>
      <c r="AI227" s="834" t="n"/>
      <c r="AJ227" s="836" t="n"/>
    </row>
    <row r="228" ht="63" customFormat="1" customHeight="1" s="2469">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78"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5" t="n"/>
      <c r="X228" s="423" t="n"/>
      <c r="Y228" s="44" t="n"/>
      <c r="Z228" s="432" t="n"/>
      <c r="AA228" s="1044" t="n">
        <v>1</v>
      </c>
      <c r="AB228" s="42" t="n"/>
      <c r="AC228" s="42" t="n"/>
      <c r="AD228" s="42" t="n"/>
      <c r="AE228" s="527" t="n"/>
      <c r="AF228" s="984" t="n"/>
      <c r="AG228" s="984" t="n"/>
      <c r="AH228" s="500" t="n"/>
      <c r="AI228" s="834" t="n"/>
      <c r="AJ228" s="835" t="n"/>
    </row>
    <row r="229" ht="63" customFormat="1" customHeight="1" s="2469">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78"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65" t="n"/>
      <c r="X229" s="423" t="n"/>
      <c r="Y229" s="44" t="n"/>
      <c r="Z229" s="432" t="n"/>
      <c r="AA229" s="1044" t="n">
        <v>1</v>
      </c>
      <c r="AB229" s="42" t="n"/>
      <c r="AC229" s="42" t="n"/>
      <c r="AD229" s="42" t="n"/>
      <c r="AE229" s="527" t="n"/>
      <c r="AF229" s="984" t="n"/>
      <c r="AG229" s="984" t="n"/>
      <c r="AH229" s="983" t="n"/>
      <c r="AI229" s="834" t="n"/>
      <c r="AJ229" s="836" t="n"/>
    </row>
    <row r="230" ht="63" customFormat="1" customHeight="1" s="2469">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78"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69">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69">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69">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5" t="n"/>
      <c r="X233" s="423" t="n"/>
      <c r="Y233" s="411" t="n"/>
      <c r="Z233" s="433" t="n"/>
      <c r="AA233" s="42" t="n"/>
      <c r="AB233" s="1044" t="n">
        <v>1</v>
      </c>
      <c r="AC233" s="42" t="n"/>
      <c r="AD233" s="42" t="n"/>
      <c r="AE233" s="527" t="n"/>
      <c r="AF233" s="984" t="n"/>
      <c r="AG233" s="984" t="n"/>
      <c r="AH233" s="983" t="n"/>
      <c r="AI233" s="834" t="n"/>
      <c r="AJ233" s="836" t="n"/>
    </row>
    <row r="234" ht="85" customFormat="1" customHeight="1" s="2469"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78"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69" thickTop="1">
      <c r="D235" s="554" t="n"/>
      <c r="E235" s="554" t="n"/>
      <c r="F235" s="525" t="n"/>
      <c r="G235" s="2520" t="n"/>
      <c r="H235" s="525" t="n"/>
      <c r="I235" s="525" t="n"/>
      <c r="J235" s="526" t="n"/>
      <c r="K235" s="526" t="n"/>
      <c r="L235" s="526" t="n"/>
      <c r="M235" s="526" t="n"/>
      <c r="N235" s="2472" t="n"/>
      <c r="O235" s="1306" t="n"/>
      <c r="P235" s="2472"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69">
      <c r="D236" s="554" t="n"/>
      <c r="E236" s="554" t="n"/>
      <c r="F236" s="525" t="n"/>
      <c r="G236" s="2520" t="n"/>
      <c r="H236" s="525" t="n"/>
      <c r="I236" s="525" t="n"/>
      <c r="J236" s="526" t="n"/>
      <c r="K236" s="526" t="n"/>
      <c r="L236" s="526" t="n"/>
      <c r="M236" s="526" t="n"/>
      <c r="N236" s="2472" t="n"/>
      <c r="O236" s="1306" t="n"/>
      <c r="P236" s="2472"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69">
      <c r="C237" s="1619" t="n"/>
      <c r="D237" s="554" t="n"/>
      <c r="E237" s="554" t="n"/>
      <c r="F237" s="525" t="n"/>
      <c r="G237" s="2520" t="n"/>
      <c r="H237" s="525" t="n"/>
      <c r="I237" s="525" t="n"/>
      <c r="J237" s="526" t="n"/>
      <c r="K237" s="526" t="n"/>
      <c r="L237" s="526" t="n"/>
      <c r="M237" s="526" t="n"/>
      <c r="N237" s="526" t="n"/>
      <c r="O237" s="1306" t="n"/>
      <c r="P237" s="2472"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69">
      <c r="C238" s="1618" t="n"/>
      <c r="D238" s="1264" t="inlineStr">
        <is>
          <t>Fais suite soit au formulaire du NC ou du PFA si pas de NC</t>
        </is>
      </c>
      <c r="E238" s="554" t="n"/>
      <c r="F238" s="525" t="n"/>
      <c r="G238" s="2520" t="n"/>
      <c r="H238" s="525" t="n"/>
      <c r="I238" s="525" t="n"/>
      <c r="J238" s="525" t="n"/>
      <c r="K238" s="525" t="n"/>
      <c r="L238" s="526" t="n"/>
      <c r="M238" s="526" t="n"/>
      <c r="N238" s="526" t="n"/>
      <c r="O238" s="1306" t="n"/>
      <c r="P238" s="2472"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69" thickBot="1">
      <c r="D239" s="1264" t="n"/>
      <c r="E239" s="554" t="n"/>
      <c r="F239" s="525" t="n"/>
      <c r="G239" s="2520" t="n"/>
      <c r="H239" s="525" t="n"/>
      <c r="I239" s="525" t="n"/>
      <c r="J239" s="526" t="n"/>
      <c r="K239" s="526" t="n"/>
      <c r="L239" s="526" t="n"/>
      <c r="M239" s="526" t="n"/>
      <c r="N239" s="2472" t="n"/>
      <c r="O239" s="1306" t="n"/>
      <c r="P239" s="2472"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56">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56">
      <c r="C241" s="246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56">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56">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56">
      <c r="D244" s="246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56">
      <c r="C245" s="2466" t="inlineStr">
        <is>
          <t>Fin du questionnaire</t>
        </is>
      </c>
      <c r="E245" s="2520" t="n"/>
      <c r="F245" s="2578" t="n"/>
      <c r="H245" s="579" t="n"/>
      <c r="I245" s="579" t="n"/>
      <c r="J245" s="2520" t="n"/>
      <c r="K245" s="2520" t="n"/>
      <c r="L245" s="2468" t="n"/>
      <c r="M245" s="2468" t="n"/>
      <c r="N245" s="580" t="n"/>
      <c r="W245" s="416" t="n"/>
      <c r="X245" s="416" t="n"/>
      <c r="AE245" s="983" t="n"/>
      <c r="AF245" s="984" t="n"/>
      <c r="AG245" s="984" t="n"/>
      <c r="AH245" s="983" t="n"/>
      <c r="AI245" s="834" t="n"/>
      <c r="AJ245" s="836" t="n"/>
    </row>
    <row r="246" ht="40" customHeight="1" s="2456">
      <c r="E246" s="2501" t="n"/>
      <c r="F246" s="2465" t="n"/>
      <c r="G246" s="2465" t="n"/>
      <c r="H246" s="2465" t="n"/>
      <c r="I246" s="2465" t="n"/>
      <c r="J246" s="2463" t="n"/>
      <c r="K246" s="2463" t="n"/>
      <c r="L246" s="575" t="n"/>
      <c r="O246" s="1516" t="n"/>
      <c r="P246" s="110" t="n"/>
      <c r="Q246" s="110" t="n"/>
      <c r="R246" s="2485" t="n"/>
      <c r="S246" s="2485" t="n"/>
      <c r="T246" s="2485" t="n"/>
      <c r="U246" s="2485" t="n"/>
      <c r="V246" s="2457" t="n"/>
      <c r="W246" s="409" t="n"/>
      <c r="X246" s="138" t="n"/>
      <c r="Y246" s="138" t="n"/>
    </row>
    <row r="247" ht="40" customHeight="1" s="2456">
      <c r="E247" s="2501" t="n"/>
      <c r="F247" s="2465" t="n"/>
      <c r="G247" s="2465" t="n"/>
      <c r="H247" s="2465" t="n"/>
      <c r="I247" s="2465" t="n"/>
      <c r="J247" s="2463" t="n"/>
      <c r="K247" s="2463" t="n"/>
      <c r="L247" s="575" t="n"/>
      <c r="O247" s="1516" t="n"/>
      <c r="P247" s="110" t="n"/>
      <c r="Q247" s="110" t="n"/>
      <c r="R247" s="2485" t="n"/>
      <c r="S247" s="2485" t="n"/>
      <c r="T247" s="2485" t="n"/>
      <c r="U247" s="2485" t="n"/>
      <c r="V247" s="2457" t="n"/>
      <c r="W247" s="409" t="n"/>
      <c r="X247" s="138" t="n"/>
      <c r="Y247" s="138" t="n"/>
    </row>
    <row r="248" ht="40" customHeight="1" s="2456">
      <c r="E248" s="2501" t="n"/>
      <c r="F248" s="2465" t="n"/>
      <c r="G248" s="2465" t="n"/>
      <c r="H248" s="2465" t="n"/>
      <c r="I248" s="2465" t="n"/>
      <c r="J248" s="2463" t="n"/>
      <c r="K248" s="2463" t="n"/>
      <c r="L248" s="575" t="n"/>
      <c r="O248" s="1516" t="n"/>
      <c r="P248" s="110" t="n"/>
      <c r="Q248" s="110" t="n"/>
      <c r="R248" s="2485" t="n"/>
      <c r="S248" s="2485" t="n"/>
      <c r="T248" s="2485" t="n"/>
      <c r="U248" s="2485" t="n"/>
      <c r="V248" s="2457" t="n"/>
      <c r="W248" s="409" t="n"/>
      <c r="X248" s="138" t="n"/>
      <c r="Y248" s="138" t="n"/>
    </row>
    <row r="249" ht="40" customHeight="1" s="2456">
      <c r="G249" s="2465" t="n"/>
      <c r="O249" s="524" t="n"/>
    </row>
    <row r="250" ht="40" customHeight="1" s="2456">
      <c r="G250" s="2465" t="n"/>
      <c r="O250" s="524" t="n"/>
    </row>
    <row r="251" ht="40" customHeight="1" s="2456">
      <c r="G251" s="2465" t="n"/>
      <c r="O251" s="524" t="n"/>
    </row>
    <row r="252" ht="40" customHeight="1" s="2456">
      <c r="G252" s="2465" t="n"/>
      <c r="O252" s="524" t="n"/>
    </row>
    <row r="253" ht="40" customHeight="1" s="2456">
      <c r="G253" s="2465" t="n"/>
      <c r="O253" s="524" t="n"/>
    </row>
    <row r="254" ht="40" customHeight="1" s="2456">
      <c r="G254" s="2465" t="n"/>
      <c r="O254" s="524" t="n"/>
    </row>
    <row r="255" ht="40" customHeight="1" s="2456">
      <c r="G255" s="2465" t="n"/>
      <c r="O255" s="524" t="n"/>
    </row>
    <row r="256" ht="40" customHeight="1" s="2456">
      <c r="G256" s="2465" t="n"/>
      <c r="O256" s="524" t="n"/>
    </row>
    <row r="257" ht="40" customHeight="1" s="2456">
      <c r="G257" s="2465" t="n"/>
      <c r="O257" s="524" t="n"/>
    </row>
    <row r="258" ht="40" customHeight="1" s="2456">
      <c r="G258" s="2465" t="n"/>
      <c r="O258" s="524" t="n"/>
    </row>
    <row r="259" ht="40" customHeight="1" s="2456">
      <c r="G259" s="2465" t="n"/>
      <c r="O259" s="524" t="n"/>
    </row>
    <row r="260" ht="40" customHeight="1" s="2456">
      <c r="G260" s="2465" t="n"/>
      <c r="O260" s="524" t="n"/>
    </row>
    <row r="261" ht="40" customHeight="1" s="2456">
      <c r="G261" s="2465" t="n"/>
      <c r="O261" s="524" t="n"/>
    </row>
    <row r="262" ht="40" customHeight="1" s="2456">
      <c r="G262" s="2465" t="n"/>
      <c r="O262" s="524" t="n"/>
    </row>
    <row r="263" ht="40" customHeight="1" s="2456">
      <c r="G263" s="2465" t="n"/>
      <c r="O263" s="524" t="n"/>
    </row>
    <row r="264" ht="40" customHeight="1" s="2456">
      <c r="G264" s="2465" t="n"/>
      <c r="O264" s="524" t="n"/>
    </row>
    <row r="265" ht="40" customHeight="1" s="2456">
      <c r="G265" s="2465" t="n"/>
      <c r="O265" s="524" t="n"/>
    </row>
    <row r="266" ht="40" customHeight="1" s="2456">
      <c r="G266" s="2465" t="n"/>
      <c r="O266" s="524" t="n"/>
    </row>
    <row r="267" ht="40" customHeight="1" s="2456">
      <c r="G267" s="2465" t="n"/>
      <c r="O267" s="524" t="n"/>
    </row>
    <row r="268" ht="40" customHeight="1" s="2456">
      <c r="G268" s="2465" t="n"/>
      <c r="O268" s="524" t="n"/>
    </row>
    <row r="269" ht="40" customHeight="1" s="2456">
      <c r="G269" s="2465" t="n"/>
      <c r="O269" s="524" t="n"/>
    </row>
    <row r="270" ht="40" customHeight="1" s="2456">
      <c r="G270" s="2465" t="n"/>
      <c r="O270" s="524" t="n"/>
    </row>
    <row r="271" ht="40" customHeight="1" s="2456">
      <c r="G271" s="2465" t="n"/>
      <c r="O271" s="524" t="n"/>
    </row>
    <row r="272" ht="40" customHeight="1" s="2456">
      <c r="G272" s="2465" t="n"/>
      <c r="O272" s="524" t="n"/>
    </row>
    <row r="273" ht="40" customHeight="1" s="2456">
      <c r="G273" s="2465" t="n"/>
      <c r="O273" s="524" t="n"/>
    </row>
    <row r="274" ht="40" customHeight="1" s="2456">
      <c r="G274" s="2465" t="n"/>
      <c r="O274" s="524" t="n"/>
    </row>
    <row r="275" ht="40" customHeight="1" s="2456">
      <c r="G275" s="2465" t="n"/>
      <c r="O275" s="524" t="n"/>
    </row>
    <row r="276" ht="40" customHeight="1" s="2456">
      <c r="G276" s="2465" t="n"/>
      <c r="O276" s="524" t="n"/>
    </row>
    <row r="277" ht="40" customHeight="1" s="2456">
      <c r="G277" s="2465" t="n"/>
      <c r="O277" s="524" t="n"/>
    </row>
    <row r="278" ht="40" customHeight="1" s="2456">
      <c r="G278" s="2465" t="n"/>
      <c r="O278" s="524" t="n"/>
    </row>
    <row r="279" ht="40" customHeight="1" s="2456">
      <c r="G279" s="2465" t="n"/>
      <c r="O279" s="524" t="n"/>
    </row>
    <row r="280" ht="40" customHeight="1" s="2456">
      <c r="G280" s="2465" t="n"/>
      <c r="O280" s="524" t="n"/>
    </row>
    <row r="281" ht="40" customHeight="1" s="2456">
      <c r="G281" s="2465" t="n"/>
      <c r="O281" s="524" t="n"/>
    </row>
    <row r="282" ht="40" customHeight="1" s="2456">
      <c r="G282" s="2465" t="n"/>
      <c r="O282" s="524" t="n"/>
    </row>
    <row r="283" ht="40" customHeight="1" s="2456">
      <c r="G283" s="2465" t="n"/>
      <c r="O283" s="524" t="n"/>
    </row>
    <row r="284" ht="40" customHeight="1" s="2456">
      <c r="G284" s="2465" t="n"/>
      <c r="O284" s="524" t="n"/>
    </row>
    <row r="285" ht="40" customHeight="1" s="2456">
      <c r="G285" s="2465" t="n"/>
      <c r="O285" s="524" t="n"/>
    </row>
    <row r="286" ht="40" customHeight="1" s="2456">
      <c r="G286" s="2465" t="n"/>
      <c r="O286" s="524" t="n"/>
    </row>
    <row r="287" ht="40" customHeight="1" s="2456">
      <c r="G287" s="2465" t="n"/>
      <c r="O287" s="524" t="n"/>
    </row>
    <row r="288" ht="40" customHeight="1" s="2456">
      <c r="G288" s="2465" t="n"/>
      <c r="O288" s="524" t="n"/>
    </row>
    <row r="289" ht="40" customHeight="1" s="2456">
      <c r="G289" s="2465" t="n"/>
      <c r="O289" s="524" t="n"/>
    </row>
    <row r="290" ht="40" customHeight="1" s="2456">
      <c r="G290" s="2465" t="n"/>
      <c r="O290" s="524" t="n"/>
    </row>
    <row r="291" ht="40" customHeight="1" s="2456">
      <c r="G291" s="2465" t="n"/>
      <c r="O291" s="524" t="n"/>
    </row>
    <row r="292" ht="40" customHeight="1" s="2456">
      <c r="G292" s="2465" t="n"/>
      <c r="O292" s="524" t="n"/>
    </row>
    <row r="293" ht="40" customHeight="1" s="2456">
      <c r="G293" s="2465" t="n"/>
      <c r="O293" s="524" t="n"/>
    </row>
    <row r="294" ht="40" customHeight="1" s="2456">
      <c r="G294" s="2465" t="n"/>
      <c r="O294" s="524" t="n"/>
    </row>
    <row r="295" ht="40" customHeight="1" s="2456">
      <c r="G295" s="2465" t="n"/>
      <c r="O295" s="524" t="n"/>
    </row>
    <row r="296" ht="40" customHeight="1" s="2456">
      <c r="G296" s="2465" t="n"/>
      <c r="O296" s="524" t="n"/>
    </row>
    <row r="297" ht="40" customHeight="1" s="2456">
      <c r="G297" s="2465" t="n"/>
      <c r="O297" s="524" t="n"/>
    </row>
    <row r="298" ht="40" customHeight="1" s="2456">
      <c r="G298" s="2465" t="n"/>
      <c r="O298" s="524" t="n"/>
    </row>
    <row r="299" ht="40" customHeight="1" s="2456">
      <c r="G299" s="2465" t="n"/>
      <c r="O299" s="524" t="n"/>
    </row>
    <row r="300" ht="40" customHeight="1" s="2456">
      <c r="G300" s="2465" t="n"/>
      <c r="O300" s="524" t="n"/>
    </row>
    <row r="301" ht="40" customHeight="1" s="2456">
      <c r="G301" s="2465" t="n"/>
      <c r="O301" s="524" t="n"/>
    </row>
    <row r="302" ht="40" customHeight="1" s="2456">
      <c r="G302" s="2465" t="n"/>
      <c r="O302" s="524" t="n"/>
    </row>
    <row r="303" ht="40" customHeight="1" s="2456">
      <c r="G303" s="2465" t="n"/>
      <c r="O303" s="524" t="n"/>
    </row>
    <row r="304" ht="40" customHeight="1" s="2456">
      <c r="G304" s="2465" t="n"/>
      <c r="O304" s="524" t="n"/>
    </row>
    <row r="305" ht="40" customHeight="1" s="2456">
      <c r="G305" s="2465" t="n"/>
      <c r="O305" s="524" t="n"/>
    </row>
    <row r="306" ht="40" customHeight="1" s="2456">
      <c r="G306" s="2465" t="n"/>
      <c r="O306" s="524" t="n"/>
    </row>
    <row r="307" ht="40" customHeight="1" s="2456">
      <c r="G307" s="2465" t="n"/>
      <c r="O307" s="524" t="n"/>
    </row>
    <row r="308" ht="40" customHeight="1" s="2456">
      <c r="G308" s="2465" t="n"/>
      <c r="O308" s="524" t="n"/>
    </row>
    <row r="309" ht="40" customHeight="1" s="2456">
      <c r="G309" s="2465" t="n"/>
      <c r="O309" s="524" t="n"/>
    </row>
    <row r="310" ht="40" customHeight="1" s="2456">
      <c r="G310" s="2465" t="n"/>
      <c r="O310" s="524" t="n"/>
    </row>
    <row r="311" ht="40" customHeight="1" s="2456">
      <c r="G311" s="2465" t="n"/>
      <c r="O311" s="524" t="n"/>
    </row>
    <row r="312" ht="40" customHeight="1" s="2456">
      <c r="G312" s="2465" t="n"/>
      <c r="O312" s="524" t="n"/>
    </row>
    <row r="313" ht="40" customHeight="1" s="2456">
      <c r="G313" s="2465" t="n"/>
      <c r="O313" s="524" t="n"/>
    </row>
    <row r="314" ht="40" customHeight="1" s="2456">
      <c r="G314" s="2465" t="n"/>
      <c r="O314" s="524" t="n"/>
    </row>
    <row r="315" ht="40" customHeight="1" s="2456">
      <c r="G315" s="2465" t="n"/>
      <c r="O315" s="524" t="n"/>
    </row>
    <row r="316" ht="40" customHeight="1" s="2456">
      <c r="G316" s="2465" t="n"/>
      <c r="O316" s="524" t="n"/>
    </row>
    <row r="317" ht="40" customHeight="1" s="2456">
      <c r="G317" s="2465" t="n"/>
      <c r="O317" s="524" t="n"/>
    </row>
    <row r="318" ht="40" customHeight="1" s="2456">
      <c r="G318" s="2465" t="n"/>
      <c r="O318" s="524" t="n"/>
    </row>
    <row r="319" ht="40" customHeight="1" s="2456">
      <c r="G319" s="2465" t="n"/>
      <c r="O319" s="524" t="n"/>
    </row>
    <row r="320" ht="40" customHeight="1" s="2456">
      <c r="G320" s="2465" t="n"/>
      <c r="O320" s="524" t="n"/>
    </row>
    <row r="321" ht="40" customHeight="1" s="2456">
      <c r="G321" s="2465" t="n"/>
      <c r="O321" s="524" t="n"/>
    </row>
    <row r="322" ht="40" customHeight="1" s="2456">
      <c r="G322" s="2465" t="n"/>
      <c r="O322" s="524" t="n"/>
    </row>
    <row r="323" ht="40" customHeight="1" s="2456">
      <c r="G323" s="2465" t="n"/>
      <c r="O323" s="524" t="n"/>
    </row>
    <row r="324" ht="40" customHeight="1" s="2456">
      <c r="G324" s="2465" t="n"/>
      <c r="O324" s="524" t="n"/>
    </row>
    <row r="325" ht="40" customHeight="1" s="2456">
      <c r="G325" s="2465" t="n"/>
      <c r="O325" s="524" t="n"/>
    </row>
    <row r="326" ht="40" customHeight="1" s="2456">
      <c r="G326" s="2465" t="n"/>
      <c r="O326" s="524" t="n"/>
    </row>
    <row r="327" ht="40" customHeight="1" s="2456">
      <c r="G327" s="2465" t="n"/>
      <c r="O327" s="524" t="n"/>
    </row>
    <row r="328" ht="40" customHeight="1" s="2456">
      <c r="G328" s="2465" t="n"/>
      <c r="O328" s="524" t="n"/>
    </row>
    <row r="329" ht="40" customHeight="1" s="2456">
      <c r="G329" s="2465" t="n"/>
      <c r="O329" s="524" t="n"/>
    </row>
    <row r="330" ht="40" customHeight="1" s="2456">
      <c r="G330" s="2465" t="n"/>
      <c r="O330" s="524" t="n"/>
    </row>
    <row r="331" ht="40" customHeight="1" s="2456">
      <c r="G331" s="2465" t="n"/>
      <c r="O331" s="524" t="n"/>
    </row>
    <row r="332" ht="40" customHeight="1" s="2456">
      <c r="G332" s="2465" t="n"/>
      <c r="O332" s="524" t="n"/>
    </row>
    <row r="333" ht="40" customHeight="1" s="2456">
      <c r="G333" s="2465" t="n"/>
      <c r="O333" s="524" t="n"/>
    </row>
    <row r="334" ht="40" customHeight="1" s="2456">
      <c r="G334" s="2465" t="n"/>
      <c r="O334" s="524" t="n"/>
    </row>
    <row r="335" ht="40" customHeight="1" s="2456">
      <c r="G335" s="2465" t="n"/>
      <c r="O335" s="524" t="n"/>
    </row>
    <row r="336" ht="40" customHeight="1" s="2456">
      <c r="G336" s="2465" t="n"/>
      <c r="O336" s="524" t="n"/>
    </row>
    <row r="337" ht="40" customHeight="1" s="2456">
      <c r="G337" s="2465" t="n"/>
      <c r="O337" s="524" t="n"/>
    </row>
    <row r="338" ht="40" customHeight="1" s="2456">
      <c r="G338" s="2465" t="n"/>
      <c r="O338" s="524" t="n"/>
    </row>
    <row r="339" ht="40" customHeight="1" s="2456">
      <c r="G339" s="2465" t="n"/>
      <c r="O339" s="524" t="n"/>
    </row>
    <row r="340" ht="40" customHeight="1" s="2456">
      <c r="G340" s="2465" t="n"/>
      <c r="O340" s="524" t="n"/>
    </row>
    <row r="341" ht="40" customHeight="1" s="2456">
      <c r="G341" s="2465" t="n"/>
      <c r="O341" s="524" t="n"/>
    </row>
    <row r="342" ht="40" customHeight="1" s="2456">
      <c r="G342" s="2465" t="n"/>
      <c r="O342" s="524" t="n"/>
    </row>
    <row r="343" ht="40" customHeight="1" s="2456">
      <c r="G343" s="2465" t="n"/>
      <c r="O343" s="524" t="n"/>
    </row>
    <row r="344" ht="40" customHeight="1" s="2456">
      <c r="G344" s="2465" t="n"/>
      <c r="O344" s="524" t="n"/>
    </row>
    <row r="345" ht="40" customHeight="1" s="2456">
      <c r="G345" s="2465" t="n"/>
      <c r="O345" s="524" t="n"/>
    </row>
    <row r="346" ht="40" customHeight="1" s="2456">
      <c r="G346" s="2465" t="n"/>
      <c r="O346" s="524" t="n"/>
    </row>
    <row r="347" ht="40" customHeight="1" s="2456">
      <c r="G347" s="2465" t="n"/>
      <c r="O347" s="524" t="n"/>
    </row>
    <row r="348" ht="40" customHeight="1" s="2456">
      <c r="G348" s="2465" t="n"/>
      <c r="O348" s="524" t="n"/>
    </row>
    <row r="349" ht="40" customHeight="1" s="2456">
      <c r="G349" s="2465" t="n"/>
      <c r="O349" s="524" t="n"/>
    </row>
    <row r="350" ht="40" customHeight="1" s="2456">
      <c r="G350" s="2465" t="n"/>
      <c r="O350" s="524" t="n"/>
    </row>
    <row r="351" ht="40" customHeight="1" s="2456">
      <c r="G351" s="2465" t="n"/>
      <c r="O351" s="524" t="n"/>
    </row>
    <row r="352" ht="40" customHeight="1" s="2456">
      <c r="G352" s="2465" t="n"/>
      <c r="O352" s="524" t="n"/>
    </row>
    <row r="353" ht="40" customHeight="1" s="2456">
      <c r="G353" s="2465" t="n"/>
      <c r="O353" s="524" t="n"/>
    </row>
    <row r="354" ht="40" customHeight="1" s="2456">
      <c r="G354" s="2465" t="n"/>
      <c r="O354" s="524" t="n"/>
    </row>
    <row r="355" ht="40" customHeight="1" s="2456">
      <c r="G355" s="2465" t="n"/>
      <c r="O355" s="524" t="n"/>
    </row>
    <row r="356" ht="40" customHeight="1" s="2456">
      <c r="G356" s="2465" t="n"/>
      <c r="O356" s="524" t="n"/>
    </row>
    <row r="357" ht="40" customHeight="1" s="2456">
      <c r="G357" s="246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56" min="1" max="1"/>
    <col width="54.6640625" customWidth="1" style="2456" min="2" max="2"/>
    <col width="24" customWidth="1" style="2456" min="3" max="3"/>
    <col width="10.1640625" customWidth="1" style="2472" min="4" max="4"/>
    <col width="5.5" customWidth="1" style="2456" min="5" max="13"/>
    <col hidden="1" width="5.5" customWidth="1" style="2456" min="14" max="15"/>
    <col width="10.1640625" customWidth="1" style="2456" min="16" max="21"/>
    <col width="10.1640625" customWidth="1" style="2457" min="22" max="22"/>
    <col width="8.1640625" customWidth="1" style="2456" min="23" max="23"/>
    <col width="6.1640625" customWidth="1" style="2457" min="24" max="28"/>
    <col width="7" bestFit="1" customWidth="1" style="2457"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2" customHeight="1" s="2456" thickBot="1">
      <c r="F1" t="inlineStr">
        <is>
          <t>LEGENDE</t>
        </is>
      </c>
      <c r="H1" s="467" t="n">
        <v>0</v>
      </c>
      <c r="I1" t="inlineStr">
        <is>
          <t xml:space="preserve">Cette valeur est le S.O. </t>
        </is>
      </c>
      <c r="W1" s="500" t="inlineStr">
        <is>
          <t>🔶</t>
        </is>
      </c>
      <c r="X1" s="291" t="inlineStr">
        <is>
          <t>Point d'information accessible au besoin</t>
        </is>
      </c>
    </row>
    <row r="2" ht="25" customHeight="1" s="2456" thickTop="1">
      <c r="A2" s="101" t="inlineStr">
        <is>
          <t>BASE</t>
        </is>
      </c>
      <c r="I2" t="inlineStr">
        <is>
          <t>Dans l'application, il devrait cependant apparaitre ailleurs que dans l'échelle</t>
        </is>
      </c>
      <c r="W2" s="500" t="inlineStr">
        <is>
          <t>🔴</t>
        </is>
      </c>
      <c r="X2" s="291" t="inlineStr">
        <is>
          <t>Sera dans le rapport final</t>
        </is>
      </c>
    </row>
    <row r="3" ht="21" customHeight="1" s="2456">
      <c r="A3" s="1184">
        <f>BIBLE!E20</f>
        <v/>
      </c>
      <c r="B3">
        <f>BIBLE!F20</f>
        <v/>
      </c>
      <c r="D3" s="1644" t="inlineStr">
        <is>
          <t>Valeur</t>
        </is>
      </c>
      <c r="E3" s="2472" t="n"/>
      <c r="P3" s="1446">
        <f>'TEST_pour PROTOTYPE'!D4</f>
        <v/>
      </c>
      <c r="W3" s="500" t="n"/>
      <c r="X3" s="291" t="n"/>
    </row>
    <row r="4" ht="16" customHeight="1" s="2456">
      <c r="A4" s="1184" t="n"/>
      <c r="B4" s="2" t="inlineStr">
        <is>
          <t>Une mère</t>
        </is>
      </c>
      <c r="D4" s="1644" t="n">
        <v>1</v>
      </c>
      <c r="E4" s="2545">
        <f>IF(P$3=D4,1,"x")</f>
        <v/>
      </c>
      <c r="W4" s="500" t="n"/>
      <c r="X4" s="291" t="n"/>
    </row>
    <row r="5" ht="16" customHeight="1" s="2456">
      <c r="A5" s="1184" t="n"/>
      <c r="B5" s="2" t="inlineStr">
        <is>
          <t xml:space="preserve">Un père </t>
        </is>
      </c>
      <c r="D5" s="1644" t="n">
        <v>2</v>
      </c>
      <c r="E5" s="2545">
        <f>IF(P$3=D5,1,"x")</f>
        <v/>
      </c>
      <c r="W5" s="500" t="n"/>
      <c r="X5" s="291" t="n"/>
    </row>
    <row r="6" ht="16" customHeight="1" s="2456">
      <c r="A6" s="1184" t="n"/>
      <c r="B6" s="2" t="inlineStr">
        <is>
          <t xml:space="preserve">Un parent (non binaire) </t>
        </is>
      </c>
      <c r="D6" s="1644" t="n">
        <v>3</v>
      </c>
      <c r="E6" s="2545">
        <f>IF(P$3=D6,1,"x")</f>
        <v/>
      </c>
      <c r="W6" s="500" t="n"/>
      <c r="X6" s="291" t="n"/>
    </row>
    <row r="7" ht="16" customHeight="1" s="2456">
      <c r="A7" s="1184" t="n"/>
      <c r="B7" s="2" t="inlineStr">
        <is>
          <t xml:space="preserve">Un grand-parent </t>
        </is>
      </c>
      <c r="D7" s="1644" t="n">
        <v>4</v>
      </c>
      <c r="E7" s="2545">
        <f>IF(P$3=D7,1,"x")</f>
        <v/>
      </c>
      <c r="W7" s="500" t="n"/>
      <c r="X7" s="291" t="n"/>
    </row>
    <row r="8" ht="16" customHeight="1" s="2456">
      <c r="A8" s="1184" t="n"/>
      <c r="B8" s="2" t="inlineStr">
        <is>
          <t>Un·e nouveau ou nouvelle conjoint·e</t>
        </is>
      </c>
      <c r="D8" s="1644" t="n">
        <v>5</v>
      </c>
      <c r="E8" s="2545">
        <f>IF(P$3=D8,1,"x")</f>
        <v/>
      </c>
      <c r="W8" s="500" t="n"/>
      <c r="X8" s="291" t="n"/>
    </row>
    <row r="9" ht="16" customHeight="1" s="2456">
      <c r="A9" s="1184" t="n"/>
      <c r="B9" s="2" t="inlineStr">
        <is>
          <t>Autre (spécifier)</t>
        </is>
      </c>
      <c r="D9" s="1644" t="inlineStr">
        <is>
          <t>Custom</t>
        </is>
      </c>
      <c r="E9" s="2545">
        <f>IF(P$3=D9,1,"x")</f>
        <v/>
      </c>
      <c r="W9" s="500" t="n"/>
      <c r="X9" s="291" t="n"/>
    </row>
    <row r="10" ht="21" customHeight="1" s="2456">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56">
      <c r="A12" s="1184" t="n"/>
      <c r="B12">
        <f>IF($P$3&gt;=4,"Une autre mère"," ")</f>
        <v/>
      </c>
      <c r="C12" s="2" t="n"/>
      <c r="D12" s="1644" t="n">
        <v>1</v>
      </c>
      <c r="E12" s="2545">
        <f>IF(P$11=D12,1,"x")</f>
        <v/>
      </c>
    </row>
    <row r="13" ht="18" customHeight="1" s="2456">
      <c r="A13" s="1184" t="n"/>
      <c r="B13">
        <f>IF($P$3&gt;=4,"Un autre père "," ")</f>
        <v/>
      </c>
      <c r="C13" s="2" t="n"/>
      <c r="D13" s="1644" t="n">
        <v>2</v>
      </c>
      <c r="E13" s="2545">
        <f>IF(P$11=D13,1,"x")</f>
        <v/>
      </c>
      <c r="W13" t="inlineStr">
        <is>
          <t>Dans la vidéo promotionnelle et tutoriel, présenter les fonctionnalités et la possibilité d'ouverture des points d'information pour accéder à des notions théoriques.</t>
        </is>
      </c>
    </row>
    <row r="14" ht="18" customHeight="1" s="2456">
      <c r="A14" s="1184" t="n"/>
      <c r="B14">
        <f>IF($P$3&gt;=4,"Un autre parent (non binaire)"," ")</f>
        <v/>
      </c>
      <c r="C14" s="2" t="n"/>
      <c r="D14" s="1644" t="n">
        <v>3</v>
      </c>
      <c r="E14" s="2545">
        <f>IF(P$11=D14,1,"x")</f>
        <v/>
      </c>
    </row>
    <row r="15">
      <c r="A15" s="1184" t="n"/>
      <c r="D15" s="1644" t="n"/>
    </row>
    <row r="16">
      <c r="A16" s="1184">
        <f>BIBLE!E22</f>
        <v/>
      </c>
      <c r="B16">
        <f>BIBLE!F22</f>
        <v/>
      </c>
      <c r="C16" s="9" t="n"/>
      <c r="D16" s="1644" t="n"/>
      <c r="P16" s="1446">
        <f>'TEST_pour PROTOTYPE'!D6</f>
        <v/>
      </c>
    </row>
    <row r="17" ht="19" customHeight="1" s="2456">
      <c r="A17" s="1184" t="n"/>
      <c r="B17" s="2" t="inlineStr">
        <is>
          <t>Analyse au présent</t>
        </is>
      </c>
      <c r="D17" s="1644" t="n">
        <v>1</v>
      </c>
      <c r="E17" s="2545">
        <f>IF(P$16=D17,1,"x")</f>
        <v/>
      </c>
    </row>
    <row r="18" ht="19" customHeight="1" s="2456">
      <c r="A18" s="1184" t="n"/>
      <c r="B18" s="2" t="inlineStr">
        <is>
          <t>Analyse rétrospective</t>
        </is>
      </c>
      <c r="D18" s="1644" t="n">
        <v>2</v>
      </c>
      <c r="E18" s="2545">
        <f>IF(P$16=D18,1,"x")</f>
        <v/>
      </c>
    </row>
    <row r="19" ht="19" customHeight="1" s="2456">
      <c r="A19" s="1184" t="n"/>
      <c r="D19" s="1644" t="n"/>
    </row>
    <row r="20">
      <c r="A20" s="1184" t="n"/>
      <c r="D20" s="1644" t="n"/>
    </row>
    <row r="21">
      <c r="A21" s="1184">
        <f>BIBLE!E23</f>
        <v/>
      </c>
      <c r="B21">
        <f>BIBLE!F23</f>
        <v/>
      </c>
      <c r="D21" s="1644" t="n"/>
      <c r="P21" s="1446">
        <f>'TEST_pour PROTOTYPE'!D7</f>
        <v/>
      </c>
    </row>
    <row r="22" ht="14" customHeight="1" s="2456">
      <c r="A22" s="1184" t="n"/>
      <c r="B22" s="2" t="inlineStr">
        <is>
          <t>moins de 2 ans</t>
        </is>
      </c>
      <c r="D22" s="1644" t="n">
        <v>1</v>
      </c>
      <c r="E22" s="2545">
        <f>IF(P$21=D22,1,"x")</f>
        <v/>
      </c>
    </row>
    <row r="23" ht="14" customHeight="1" s="2456">
      <c r="A23" s="1184" t="n"/>
      <c r="B23" s="2" t="inlineStr">
        <is>
          <t>2 à 5 ans</t>
        </is>
      </c>
      <c r="D23" s="1644" t="n">
        <v>2</v>
      </c>
      <c r="E23" s="2545">
        <f>IF(P$21=D23,1,"x")</f>
        <v/>
      </c>
    </row>
    <row r="24" ht="14" customHeight="1" s="2456">
      <c r="A24" s="1184" t="n"/>
      <c r="B24" s="2" t="inlineStr">
        <is>
          <t xml:space="preserve">5 à 10 ans </t>
        </is>
      </c>
      <c r="D24" s="1644" t="n">
        <v>3</v>
      </c>
      <c r="E24" s="2545">
        <f>IF(P$21=D24,1,"x")</f>
        <v/>
      </c>
    </row>
    <row r="25" ht="14" customHeight="1" s="2456">
      <c r="A25" s="1184" t="n"/>
      <c r="B25" s="2" t="inlineStr">
        <is>
          <t xml:space="preserve">10  à 20 ans </t>
        </is>
      </c>
      <c r="D25" s="1644" t="n">
        <v>4</v>
      </c>
      <c r="E25" s="2545">
        <f>IF(P$21=D25,1,"x")</f>
        <v/>
      </c>
    </row>
    <row r="26" ht="14" customHeight="1" s="2456">
      <c r="A26" s="1184" t="n"/>
      <c r="B26" s="2" t="inlineStr">
        <is>
          <t xml:space="preserve">plus de 20 ans  </t>
        </is>
      </c>
      <c r="D26" s="1644" t="n">
        <v>5</v>
      </c>
      <c r="E26" s="2545">
        <f>IF(P$21=D26,1,"x")</f>
        <v/>
      </c>
    </row>
    <row r="27">
      <c r="A27" s="1184">
        <f>BIBLE!E24</f>
        <v/>
      </c>
      <c r="B27">
        <f>BIBLE!F24</f>
        <v/>
      </c>
      <c r="D27" s="1644" t="n"/>
      <c r="P27" s="1446">
        <f>'TEST_pour PROTOTYPE'!D8</f>
        <v/>
      </c>
    </row>
    <row r="28" ht="14" customHeight="1" s="2456">
      <c r="A28" s="1184" t="n"/>
      <c r="B28" s="2" t="inlineStr">
        <is>
          <t>moins de 1 an</t>
        </is>
      </c>
      <c r="D28" s="1644" t="n">
        <v>1</v>
      </c>
      <c r="E28" s="2545">
        <f>IF(P$27=D28,1,"x")</f>
        <v/>
      </c>
    </row>
    <row r="29" ht="14" customHeight="1" s="2456">
      <c r="A29" s="1184" t="n"/>
      <c r="B29" s="2" t="inlineStr">
        <is>
          <t>1 à 2 ans</t>
        </is>
      </c>
      <c r="D29" s="1644" t="n">
        <v>2</v>
      </c>
      <c r="E29" s="2545">
        <f>IF(P$27=D29,1,"x")</f>
        <v/>
      </c>
    </row>
    <row r="30" ht="14" customHeight="1" s="2456">
      <c r="A30" s="1184" t="n"/>
      <c r="B30" s="2" t="inlineStr">
        <is>
          <t>2 à 5 ans</t>
        </is>
      </c>
      <c r="D30" s="1644" t="n">
        <v>3</v>
      </c>
      <c r="E30" s="2545">
        <f>IF(P$27=D30,1,"x")</f>
        <v/>
      </c>
      <c r="G30" s="3" t="n"/>
      <c r="I30" s="141" t="n"/>
    </row>
    <row r="31" ht="14" customHeight="1" s="2456">
      <c r="A31" s="1184" t="n"/>
      <c r="B31" s="2" t="inlineStr">
        <is>
          <t xml:space="preserve">5 à 10 ans </t>
        </is>
      </c>
      <c r="D31" s="1644" t="n">
        <v>4</v>
      </c>
      <c r="E31" s="2545">
        <f>IF(P$27=D31,1,"x")</f>
        <v/>
      </c>
    </row>
    <row r="32" ht="14" customHeight="1" s="2456">
      <c r="A32" s="1184" t="n"/>
      <c r="B32" s="2" t="inlineStr">
        <is>
          <t xml:space="preserve">plus de 10 ans  </t>
        </is>
      </c>
      <c r="D32" s="1644" t="n">
        <v>5</v>
      </c>
      <c r="E32" s="2545">
        <f>IF(P$27=D32,1,"x")</f>
        <v/>
      </c>
    </row>
    <row r="33" ht="14" customHeight="1" s="2456">
      <c r="A33" s="1184" t="n"/>
      <c r="B33" s="2" t="n"/>
      <c r="D33" s="1644" t="n"/>
    </row>
    <row r="34" ht="14" customHeight="1" s="2456">
      <c r="A34" s="1184">
        <f>BIBLE!E25</f>
        <v/>
      </c>
      <c r="B34" s="291">
        <f>BIBLE!F25</f>
        <v/>
      </c>
      <c r="D34" s="1644" t="n"/>
      <c r="P34" s="1446">
        <f>'TEST_pour PROTOTYPE'!D9</f>
        <v/>
      </c>
    </row>
    <row r="35" ht="14" customHeight="1" s="2456">
      <c r="A35" s="1184" t="n"/>
      <c r="B35" s="2" t="inlineStr">
        <is>
          <t>1 enfant (celui qui fait l'objet de l'analyse)</t>
        </is>
      </c>
      <c r="D35" s="1644" t="n">
        <v>1</v>
      </c>
      <c r="E35" s="2545">
        <f>IF(P$34=D35,1,"x")</f>
        <v/>
      </c>
    </row>
    <row r="36" ht="14" customHeight="1" s="2456">
      <c r="A36" s="1184" t="n"/>
      <c r="B36" s="2" t="inlineStr">
        <is>
          <t>2 enfants</t>
        </is>
      </c>
      <c r="D36" s="1644" t="n">
        <v>2</v>
      </c>
      <c r="E36" s="2545">
        <f>IF(P$34=D36,1,"x")</f>
        <v/>
      </c>
    </row>
    <row r="37" ht="14" customHeight="1" s="2456">
      <c r="A37" s="1184" t="n"/>
      <c r="B37" s="2" t="inlineStr">
        <is>
          <t>3 enfants</t>
        </is>
      </c>
      <c r="D37" s="1644" t="n">
        <v>3</v>
      </c>
      <c r="E37" s="2545">
        <f>IF(P$34=D37,1,"x")</f>
        <v/>
      </c>
    </row>
    <row r="38" ht="14" customHeight="1" s="2456">
      <c r="A38" s="1184" t="n"/>
      <c r="B38" s="2" t="inlineStr">
        <is>
          <t>Plus de 4 enfants</t>
        </is>
      </c>
      <c r="D38" s="1644" t="n">
        <v>4</v>
      </c>
      <c r="E38" s="2545">
        <f>IF(P$34=D38,1,"x")</f>
        <v/>
      </c>
    </row>
    <row r="39" ht="14" customHeight="1" s="2456" thickBot="1">
      <c r="A39" s="1184" t="n"/>
      <c r="B39" s="2" t="n"/>
      <c r="D39" s="1644" t="n"/>
    </row>
    <row r="40" ht="17" customHeight="1" s="2456" thickBot="1">
      <c r="A40" s="1184">
        <f>BIBLE!E26</f>
        <v/>
      </c>
      <c r="B40">
        <f>BIBLE!F26</f>
        <v/>
      </c>
      <c r="D40" s="1644" t="n"/>
      <c r="E40" s="30">
        <f>P$40</f>
        <v/>
      </c>
      <c r="P40" s="1446">
        <f>'TEST_pour PROTOTYPE'!D10</f>
        <v/>
      </c>
    </row>
    <row r="41" ht="15" customHeight="1" s="2456">
      <c r="A41" s="1184" t="n"/>
      <c r="D41" s="1644" t="n"/>
    </row>
    <row r="42">
      <c r="A42" s="1184">
        <f>BIBLE!E27</f>
        <v/>
      </c>
      <c r="B42">
        <f>BIBLE!F27</f>
        <v/>
      </c>
      <c r="D42" s="1644" t="n"/>
      <c r="P42" s="1446">
        <f>'TEST_pour PROTOTYPE'!D11</f>
        <v/>
      </c>
    </row>
    <row r="43" ht="15" customHeight="1" s="2456">
      <c r="A43" s="1184" t="n"/>
      <c r="B43" s="2" t="inlineStr">
        <is>
          <t xml:space="preserve">Célibataire </t>
        </is>
      </c>
      <c r="D43" s="1644" t="n">
        <v>1</v>
      </c>
      <c r="E43" s="2545">
        <f>IF(P$42=D43,1,"x")</f>
        <v/>
      </c>
    </row>
    <row r="44" ht="15" customHeight="1" s="2456">
      <c r="A44" s="1184" t="n"/>
      <c r="B44" s="2" t="inlineStr">
        <is>
          <t>En union</t>
        </is>
      </c>
      <c r="D44" s="1644" t="n">
        <v>2</v>
      </c>
      <c r="E44" s="2545">
        <f>IF(P$42=D44,1,"x")</f>
        <v/>
      </c>
    </row>
    <row r="45" ht="15" customHeight="1" s="2456">
      <c r="A45" s="1184" t="n"/>
      <c r="B45" s="2" t="inlineStr">
        <is>
          <t>Famille recomposée</t>
        </is>
      </c>
      <c r="D45" s="1644" t="n">
        <v>3</v>
      </c>
      <c r="E45" s="2545">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56">
      <c r="A47" s="1184" t="n"/>
      <c r="B47" s="2" t="inlineStr">
        <is>
          <t xml:space="preserve">Célibataire </t>
        </is>
      </c>
      <c r="D47" s="1644" t="n">
        <v>1</v>
      </c>
      <c r="E47" s="2545">
        <f>IF(P$46=D47,1,"x")</f>
        <v/>
      </c>
    </row>
    <row r="48" ht="14" customHeight="1" s="2456">
      <c r="A48" s="1184" t="n"/>
      <c r="B48" s="2" t="inlineStr">
        <is>
          <t>En union</t>
        </is>
      </c>
      <c r="D48" s="1644" t="n">
        <v>2</v>
      </c>
      <c r="E48" s="2545">
        <f>IF(P$46=D48,1,"x")</f>
        <v/>
      </c>
    </row>
    <row r="49" ht="14" customHeight="1" s="2456">
      <c r="A49" s="1184" t="n"/>
      <c r="B49" s="2" t="inlineStr">
        <is>
          <t>Famille recomposée</t>
        </is>
      </c>
      <c r="D49" s="1644" t="n">
        <v>3</v>
      </c>
      <c r="E49" s="2545">
        <f>IF(P$46=D49,1,"x")</f>
        <v/>
      </c>
    </row>
    <row r="50" ht="18" customHeight="1" s="2456">
      <c r="A50" s="1184" t="n"/>
      <c r="C50" s="255" t="inlineStr">
        <is>
          <t>Échelle</t>
        </is>
      </c>
      <c r="D50" s="264" t="inlineStr">
        <is>
          <t>Intensité</t>
        </is>
      </c>
      <c r="E50" s="2485" t="inlineStr">
        <is>
          <t>Fréquence</t>
        </is>
      </c>
    </row>
    <row r="51" ht="18" customHeight="1" s="2456">
      <c r="A51" s="1184" t="n"/>
      <c r="C51" s="255" t="n"/>
      <c r="D51" s="264" t="n"/>
      <c r="E51" s="466" t="inlineStr">
        <is>
          <t>SO</t>
        </is>
      </c>
      <c r="F51" s="2485" t="n"/>
      <c r="G51" s="2485" t="n"/>
      <c r="H51" s="2485" t="n"/>
      <c r="I51" s="2485" t="n"/>
      <c r="J51" s="2485" t="n"/>
      <c r="K51" s="2485" t="n"/>
      <c r="L51" s="2485" t="n"/>
      <c r="M51" s="2485" t="n"/>
      <c r="N51" s="2485" t="n"/>
      <c r="O51" s="2485" t="n"/>
    </row>
    <row r="52" ht="33" customFormat="1" customHeight="1" s="2469"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65" t="n"/>
      <c r="Y52" s="2465" t="n"/>
      <c r="Z52" s="2465" t="n"/>
      <c r="AA52" s="2465" t="n"/>
      <c r="AB52" s="2465" t="n"/>
      <c r="AC52" s="2465" t="n"/>
    </row>
    <row r="53" ht="46" customFormat="1" customHeight="1" s="2469" thickTop="1">
      <c r="A53" s="1185">
        <f>BIBLE!E29</f>
        <v/>
      </c>
      <c r="B53" s="2580">
        <f>BIBLE!F29</f>
        <v/>
      </c>
      <c r="C53" s="1422">
        <f>BIBLE!O29</f>
        <v/>
      </c>
      <c r="D53" s="2472">
        <f>BIBLE!L29</f>
        <v/>
      </c>
      <c r="E53" s="19" t="n"/>
      <c r="F53" s="19" t="n"/>
      <c r="G53" s="19" t="n"/>
      <c r="H53" s="19" t="n"/>
      <c r="I53" s="19" t="n"/>
      <c r="J53" s="19" t="n">
        <v>1</v>
      </c>
      <c r="K53" s="19" t="n"/>
      <c r="L53" s="19" t="n"/>
      <c r="M53" s="19" t="n"/>
      <c r="N53" s="19" t="n"/>
      <c r="O53" s="19" t="n"/>
      <c r="P53" s="1547">
        <f>'TEST_pour PROTOTYPE'!D13</f>
        <v/>
      </c>
      <c r="Q53" s="6">
        <f>P53*D53</f>
        <v/>
      </c>
      <c r="R53" s="2465">
        <f>BIBLE!K29</f>
        <v/>
      </c>
      <c r="T53" s="500" t="inlineStr">
        <is>
          <t>🔶</t>
        </is>
      </c>
      <c r="U53" s="2469" t="inlineStr">
        <is>
          <t>Note : Expliquer que l'entente peut être une entente verbale et/ou écrite.</t>
        </is>
      </c>
      <c r="V53" s="2465" t="n"/>
      <c r="X53" s="2465" t="n"/>
      <c r="Y53" s="2465" t="n"/>
      <c r="Z53" s="2465" t="n"/>
      <c r="AA53" s="2465" t="n"/>
      <c r="AB53" s="2465" t="n"/>
      <c r="AC53" s="2465" t="n"/>
    </row>
    <row r="54" ht="23" customFormat="1" customHeight="1" s="2469">
      <c r="A54" s="1184">
        <f>BIBLE!E30</f>
        <v/>
      </c>
      <c r="B54" s="1499">
        <f>IF(P53&gt;=$R$53,BIBLE!F30," ")</f>
        <v/>
      </c>
      <c r="C54" s="257" t="inlineStr">
        <is>
          <t>Oui</t>
        </is>
      </c>
      <c r="D54" s="1643" t="n">
        <v>1</v>
      </c>
      <c r="E54" s="2545">
        <f>IF(P$54=D54,1,"x")</f>
        <v/>
      </c>
      <c r="F54" s="19" t="n"/>
      <c r="G54" s="19" t="n"/>
      <c r="H54" s="19" t="n"/>
      <c r="I54" s="19" t="n"/>
      <c r="J54" s="19" t="n"/>
      <c r="K54" s="19" t="n"/>
      <c r="L54" s="19" t="n"/>
      <c r="M54" s="19" t="n"/>
      <c r="N54" s="19" t="n"/>
      <c r="O54" s="19" t="n"/>
      <c r="P54" s="1550">
        <f>'TEST_pour PROTOTYPE'!D14</f>
        <v/>
      </c>
      <c r="Q54" s="130" t="n"/>
      <c r="V54" s="2465" t="n"/>
      <c r="X54" s="2465" t="n"/>
      <c r="Y54" s="2465" t="n"/>
      <c r="Z54" s="2465" t="n"/>
      <c r="AA54" s="2465" t="n"/>
      <c r="AB54" s="2465" t="n"/>
      <c r="AC54" s="2465" t="n"/>
    </row>
    <row r="55" outlineLevel="1" ht="19.5" customFormat="1" customHeight="1" s="2469">
      <c r="A55" s="1184" t="n"/>
      <c r="B55" s="131" t="n"/>
      <c r="C55" s="257" t="inlineStr">
        <is>
          <t>Non</t>
        </is>
      </c>
      <c r="D55" s="1643" t="n">
        <v>0</v>
      </c>
      <c r="E55" s="2545">
        <f>IF(P$54=D55,1,"x")</f>
        <v/>
      </c>
      <c r="F55" s="19" t="n"/>
      <c r="G55" s="19" t="n"/>
      <c r="H55" s="19" t="n"/>
      <c r="I55" s="19" t="n"/>
      <c r="J55" s="19" t="n"/>
      <c r="K55" s="19" t="n"/>
      <c r="L55" s="19" t="n"/>
      <c r="M55" s="19" t="n"/>
      <c r="N55" s="19" t="n"/>
      <c r="O55" s="19" t="n"/>
      <c r="P55" s="129" t="n"/>
      <c r="Q55" s="130" t="n"/>
      <c r="V55" s="2465" t="n"/>
      <c r="X55" s="2465" t="n"/>
      <c r="Y55" s="2465" t="n"/>
      <c r="Z55" s="2465" t="n"/>
      <c r="AA55" s="2465" t="n"/>
      <c r="AB55" s="2465" t="n"/>
      <c r="AC55" s="2465" t="n"/>
    </row>
    <row r="56" ht="43" customFormat="1" customHeight="1" s="2469">
      <c r="A56" s="1184">
        <f>BIBLE!E31</f>
        <v/>
      </c>
      <c r="B56" s="2488">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65" t="n"/>
      <c r="Z56" s="2465" t="n"/>
      <c r="AA56" s="2465" t="n"/>
      <c r="AB56" s="2465" t="n"/>
      <c r="AC56" s="2465" t="n"/>
    </row>
    <row r="57" ht="43" customFormat="1" customHeight="1" s="2469">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65" t="n"/>
      <c r="Z57" s="2465" t="n"/>
      <c r="AA57" s="2465" t="n"/>
      <c r="AB57" s="2465" t="n"/>
      <c r="AC57" s="2465" t="n"/>
    </row>
    <row r="58" ht="31" customHeight="1" s="2456">
      <c r="A58" s="1184">
        <f>BIBLE!E33</f>
        <v/>
      </c>
      <c r="B58" s="131">
        <f>BIBLE!F33</f>
        <v/>
      </c>
      <c r="C58" s="257" t="n"/>
      <c r="D58" s="1643" t="n"/>
      <c r="T58" s="500" t="inlineStr">
        <is>
          <t>🔶</t>
        </is>
      </c>
      <c r="U58" s="2469" t="inlineStr">
        <is>
          <t>Note : Expliquer la différence entre rupture de contact et rupture de lien</t>
        </is>
      </c>
    </row>
    <row r="59">
      <c r="A59" s="1184">
        <f>A58</f>
        <v/>
      </c>
      <c r="C59" s="2495" t="n"/>
      <c r="D59" s="1445" t="n"/>
      <c r="E59" s="2514" t="n"/>
      <c r="O59" t="inlineStr">
        <is>
          <t>Max</t>
        </is>
      </c>
      <c r="P59" s="1447">
        <f>MAX(P60:P65)</f>
        <v/>
      </c>
      <c r="U59" s="2469" t="n"/>
    </row>
    <row r="60" ht="17" customHeight="1" s="2456">
      <c r="A60" s="1184">
        <f>A59</f>
        <v/>
      </c>
      <c r="B60" s="1465" t="n"/>
      <c r="C60" s="1466" t="inlineStr">
        <is>
          <t>J'ai une très bonne relation</t>
        </is>
      </c>
      <c r="D60" s="1445" t="n">
        <v>1</v>
      </c>
      <c r="E60" s="1463">
        <f>'TEST_pour PROTOTYPE'!D17</f>
        <v/>
      </c>
      <c r="P60" s="1462">
        <f>D60*E60</f>
        <v/>
      </c>
      <c r="U60" s="2469" t="n"/>
    </row>
    <row r="61" ht="17" customHeight="1" s="2456">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69" t="n"/>
    </row>
    <row r="62" ht="17" customHeight="1" s="2456">
      <c r="A62" s="1184">
        <f>A61</f>
        <v/>
      </c>
      <c r="C62" s="1466" t="inlineStr">
        <is>
          <t>J'ai une relation difficile</t>
        </is>
      </c>
      <c r="D62" s="1445" t="n">
        <v>3</v>
      </c>
      <c r="E62" s="1463">
        <f>'TEST_pour PROTOTYPE'!D19</f>
        <v/>
      </c>
      <c r="F62" s="2465" t="n"/>
      <c r="G62" s="2465" t="n"/>
      <c r="H62" s="2465" t="n"/>
      <c r="I62" s="2465" t="n"/>
      <c r="J62" s="2465" t="n"/>
      <c r="K62" s="2465" t="n"/>
      <c r="L62" s="2465" t="n"/>
      <c r="M62" s="2465" t="n"/>
      <c r="N62" s="2465" t="n"/>
      <c r="O62" s="2465" t="n"/>
      <c r="P62" s="1462">
        <f>D62*E62</f>
        <v/>
      </c>
      <c r="Q62" s="6" t="n"/>
      <c r="U62" s="2469" t="n"/>
    </row>
    <row r="63" ht="17" customHeight="1" s="2456">
      <c r="A63" s="1184">
        <f>A62</f>
        <v/>
      </c>
      <c r="B63" s="1466" t="n"/>
      <c r="C63" s="1466" t="inlineStr">
        <is>
          <t>Le contexte familial fragilise mon lien</t>
        </is>
      </c>
      <c r="D63" s="1445" t="n">
        <v>4</v>
      </c>
      <c r="E63" s="1463">
        <f>'TEST_pour PROTOTYPE'!D20</f>
        <v/>
      </c>
      <c r="F63" s="2465" t="n"/>
      <c r="G63" s="2465" t="n"/>
      <c r="H63" s="2465" t="n"/>
      <c r="I63" s="2465" t="n"/>
      <c r="J63" s="2465" t="n"/>
      <c r="K63" s="2465" t="n"/>
      <c r="L63" s="2465" t="n"/>
      <c r="M63" s="2465" t="n"/>
      <c r="N63" s="2465" t="n"/>
      <c r="O63" s="2465" t="n"/>
      <c r="P63" s="1462">
        <f>D63*E63</f>
        <v/>
      </c>
      <c r="Q63" s="6" t="n"/>
      <c r="U63" s="2469" t="n"/>
    </row>
    <row r="64" ht="17" customHeight="1" s="2456">
      <c r="A64" s="1184">
        <f>A63</f>
        <v/>
      </c>
      <c r="C64" s="1466" t="inlineStr">
        <is>
          <t xml:space="preserve">Je suis en rupture de lien affectif </t>
        </is>
      </c>
      <c r="D64" s="1445" t="n">
        <v>5</v>
      </c>
      <c r="E64" s="1463">
        <f>'TEST_pour PROTOTYPE'!D21</f>
        <v/>
      </c>
      <c r="G64" s="2465" t="n"/>
      <c r="H64" s="2465" t="n"/>
      <c r="P64" s="1462">
        <f>D64*E64</f>
        <v/>
      </c>
      <c r="T64" s="500" t="inlineStr">
        <is>
          <t>🔶</t>
        </is>
      </c>
      <c r="U64" s="2469" t="inlineStr">
        <is>
          <t>Note : Expliquer la différence entre rupture de contact et rupture de lien</t>
        </is>
      </c>
    </row>
    <row r="65" ht="17" customHeight="1" s="2456">
      <c r="A65" s="1184">
        <f>A64</f>
        <v/>
      </c>
      <c r="C65" s="1466" t="inlineStr">
        <is>
          <t>Je suis en rupture de contact physique</t>
        </is>
      </c>
      <c r="D65" s="1445" t="n">
        <v>6</v>
      </c>
      <c r="E65" s="1463">
        <f>'TEST_pour PROTOTYPE'!D22</f>
        <v/>
      </c>
      <c r="F65" s="1450" t="n"/>
      <c r="G65" s="2465" t="n"/>
      <c r="H65" s="2465" t="n"/>
      <c r="P65" s="1462">
        <f>D65*E65</f>
        <v/>
      </c>
      <c r="T65" s="500" t="n"/>
    </row>
    <row r="66" ht="17" customHeight="1" s="2456">
      <c r="A66" s="1184" t="n"/>
      <c r="C66" s="1466" t="n"/>
      <c r="D66" s="1445" t="n"/>
      <c r="E66" s="2465" t="n"/>
      <c r="F66" s="63" t="n"/>
      <c r="G66" s="2465" t="n"/>
      <c r="H66" s="2465" t="n"/>
      <c r="I66" s="2465" t="n"/>
      <c r="J66" s="2465" t="n"/>
      <c r="K66" s="2465" t="n"/>
      <c r="L66" s="2465" t="n"/>
      <c r="M66" s="2465" t="n"/>
      <c r="N66" s="2465" t="n"/>
    </row>
    <row r="67" ht="17" customHeight="1" s="2456">
      <c r="A67" s="1184" t="n"/>
      <c r="C67" s="1466" t="n"/>
      <c r="D67" s="1445" t="n"/>
      <c r="E67" s="2465" t="n"/>
      <c r="F67" s="1451" t="n"/>
      <c r="G67" s="2465" t="n"/>
      <c r="H67" s="15" t="n"/>
    </row>
    <row r="68" ht="17" customHeight="1" s="2456">
      <c r="A68" s="1184">
        <f>BIBLE!E34</f>
        <v/>
      </c>
      <c r="B68" s="1661">
        <f>IF(P59&gt;=3,BIBLE!F34," ")</f>
        <v/>
      </c>
      <c r="C68" s="1466" t="n"/>
      <c r="D68" s="1445" t="n"/>
      <c r="E68" s="2465" t="n"/>
      <c r="F68" s="2465" t="n"/>
      <c r="G68" s="2465" t="n"/>
      <c r="H68" s="15" t="n"/>
      <c r="M68" s="2465" t="n"/>
      <c r="N68" s="2465" t="n"/>
      <c r="O68" t="inlineStr">
        <is>
          <t>Max</t>
        </is>
      </c>
      <c r="P68" s="1447">
        <f>MAX(P69:P75)</f>
        <v/>
      </c>
      <c r="Q68" s="6" t="n"/>
    </row>
    <row r="69" ht="17" customHeight="1" s="2456">
      <c r="A69" s="1184">
        <f>A68</f>
        <v/>
      </c>
      <c r="C69" s="1638" t="inlineStr">
        <is>
          <t>Période adolescente difficile</t>
        </is>
      </c>
      <c r="D69" s="1445" t="n">
        <v>1</v>
      </c>
      <c r="E69" s="1463">
        <f>'TEST_pour PROTOTYPE'!D23</f>
        <v/>
      </c>
      <c r="F69" s="2465" t="n"/>
      <c r="G69" s="2465" t="n"/>
      <c r="H69" s="15" t="n"/>
      <c r="M69" s="2465" t="n"/>
      <c r="N69" s="2465" t="n"/>
      <c r="O69" s="2465" t="n"/>
      <c r="P69" s="1462">
        <f>D69*E69</f>
        <v/>
      </c>
      <c r="Q69" s="6" t="n"/>
    </row>
    <row r="70" ht="17" customHeight="1" s="2456">
      <c r="A70" s="1184">
        <f>A69</f>
        <v/>
      </c>
      <c r="C70" s="1638" t="inlineStr">
        <is>
          <t>L'anxiété de séparation fragilise mon lien affectif</t>
        </is>
      </c>
      <c r="D70" s="1445" t="n">
        <v>2</v>
      </c>
      <c r="E70" s="1463">
        <f>'TEST_pour PROTOTYPE'!D24</f>
        <v/>
      </c>
      <c r="F70" s="2465" t="n"/>
      <c r="G70" s="2465" t="n"/>
      <c r="H70" s="15" t="n"/>
      <c r="M70" s="2465" t="n"/>
      <c r="N70" s="2465" t="n"/>
      <c r="O70" s="2465" t="n"/>
      <c r="P70" s="1462">
        <f>D70*E70</f>
        <v/>
      </c>
      <c r="Q70" s="6" t="n"/>
    </row>
    <row r="71" ht="17" customHeight="1" s="2456">
      <c r="A71" s="1184">
        <f>A70</f>
        <v/>
      </c>
      <c r="C71" s="1638" t="inlineStr">
        <is>
          <t>Le conflit parental fragilise mon lien affectif</t>
        </is>
      </c>
      <c r="D71" s="1445" t="n">
        <v>3</v>
      </c>
      <c r="E71" s="1463">
        <f>'TEST_pour PROTOTYPE'!D25</f>
        <v/>
      </c>
      <c r="F71" s="2465" t="n"/>
      <c r="G71" s="2465" t="n"/>
      <c r="H71" s="15" t="n"/>
      <c r="M71" s="2465" t="n"/>
      <c r="N71" s="2465" t="n"/>
      <c r="O71" s="2465" t="n"/>
      <c r="P71" s="1462">
        <f>D71*E71</f>
        <v/>
      </c>
      <c r="Q71" s="6" t="n"/>
    </row>
    <row r="72" ht="17" customHeight="1" s="2456">
      <c r="A72" s="1184">
        <f>A71</f>
        <v/>
      </c>
      <c r="C72" s="1638" t="inlineStr">
        <is>
          <t>Contacts sporadiques, mais entente de garde non-respectée</t>
        </is>
      </c>
      <c r="D72" s="1445" t="n">
        <v>4</v>
      </c>
      <c r="E72" s="1463">
        <f>'TEST_pour PROTOTYPE'!D26</f>
        <v/>
      </c>
      <c r="F72" s="2465" t="n"/>
      <c r="G72" s="2465" t="n"/>
      <c r="H72" s="15" t="n"/>
      <c r="M72" s="2465" t="n"/>
      <c r="N72" s="2465" t="n"/>
      <c r="O72" s="2465" t="n"/>
      <c r="P72" s="1462">
        <f>D72*E72</f>
        <v/>
      </c>
      <c r="Q72" s="6" t="n"/>
    </row>
    <row r="73" ht="17" customHeight="1" s="2456">
      <c r="A73" s="1184">
        <f>A72</f>
        <v/>
      </c>
      <c r="B73" s="2" t="n"/>
      <c r="C73" s="1638" t="inlineStr">
        <is>
          <t>Communication à distance seulement (tél., textos, réseaux sociaux, etc.)</t>
        </is>
      </c>
      <c r="D73" s="1445" t="n">
        <v>5</v>
      </c>
      <c r="E73" s="1463">
        <f>'TEST_pour PROTOTYPE'!D27</f>
        <v/>
      </c>
      <c r="F73" s="2465" t="n"/>
      <c r="G73" s="2465" t="n"/>
      <c r="H73" s="15" t="n"/>
      <c r="M73" s="2465" t="n"/>
      <c r="N73" s="2465" t="n"/>
      <c r="O73" s="2465" t="n"/>
      <c r="P73" s="1462">
        <f>D73*E73</f>
        <v/>
      </c>
      <c r="Q73" s="6" t="n"/>
      <c r="T73" s="500" t="n"/>
      <c r="U73" t="inlineStr">
        <is>
          <t xml:space="preserve">Rapport final : </t>
        </is>
      </c>
    </row>
    <row r="74" ht="17" customHeight="1" s="2456">
      <c r="A74" s="1184">
        <f>A73</f>
        <v/>
      </c>
      <c r="C74" s="1638" t="inlineStr">
        <is>
          <t>Aucune communication ou contact</t>
        </is>
      </c>
      <c r="D74" s="1445" t="n">
        <v>6</v>
      </c>
      <c r="E74" s="1463">
        <f>'TEST_pour PROTOTYPE'!D28</f>
        <v/>
      </c>
      <c r="F74" s="2465" t="n"/>
      <c r="G74" s="2465" t="n"/>
      <c r="H74" s="2465" t="n"/>
      <c r="I74" s="2465" t="n"/>
      <c r="J74" s="2465" t="n"/>
      <c r="K74" s="2465" t="n"/>
      <c r="L74" s="2465" t="n"/>
      <c r="M74" s="2465" t="n"/>
      <c r="N74" s="2465" t="n"/>
      <c r="O74" s="2465" t="n"/>
      <c r="P74" s="1462">
        <f>D74*E74</f>
        <v/>
      </c>
      <c r="Q74" s="6" t="n"/>
    </row>
    <row r="75" ht="17" customHeight="1" s="2456">
      <c r="A75" s="1184">
        <f>A74</f>
        <v/>
      </c>
      <c r="C75" s="1467" t="inlineStr">
        <is>
          <t>Aucune ces réponses</t>
        </is>
      </c>
      <c r="D75" s="1445" t="n">
        <v>0</v>
      </c>
      <c r="E75" s="1463" t="n"/>
      <c r="F75" s="2465" t="n"/>
      <c r="G75" s="2465" t="n"/>
      <c r="H75" s="2465" t="n"/>
      <c r="I75" s="2465" t="n"/>
      <c r="J75" s="2465" t="n"/>
      <c r="K75" s="2465" t="n"/>
      <c r="L75" s="2465" t="n"/>
      <c r="M75" s="2465" t="n"/>
      <c r="N75" s="2465" t="n"/>
      <c r="O75" s="2465" t="n"/>
      <c r="P75" s="1462" t="n"/>
      <c r="Q75" s="6" t="n"/>
    </row>
    <row r="76" ht="17" customHeight="1" s="2456">
      <c r="A76" s="1184" t="n"/>
      <c r="C76" s="1466" t="n"/>
      <c r="D76" s="1641" t="n"/>
      <c r="E76" s="2465" t="n"/>
      <c r="F76" s="1451" t="n"/>
      <c r="G76" s="2465" t="n"/>
      <c r="H76" s="15" t="n"/>
    </row>
    <row r="77" ht="17" customHeight="1" s="2456">
      <c r="A77" s="1184">
        <f>BIBLE!E35</f>
        <v/>
      </c>
      <c r="B77" s="1661">
        <f>IF(P59&gt;=3,BIBLE!F35," ")</f>
        <v/>
      </c>
      <c r="C77" s="1409" t="n"/>
      <c r="D77" s="1641" t="n"/>
      <c r="E77" s="2465" t="n"/>
      <c r="F77" s="1451" t="n"/>
      <c r="G77" s="2465" t="n"/>
      <c r="H77" s="15" t="n"/>
      <c r="P77" s="1446">
        <f>'TEST_pour PROTOTYPE'!D29</f>
        <v/>
      </c>
    </row>
    <row r="78" ht="17" customHeight="1" s="2456">
      <c r="A78" s="1184" t="n"/>
      <c r="B78" s="2" t="n"/>
      <c r="C78" s="1409" t="inlineStr">
        <is>
          <t>&lt; 9 mois</t>
        </is>
      </c>
      <c r="D78" s="1641" t="n">
        <v>1</v>
      </c>
      <c r="E78" s="2545">
        <f>IF(P$77=D78,1,"x")</f>
        <v/>
      </c>
      <c r="F78" s="1451" t="n"/>
      <c r="G78" s="2465" t="n"/>
      <c r="H78" s="15" t="n"/>
    </row>
    <row r="79" ht="17" customHeight="1" s="2456">
      <c r="A79" s="1184" t="n"/>
      <c r="B79" s="2" t="n"/>
      <c r="C79" s="1409" t="inlineStr">
        <is>
          <t>Entre 9 mois et 2 ans</t>
        </is>
      </c>
      <c r="D79" s="1641" t="n">
        <v>2</v>
      </c>
      <c r="E79" s="2545">
        <f>IF(P$77=D79,1,"x")</f>
        <v/>
      </c>
      <c r="F79" s="1451" t="n"/>
      <c r="G79" s="2465" t="n"/>
      <c r="H79" s="15" t="n"/>
    </row>
    <row r="80" ht="17" customHeight="1" s="2456">
      <c r="A80" s="1184" t="n"/>
      <c r="B80" s="2" t="n"/>
      <c r="C80" s="1409" t="inlineStr">
        <is>
          <t>Entre 2 ans et 5 ans</t>
        </is>
      </c>
      <c r="D80" s="1641" t="n">
        <v>3</v>
      </c>
      <c r="E80" s="2545">
        <f>IF(P$77=D80,1,"x")</f>
        <v/>
      </c>
      <c r="F80" s="1451" t="n"/>
      <c r="G80" s="2465" t="n"/>
      <c r="H80" s="15" t="n"/>
    </row>
    <row r="81" ht="17" customHeight="1" s="2456">
      <c r="A81" s="1184" t="n"/>
      <c r="B81" s="2" t="n"/>
      <c r="C81" s="1409" t="inlineStr">
        <is>
          <t>Entre 5 ans et 10 ans</t>
        </is>
      </c>
      <c r="D81" s="1641" t="n">
        <v>4</v>
      </c>
      <c r="E81" s="2545">
        <f>IF(P$77=D81,1,"x")</f>
        <v/>
      </c>
      <c r="F81" s="1451" t="n"/>
      <c r="G81" s="2465" t="n"/>
      <c r="H81" s="15" t="n"/>
    </row>
    <row r="82" ht="17" customHeight="1" s="2456">
      <c r="A82" s="1184" t="n"/>
      <c r="B82" s="2" t="n"/>
      <c r="C82" s="1409" t="inlineStr">
        <is>
          <t>Plus de 10 ans</t>
        </is>
      </c>
      <c r="D82" s="1641" t="n">
        <v>5</v>
      </c>
      <c r="E82" s="2545">
        <f>IF(P$77=D82,1,"x")</f>
        <v/>
      </c>
      <c r="F82" s="1451" t="n"/>
      <c r="G82" s="2465" t="n"/>
      <c r="H82" s="15" t="n"/>
    </row>
    <row r="83" ht="17" customHeight="1" s="2456">
      <c r="A83" s="1184" t="n"/>
      <c r="C83" s="1466" t="n"/>
      <c r="D83" s="1641" t="n"/>
      <c r="E83" s="2465" t="n"/>
      <c r="F83" s="1451" t="n"/>
      <c r="G83" s="2465" t="n"/>
      <c r="H83" s="15" t="n"/>
    </row>
    <row r="84" ht="17" customHeight="1" s="2456">
      <c r="A84" s="1184">
        <f>BIBLE!E36</f>
        <v/>
      </c>
      <c r="B84" s="1661">
        <f>IF(P59&gt;=5,BIBLE!F36," ")</f>
        <v/>
      </c>
      <c r="C84" s="1468" t="inlineStr">
        <is>
          <t>Oui</t>
        </is>
      </c>
      <c r="D84" s="1641" t="n">
        <v>1</v>
      </c>
      <c r="E84" s="2545">
        <f>IF(P$84=D84,1,"x")</f>
        <v/>
      </c>
      <c r="F84" s="1451" t="n"/>
      <c r="G84" s="2465" t="n"/>
      <c r="H84" s="15" t="n"/>
      <c r="P84" s="1446">
        <f>'TEST_pour PROTOTYPE'!D30</f>
        <v/>
      </c>
    </row>
    <row r="85" ht="17" customHeight="1" s="2456">
      <c r="A85" s="1184" t="n"/>
      <c r="C85" s="1468" t="inlineStr">
        <is>
          <t>Non</t>
        </is>
      </c>
      <c r="D85" s="1641" t="n">
        <v>0</v>
      </c>
      <c r="E85" s="2545">
        <f>IF(P$84=D85,1,"x")</f>
        <v/>
      </c>
      <c r="F85" s="1451" t="n"/>
      <c r="G85" s="2465" t="n"/>
      <c r="H85" s="15" t="n"/>
    </row>
    <row r="86" ht="17" customHeight="1" s="2456">
      <c r="A86" s="1184" t="n"/>
      <c r="C86" s="1468" t="n"/>
      <c r="D86" s="1641" t="n"/>
      <c r="E86" s="258" t="n"/>
      <c r="F86" s="1451" t="n"/>
      <c r="G86" s="2465" t="n"/>
      <c r="H86" s="15" t="n"/>
    </row>
    <row r="87" ht="17" customHeight="1" s="2456">
      <c r="A87" s="1184">
        <f>BIBLE!E37</f>
        <v/>
      </c>
      <c r="B87" s="1661">
        <f>IF(P59&gt;=5,BIBLE!F37," ")</f>
        <v/>
      </c>
      <c r="C87" s="1409" t="n"/>
      <c r="D87" s="1641" t="n"/>
      <c r="E87" s="2465" t="n"/>
      <c r="F87" s="1451" t="n"/>
      <c r="G87" s="2465" t="n"/>
      <c r="H87" s="15" t="n"/>
      <c r="O87" s="2" t="inlineStr">
        <is>
          <t>Somme:</t>
        </is>
      </c>
      <c r="P87" s="1446">
        <f>SUM(P88:P92)</f>
        <v/>
      </c>
    </row>
    <row r="88" ht="35" customHeight="1" s="2456">
      <c r="A88" s="1184">
        <f>A93</f>
        <v/>
      </c>
      <c r="C88" s="1469" t="inlineStr">
        <is>
          <t>Épisode de dépression (pour vous ou l'autre parent)</t>
        </is>
      </c>
      <c r="D88" s="1445" t="n">
        <v>1</v>
      </c>
      <c r="E88" s="37">
        <f>'TEST_pour PROTOTYPE'!D31</f>
        <v/>
      </c>
      <c r="F88" s="1451" t="n"/>
      <c r="G88" s="2465" t="n"/>
      <c r="H88" s="15" t="n"/>
      <c r="P88" s="1462">
        <f>D88*E88</f>
        <v/>
      </c>
      <c r="AE88" s="2494" t="inlineStr">
        <is>
          <t>Comportement VC</t>
        </is>
      </c>
      <c r="AF88" s="2497" t="inlineStr">
        <is>
          <t>Intensité AP</t>
        </is>
      </c>
      <c r="AG88" s="1704" t="n"/>
      <c r="AH88" s="2486" t="inlineStr">
        <is>
          <t>Baromètre CEV</t>
        </is>
      </c>
      <c r="AI88" s="2480" t="n"/>
      <c r="AJ88" s="2487" t="n"/>
      <c r="AK88" s="2502" t="inlineStr">
        <is>
          <t>Baromètre catégorie</t>
        </is>
      </c>
      <c r="AL88" s="2480" t="n"/>
      <c r="AM88" s="2480" t="n"/>
      <c r="AN88" s="2480" t="n"/>
      <c r="AO88" s="2480" t="n"/>
      <c r="AP88" s="2480" t="n"/>
      <c r="AQ88" s="2480" t="n"/>
      <c r="AR88" s="2487" t="n"/>
    </row>
    <row r="89" ht="35" customHeight="1" s="2456">
      <c r="A89" s="1184">
        <f>A88</f>
        <v/>
      </c>
      <c r="C89" s="1469" t="inlineStr">
        <is>
          <t>Épisode de violence (de votre part ou de l'autre parent)</t>
        </is>
      </c>
      <c r="D89" s="1445" t="n">
        <v>2</v>
      </c>
      <c r="E89" s="37">
        <f>'TEST_pour PROTOTYPE'!D32</f>
        <v/>
      </c>
      <c r="F89" s="1451" t="n"/>
      <c r="G89" s="2465" t="n"/>
      <c r="H89" s="15" t="n"/>
      <c r="P89" s="1462">
        <f>D89*E89</f>
        <v/>
      </c>
      <c r="AE89" s="2495" t="n"/>
      <c r="AF89" s="2495" t="n"/>
      <c r="AG89" s="1695" t="n"/>
      <c r="AH89" s="2482" t="inlineStr">
        <is>
          <t>Comportemental</t>
        </is>
      </c>
      <c r="AI89" s="2498" t="inlineStr">
        <is>
          <t>Émotif</t>
        </is>
      </c>
      <c r="AJ89" s="2510" t="inlineStr">
        <is>
          <t>Verbal</t>
        </is>
      </c>
      <c r="AK89" s="2482" t="inlineStr">
        <is>
          <t>A:Alliance</t>
        </is>
      </c>
      <c r="AL89" s="2489" t="inlineStr">
        <is>
          <t>B:Altération/dévoiement de la réalité</t>
        </is>
      </c>
      <c r="AM89" s="2489" t="inlineStr">
        <is>
          <t>C: Chantage affectif, loyauté, manipulation</t>
        </is>
      </c>
      <c r="AN89" s="2489" t="inlineStr">
        <is>
          <t>D: Dénigrement</t>
        </is>
      </c>
      <c r="AO89" s="2489" t="inlineStr">
        <is>
          <t>E: Interférence temps et/ou communication</t>
        </is>
      </c>
      <c r="AP89" s="2489" t="inlineStr">
        <is>
          <t>F: Interférence lien affectif ou symbolique</t>
        </is>
      </c>
      <c r="AQ89" s="2489" t="inlineStr">
        <is>
          <t>G: Parentification</t>
        </is>
      </c>
      <c r="AR89" s="2504" t="inlineStr">
        <is>
          <t>H: Rôle actif, Réponse au CC, r</t>
        </is>
      </c>
    </row>
    <row r="90" ht="35" customHeight="1" s="2456">
      <c r="A90" s="1184">
        <f>A89</f>
        <v/>
      </c>
      <c r="C90" s="1469" t="inlineStr">
        <is>
          <t>Infidélité (de votre part ou de l'autre parent)</t>
        </is>
      </c>
      <c r="D90" s="1445" t="n">
        <v>3</v>
      </c>
      <c r="E90" s="37">
        <f>'TEST_pour PROTOTYPE'!D33</f>
        <v/>
      </c>
      <c r="F90" s="1451" t="n"/>
      <c r="G90" s="2465" t="n"/>
      <c r="H90" s="15" t="n"/>
      <c r="P90" s="1462">
        <f>D90*E90</f>
        <v/>
      </c>
      <c r="AE90" s="2495" t="n"/>
      <c r="AF90" s="2495" t="n"/>
      <c r="AG90" s="1695" t="n"/>
      <c r="AH90" s="2483" t="n"/>
      <c r="AJ90" s="2505" t="n"/>
      <c r="AK90" s="2483" t="n"/>
      <c r="AR90" s="2505" t="n"/>
    </row>
    <row r="91" ht="35" customHeight="1" s="2456">
      <c r="A91" s="1184">
        <f>A90</f>
        <v/>
      </c>
      <c r="C91" s="1469" t="inlineStr">
        <is>
          <t xml:space="preserve">Événement déclencheur (ex.: déménagement, deuil,...) </t>
        </is>
      </c>
      <c r="D91" s="1445" t="n">
        <v>4</v>
      </c>
      <c r="E91" s="37">
        <f>'TEST_pour PROTOTYPE'!D34</f>
        <v/>
      </c>
      <c r="F91" s="1451" t="n"/>
      <c r="G91" s="2465" t="n"/>
      <c r="H91" s="15" t="n"/>
      <c r="P91" s="1462">
        <f>D91*E91</f>
        <v/>
      </c>
      <c r="AE91" s="2495" t="n"/>
      <c r="AF91" s="2495" t="n"/>
      <c r="AG91" s="1695" t="n"/>
      <c r="AH91" s="2483" t="n"/>
      <c r="AJ91" s="2505" t="n"/>
      <c r="AK91" s="2483" t="n"/>
      <c r="AR91" s="2505" t="n"/>
    </row>
    <row r="92" ht="33" customHeight="1" s="2456">
      <c r="A92" s="1184">
        <f>A91</f>
        <v/>
      </c>
      <c r="C92" s="1469" t="inlineStr">
        <is>
          <t>Arrivée d'un nouveau ou nouvelle conjoint·e</t>
        </is>
      </c>
      <c r="D92" s="1445" t="n">
        <v>5</v>
      </c>
      <c r="E92" s="37">
        <f>'TEST_pour PROTOTYPE'!D35</f>
        <v/>
      </c>
      <c r="F92" s="1451" t="n"/>
      <c r="G92" s="2465" t="n"/>
      <c r="H92" s="15" t="n"/>
      <c r="P92" s="1462">
        <f>D92*E92</f>
        <v/>
      </c>
      <c r="AE92" s="2495" t="n"/>
      <c r="AF92" s="2495" t="n"/>
      <c r="AG92" s="1695" t="n"/>
      <c r="AH92" s="2483" t="n"/>
      <c r="AJ92" s="2505" t="n"/>
      <c r="AK92" s="2483" t="n"/>
      <c r="AR92" s="2505" t="n"/>
    </row>
    <row r="93" ht="33" customHeight="1" s="2456">
      <c r="A93" s="1184">
        <f>A87</f>
        <v/>
      </c>
      <c r="B93" s="1660" t="n"/>
      <c r="C93" s="1470" t="inlineStr">
        <is>
          <t>Non, aucun traumatisme</t>
        </is>
      </c>
      <c r="D93" s="1445" t="n">
        <v>0</v>
      </c>
      <c r="E93" s="37">
        <f>'TEST_pour PROTOTYPE'!D36</f>
        <v/>
      </c>
      <c r="F93" s="1451" t="n"/>
      <c r="G93" s="2465" t="n"/>
      <c r="H93" s="15" t="n"/>
      <c r="P93" s="1462">
        <f>D93*E93</f>
        <v/>
      </c>
      <c r="AE93" s="2495" t="n"/>
      <c r="AF93" s="2495" t="n"/>
      <c r="AG93" s="1695" t="n"/>
      <c r="AH93" s="2483" t="n"/>
      <c r="AJ93" s="2505" t="n"/>
      <c r="AK93" s="2483" t="n"/>
      <c r="AR93" s="2505" t="n"/>
    </row>
    <row r="94" ht="25" customHeight="1" s="2456">
      <c r="A94" s="1184">
        <f>A92</f>
        <v/>
      </c>
      <c r="C94" s="1542" t="inlineStr">
        <is>
          <t>Autre</t>
        </is>
      </c>
      <c r="D94" s="1543" t="inlineStr">
        <is>
          <t>Custom</t>
        </is>
      </c>
      <c r="E94" s="37" t="n"/>
      <c r="F94" s="2465" t="n"/>
      <c r="G94" s="2465" t="n"/>
      <c r="H94" s="1451" t="n"/>
      <c r="I94" s="2465" t="n"/>
      <c r="J94" s="15" t="n"/>
      <c r="P94" s="1462" t="n"/>
      <c r="AE94" s="2496" t="n"/>
      <c r="AF94" s="2496" t="n"/>
      <c r="AG94" s="1696" t="n"/>
      <c r="AH94" s="2484" t="n"/>
      <c r="AI94" s="2490" t="n"/>
      <c r="AJ94" s="2506" t="n"/>
      <c r="AK94" s="2484" t="n"/>
      <c r="AL94" s="2490" t="n"/>
      <c r="AM94" s="2490" t="n"/>
      <c r="AN94" s="2490" t="n"/>
      <c r="AO94" s="2490" t="n"/>
      <c r="AP94" s="2490" t="n"/>
      <c r="AQ94" s="2490" t="n"/>
      <c r="AR94" s="2506" t="n"/>
    </row>
    <row r="95" ht="25" customHeight="1" s="2456">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1" t="n"/>
      <c r="E96" s="246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69"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1" t="inlineStr">
        <is>
          <t>Pour le calcul du gradient, la logique retenue est :</t>
        </is>
      </c>
      <c r="W97" s="132" t="n"/>
      <c r="X97" s="2465" t="n"/>
      <c r="Y97" s="2465" t="n"/>
      <c r="Z97" s="2465" t="n"/>
      <c r="AA97" s="2465" t="n"/>
      <c r="AB97" s="2465" t="n"/>
      <c r="AC97" s="246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69" thickTop="1">
      <c r="A98" s="1185">
        <f>BIBLE!E40</f>
        <v/>
      </c>
      <c r="B98" s="260">
        <f>BIBLE!F40</f>
        <v/>
      </c>
      <c r="C98" s="2499">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65">
        <f>IF(BIBLE!K40=0,"",BIBLE!K40)</f>
        <v/>
      </c>
      <c r="V98" s="2501" t="inlineStr">
        <is>
          <t>1) Si la Q a une SQ, prendre le MAX des deux seulement (car un SQ aggrave l'intensité de la Q)</t>
        </is>
      </c>
      <c r="X98" s="2465" t="n"/>
      <c r="Y98" s="2465" t="n"/>
      <c r="Z98" s="2465" t="n"/>
      <c r="AA98" s="2465" t="n"/>
      <c r="AB98" s="2465" t="n"/>
      <c r="AC98" s="246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69">
      <c r="A99" s="1185">
        <f>BIBLE!E41</f>
        <v/>
      </c>
      <c r="B99" s="261">
        <f>BIBLE!F41</f>
        <v/>
      </c>
      <c r="C99" s="2499">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65">
        <f>IF(BIBLE!K41=0,"",BIBLE!K41)</f>
        <v/>
      </c>
      <c r="V99" s="2501" t="inlineStr">
        <is>
          <t>2) Si la Q a plusieurs sous-questions, additiionner les valeurs des sous-questions du même niveau, et prendre le MAX entre Q et chaque niveau de SQ</t>
        </is>
      </c>
      <c r="X99" s="2465" t="n"/>
      <c r="Y99" s="2465" t="n"/>
      <c r="Z99" s="2465" t="n"/>
      <c r="AA99" s="2465" t="n"/>
      <c r="AB99" s="2465" t="n"/>
      <c r="AC99" s="246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69">
      <c r="A100" s="1185">
        <f>BIBLE!E42</f>
        <v/>
      </c>
      <c r="B100" s="261">
        <f>BIBLE!F42</f>
        <v/>
      </c>
      <c r="C100" s="2499">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65">
        <f>IF(BIBLE!K42=0,"",BIBLE!K42)</f>
        <v/>
      </c>
      <c r="S100" s="1249" t="n"/>
      <c r="V100" s="2501" t="n"/>
      <c r="X100" s="2465" t="n"/>
      <c r="Y100" s="2465" t="n"/>
      <c r="Z100" s="2465" t="n"/>
      <c r="AA100" s="2465" t="n"/>
      <c r="AB100" s="2465" t="n"/>
      <c r="AC100" s="246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69">
      <c r="A101" s="1185">
        <f>BIBLE!E43</f>
        <v/>
      </c>
      <c r="B101" s="2488">
        <f>IF(P100&gt;=$R$100,BIBLE!F43," ")</f>
        <v/>
      </c>
      <c r="C101" s="2499">
        <f>BIBLE!O43</f>
        <v/>
      </c>
      <c r="D101" s="1643">
        <f>BIBLE!L43</f>
        <v/>
      </c>
      <c r="E101" s="2465" t="n"/>
      <c r="F101" s="2465" t="n"/>
      <c r="G101" s="2465" t="n"/>
      <c r="H101" s="2465" t="n"/>
      <c r="I101" s="2465" t="n"/>
      <c r="J101" s="2465" t="n"/>
      <c r="K101" s="2465" t="n"/>
      <c r="P101" s="1449">
        <f>'TEST_pour PROTOTYPE'!D52</f>
        <v/>
      </c>
      <c r="Q101" s="24">
        <f>P101*D101</f>
        <v/>
      </c>
      <c r="R101" s="2465">
        <f>IF(BIBLE!K43=0,"",BIBLE!K43)</f>
        <v/>
      </c>
      <c r="S101" s="1249" t="n"/>
      <c r="X101" s="2465" t="n"/>
      <c r="Y101" s="2465" t="n"/>
      <c r="Z101" s="2465" t="n"/>
      <c r="AA101" s="2465" t="n"/>
      <c r="AB101" s="2465" t="n"/>
      <c r="AC101" s="246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69">
      <c r="A102" s="1185">
        <f>BIBLE!E44</f>
        <v/>
      </c>
      <c r="B102" s="2488">
        <f>IF(P101&gt;=$R$101,BIBLE!F44," ")</f>
        <v/>
      </c>
      <c r="C102" s="2499">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65">
        <f>IF(BIBLE!K44=0,"",BIBLE!K44)</f>
        <v/>
      </c>
      <c r="V102" s="2501" t="inlineStr">
        <is>
          <t>3) Si la Q n'a pas de sous-question, on prend la valeur de celle-ci</t>
        </is>
      </c>
      <c r="X102" s="2465" t="n"/>
      <c r="Y102" s="2465" t="n"/>
      <c r="Z102" s="2465" t="n"/>
      <c r="AA102" s="2465" t="n"/>
      <c r="AB102" s="2465" t="n"/>
      <c r="AC102" s="246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69" thickBot="1">
      <c r="A103" s="1185" t="n"/>
      <c r="B103" s="2578"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65" t="n"/>
      <c r="Y103" s="2465" t="n"/>
      <c r="Z103" s="2465" t="n"/>
      <c r="AA103" s="2465" t="n"/>
      <c r="AB103" s="2465" t="n"/>
      <c r="AC103" s="246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69" thickTop="1">
      <c r="A104" s="1185">
        <f>BIBLE!E45</f>
        <v/>
      </c>
      <c r="B104" s="2580">
        <f>BIBLE!F45</f>
        <v/>
      </c>
      <c r="C104" s="2499">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65">
        <f>IF(BIBLE!K45=0,"",BIBLE!K45)</f>
        <v/>
      </c>
      <c r="S104" s="1249" t="n"/>
      <c r="X104" s="2465" t="n"/>
      <c r="Y104" s="2465" t="n"/>
      <c r="Z104" s="2465" t="n"/>
      <c r="AA104" s="2465" t="n"/>
      <c r="AB104" s="2465" t="n"/>
      <c r="AC104" s="246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69">
      <c r="A105" s="1185">
        <f>BIBLE!E46</f>
        <v/>
      </c>
      <c r="B105" s="1203">
        <f>IF(P104&gt;=R104,BIBLE!F46," ")</f>
        <v/>
      </c>
      <c r="C105" s="2499">
        <f>BIBLE!O46</f>
        <v/>
      </c>
      <c r="D105" s="1643">
        <f>BIBLE!L46</f>
        <v/>
      </c>
      <c r="E105" s="20" t="n"/>
      <c r="F105" s="52" t="n"/>
      <c r="G105" s="20" t="n"/>
      <c r="H105" s="52" t="n"/>
      <c r="I105" s="20" t="n">
        <v>1</v>
      </c>
      <c r="J105" s="20" t="n"/>
      <c r="K105" s="20" t="n"/>
      <c r="L105" s="67" t="n"/>
      <c r="M105" s="6" t="n"/>
      <c r="N105" s="2465" t="n"/>
      <c r="P105" s="1449">
        <f>'TEST_pour PROTOTYPE'!D55</f>
        <v/>
      </c>
      <c r="Q105" s="24">
        <f>P105*D105</f>
        <v/>
      </c>
      <c r="R105" s="2465" t="n"/>
      <c r="X105" s="2465" t="n"/>
      <c r="Y105" s="2465" t="n"/>
      <c r="Z105" s="2465" t="n"/>
      <c r="AA105" s="2465" t="n"/>
      <c r="AB105" s="2465" t="n"/>
      <c r="AC105" s="246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69">
      <c r="A106" s="1185">
        <f>BIBLE!E47</f>
        <v/>
      </c>
      <c r="B106" s="260">
        <f>BIBLE!F47</f>
        <v/>
      </c>
      <c r="C106" s="2499">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65">
        <f>IF(BIBLE!K47=0,"",BIBLE!K47)</f>
        <v/>
      </c>
      <c r="V106" s="2465" t="n"/>
      <c r="X106" s="2465" t="n"/>
      <c r="Y106" s="2465" t="n"/>
      <c r="Z106" s="2465" t="n"/>
      <c r="AA106" s="2465" t="n"/>
      <c r="AB106" s="2465" t="n"/>
      <c r="AC106" s="246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69">
      <c r="A107" s="1185">
        <f>BIBLE!E48</f>
        <v/>
      </c>
      <c r="B107" s="1203">
        <f>IF(P106&gt;=R106,BIBLE!F48," ")</f>
        <v/>
      </c>
      <c r="C107" s="2499">
        <f>BIBLE!O48</f>
        <v/>
      </c>
      <c r="D107" s="1643">
        <f>BIBLE!L48</f>
        <v/>
      </c>
      <c r="E107" s="2465" t="n"/>
      <c r="F107" s="2465" t="n"/>
      <c r="G107" s="2465" t="n"/>
      <c r="H107" s="2465" t="n"/>
      <c r="I107" s="2465" t="n"/>
      <c r="J107" s="2465" t="n"/>
      <c r="K107" s="2465" t="n"/>
      <c r="L107" s="2465" t="n"/>
      <c r="M107" s="2465" t="n"/>
      <c r="N107" s="2465" t="n"/>
      <c r="O107" s="2465" t="n"/>
      <c r="P107" s="1449">
        <f>'TEST_pour PROTOTYPE'!D57</f>
        <v/>
      </c>
      <c r="Q107" s="24">
        <f>P107*D107</f>
        <v/>
      </c>
      <c r="R107" s="2465" t="n"/>
      <c r="V107" s="2465" t="n"/>
      <c r="X107" s="2465" t="n"/>
      <c r="Y107" s="2465" t="n"/>
      <c r="Z107" s="2465" t="n"/>
      <c r="AA107" s="2465" t="n"/>
      <c r="AB107" s="2465" t="n"/>
      <c r="AC107" s="246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65">
      <c r="A108" s="259" t="n"/>
      <c r="B108" s="54" t="n"/>
      <c r="C108" s="277" t="n"/>
      <c r="D108" s="2472" t="n"/>
      <c r="E108" s="2465" t="inlineStr">
        <is>
          <t>Échelle d'évaluation</t>
        </is>
      </c>
      <c r="X108" s="2481"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69" thickBot="1">
      <c r="A109" s="278" t="inlineStr">
        <is>
          <t>Parent répondant</t>
        </is>
      </c>
      <c r="B109" s="258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69" t="inlineStr">
        <is>
          <t>Valeur</t>
        </is>
      </c>
      <c r="BB109" s="2501" t="inlineStr">
        <is>
          <t>Deux SQ à un même niveau, on les additionne et on prend le max entre la Q et les SQ</t>
        </is>
      </c>
    </row>
    <row r="110" ht="34" customFormat="1" customHeight="1" s="2469" thickTop="1">
      <c r="A110" s="1186">
        <f>BIBLE!E50</f>
        <v/>
      </c>
      <c r="B110" s="258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1" t="n"/>
    </row>
    <row r="111" ht="34" customFormat="1" customHeight="1" s="2469" thickBot="1">
      <c r="A111" s="278" t="n"/>
      <c r="B111" s="258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1" t="n"/>
    </row>
    <row r="112" ht="56" customFormat="1" customHeight="1" s="2501"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65">
        <f>BIBLE!K51</f>
        <v/>
      </c>
      <c r="S112" s="2520" t="n"/>
      <c r="T112" s="2520" t="n"/>
      <c r="U112" s="2520" t="n"/>
      <c r="V112" s="6">
        <f>MAX(AS112:AS114)</f>
        <v/>
      </c>
      <c r="W112" s="2465" t="n"/>
      <c r="X112" s="6">
        <f>MAX(AU112:AU114)</f>
        <v/>
      </c>
      <c r="Y112" s="6">
        <f>MAX(AV112:AV114)</f>
        <v/>
      </c>
      <c r="Z112" s="6">
        <f>MAX(AW112:AW114)</f>
        <v/>
      </c>
      <c r="AA112" s="6">
        <f>MAX(AX112:AX114)</f>
        <v/>
      </c>
      <c r="AB112" s="6">
        <f>MAX(AY112:AY114)</f>
        <v/>
      </c>
      <c r="AC112" s="6">
        <f>MAX(AZ112:AZ114)</f>
        <v/>
      </c>
      <c r="AD112" s="246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20" t="n"/>
      <c r="AU112" s="6">
        <f>IF($Q112&gt;0,X$109*$D112,0)</f>
        <v/>
      </c>
      <c r="AV112" s="6">
        <f>IF($Q112&gt;0,Y$109*$D112,0)</f>
        <v/>
      </c>
      <c r="AW112" s="6">
        <f>IF($Q112&gt;0,Z$109*$D112,0)</f>
        <v/>
      </c>
      <c r="AX112" s="6">
        <f>IF($Q112&gt;0,AA$109*$D112,0)</f>
        <v/>
      </c>
      <c r="AY112" s="6">
        <f>IF($Q112&gt;0,AB$109*$D112,0)</f>
        <v/>
      </c>
      <c r="AZ112" s="6">
        <f>IF($Q112&gt;0,AC$109*$D112,0)</f>
        <v/>
      </c>
      <c r="BA112" s="2465" t="n"/>
      <c r="BB112" s="6" t="inlineStr">
        <is>
          <t>Deux SQ, mais à un niveau différent, on prend le max entre la Q et les SQ</t>
        </is>
      </c>
      <c r="BC112" s="2465" t="n"/>
      <c r="BD112" s="438">
        <f>AU112</f>
        <v/>
      </c>
      <c r="BE112" s="438">
        <f>AV112</f>
        <v/>
      </c>
      <c r="BF112" s="438">
        <f>AW112</f>
        <v/>
      </c>
      <c r="BG112" s="438">
        <f>AX112</f>
        <v/>
      </c>
      <c r="BH112" s="438">
        <f>AY112</f>
        <v/>
      </c>
      <c r="BI112" s="438">
        <f>AZ112</f>
        <v/>
      </c>
    </row>
    <row r="113" ht="60" customFormat="1" customHeight="1" s="2501">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65">
        <f>BIBLE!K52</f>
        <v/>
      </c>
      <c r="S113" s="2520" t="n"/>
      <c r="T113" s="2520" t="n"/>
      <c r="U113" s="2520" t="n"/>
      <c r="V113" s="2465" t="n"/>
      <c r="W113" s="2465" t="n"/>
      <c r="X113" s="2465" t="n"/>
      <c r="Y113" s="2465" t="n"/>
      <c r="Z113" s="2465" t="n"/>
      <c r="AA113" s="2465" t="n"/>
      <c r="AB113" s="2465" t="n"/>
      <c r="AC113" s="2465" t="n"/>
      <c r="AD113" s="246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20" t="n"/>
      <c r="AU113" s="6">
        <f>IF($Q113&gt;0,X$109*$D113,0)</f>
        <v/>
      </c>
      <c r="AV113" s="6">
        <f>IF($Q113&gt;0,Y$109*$D113,0)</f>
        <v/>
      </c>
      <c r="AW113" s="6">
        <f>IF($Q113&gt;0,Z$109*$D113,0)</f>
        <v/>
      </c>
      <c r="AX113" s="6">
        <f>IF($Q113&gt;0,AA$109*$D113,0)</f>
        <v/>
      </c>
      <c r="AY113" s="6">
        <f>IF($Q113&gt;0,AB$109*$D113,0)</f>
        <v/>
      </c>
      <c r="AZ113" s="6">
        <f>IF($Q113&gt;0,AC$109*$D113,0)</f>
        <v/>
      </c>
      <c r="BA113" s="2465" t="n"/>
      <c r="BB113" s="6" t="n"/>
      <c r="BC113" s="2465" t="n"/>
      <c r="BD113" s="438">
        <f>AU113+AU114</f>
        <v/>
      </c>
      <c r="BE113" s="438">
        <f>AV113+AV114</f>
        <v/>
      </c>
      <c r="BF113" s="438">
        <f>AW113+AW114</f>
        <v/>
      </c>
      <c r="BG113" s="438">
        <f>AX113+AX114</f>
        <v/>
      </c>
      <c r="BH113" s="438">
        <f>AY113+AY114</f>
        <v/>
      </c>
      <c r="BI113" s="438">
        <f>AZ113+AZ114</f>
        <v/>
      </c>
    </row>
    <row r="114" ht="60" customFormat="1" customHeight="1" s="2501">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65" t="n"/>
      <c r="S114" s="2520" t="n"/>
      <c r="T114" s="2520" t="n"/>
      <c r="U114" s="2520" t="n"/>
      <c r="V114" s="2465" t="n"/>
      <c r="W114" s="2465" t="n"/>
      <c r="X114" s="2465" t="n"/>
      <c r="Y114" s="2465" t="n"/>
      <c r="Z114" s="2465" t="n"/>
      <c r="AA114" s="2465" t="n"/>
      <c r="AB114" s="2465" t="n"/>
      <c r="AC114" s="2465" t="n"/>
      <c r="AD114" s="246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20" t="n"/>
      <c r="AU114" s="6">
        <f>IF($Q114&gt;0,X$109*$D114,0)</f>
        <v/>
      </c>
      <c r="AV114" s="6">
        <f>IF($Q114&gt;0,Y$109*$D114,0)</f>
        <v/>
      </c>
      <c r="AW114" s="6">
        <f>IF($Q114&gt;0,Z$109*$D114,0)</f>
        <v/>
      </c>
      <c r="AX114" s="6">
        <f>IF($Q114&gt;0,AA$109*$D114,0)</f>
        <v/>
      </c>
      <c r="AY114" s="6">
        <f>IF($Q114&gt;0,AB$109*$D114,0)</f>
        <v/>
      </c>
      <c r="AZ114" s="6">
        <f>IF($Q114&gt;0,AC$109*$D114,0)</f>
        <v/>
      </c>
      <c r="BA114" s="2465" t="n"/>
      <c r="BB114" s="2465" t="n"/>
      <c r="BC114" s="2465" t="n"/>
    </row>
    <row r="115" ht="17" customFormat="1" customHeight="1" s="2469">
      <c r="A115" s="1186">
        <f>BIBLE!E54</f>
        <v/>
      </c>
      <c r="B115" s="2488">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65" t="n"/>
      <c r="V115" s="2465" t="n"/>
      <c r="X115" s="2465" t="n"/>
      <c r="Y115" s="2465" t="n"/>
      <c r="Z115" s="2465" t="n"/>
      <c r="AA115" s="2465" t="n"/>
      <c r="AB115" s="2465" t="n"/>
      <c r="AC115" s="246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69">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65" t="n"/>
      <c r="V116" s="2465" t="n"/>
      <c r="X116" s="2465" t="n"/>
      <c r="Y116" s="2465" t="n"/>
      <c r="Z116" s="2465" t="n"/>
      <c r="AA116" s="2465" t="n"/>
      <c r="AB116" s="2465" t="n"/>
      <c r="AC116" s="246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69">
      <c r="A117" s="2509"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65" t="n"/>
      <c r="V117" s="2465" t="n"/>
      <c r="X117" s="2465" t="n"/>
      <c r="Y117" s="2465" t="n"/>
      <c r="Z117" s="2465" t="n"/>
      <c r="AA117" s="2465" t="n"/>
      <c r="AB117" s="2465" t="n"/>
      <c r="AC117" s="246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69">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65" t="n"/>
      <c r="V118" s="2465" t="n"/>
      <c r="X118" s="2465" t="n"/>
      <c r="Y118" s="2465" t="n"/>
      <c r="Z118" s="2465" t="n"/>
      <c r="AA118" s="2465" t="n"/>
      <c r="AB118" s="2465" t="n"/>
      <c r="AC118" s="246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69">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65" t="n"/>
      <c r="V119" s="2465" t="n"/>
      <c r="X119" s="2465" t="n"/>
      <c r="Y119" s="2465" t="n"/>
      <c r="Z119" s="2465" t="n"/>
      <c r="AA119" s="2465" t="n"/>
      <c r="AB119" s="2465" t="n"/>
      <c r="AC119" s="246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69">
      <c r="A120" s="250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65" t="n"/>
      <c r="V120" s="2465" t="n"/>
      <c r="X120" s="2465" t="n"/>
      <c r="Y120" s="2465" t="n"/>
      <c r="Z120" s="2465" t="n"/>
      <c r="AA120" s="2465" t="n"/>
      <c r="AB120" s="2465" t="n"/>
      <c r="AC120" s="246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69">
      <c r="A121" s="250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65" t="n"/>
      <c r="V121" s="2465" t="n"/>
      <c r="X121" s="2465" t="n"/>
      <c r="Y121" s="2465" t="n"/>
      <c r="Z121" s="2465" t="n"/>
      <c r="AA121" s="2465" t="n"/>
      <c r="AB121" s="2465" t="n"/>
      <c r="AC121" s="246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69">
      <c r="A122" s="250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65" t="n"/>
      <c r="V122" s="2465" t="n"/>
      <c r="X122" s="2465" t="n"/>
      <c r="Y122" s="2465" t="n"/>
      <c r="Z122" s="2465" t="n"/>
      <c r="AA122" s="2465" t="n"/>
      <c r="AB122" s="2465" t="n"/>
      <c r="AC122" s="246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1">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6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1">
      <c r="A124" s="1186">
        <f>BIBLE!E56</f>
        <v/>
      </c>
      <c r="B124" s="2578">
        <f>BIBLE!F56</f>
        <v/>
      </c>
      <c r="C124" s="2499">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6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1">
      <c r="A125" s="1186">
        <f>BIBLE!E57</f>
        <v/>
      </c>
      <c r="B125" s="2578">
        <f>BIBLE!F57</f>
        <v/>
      </c>
      <c r="C125" s="2499">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6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1">
      <c r="A126" s="1186">
        <f>BIBLE!E58</f>
        <v/>
      </c>
      <c r="B126" s="2578">
        <f>BIBLE!F58</f>
        <v/>
      </c>
      <c r="C126" s="2499">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6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69">
      <c r="A127" s="1186">
        <f>BIBLE!E59</f>
        <v/>
      </c>
      <c r="B127" s="2488">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65" t="n"/>
      <c r="V127" s="2465" t="n"/>
      <c r="X127" s="2465" t="n"/>
      <c r="Y127" s="2465" t="n"/>
      <c r="Z127" s="2465" t="n"/>
      <c r="AA127" s="2465" t="n"/>
      <c r="AB127" s="2465" t="n"/>
      <c r="AC127" s="246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69">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65" t="n"/>
      <c r="V128" s="2465" t="n"/>
      <c r="X128" s="2465" t="n"/>
      <c r="Y128" s="2465" t="n"/>
      <c r="Z128" s="2465" t="n"/>
      <c r="AA128" s="2465" t="n"/>
      <c r="AB128" s="2465" t="n"/>
      <c r="AC128" s="246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69">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65" t="n"/>
      <c r="V129" s="2465" t="n"/>
      <c r="X129" s="2465" t="n"/>
      <c r="Y129" s="2465" t="n"/>
      <c r="Z129" s="2465" t="n"/>
      <c r="AA129" s="2465" t="n"/>
      <c r="AB129" s="2465" t="n"/>
      <c r="AC129" s="246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69">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65" t="n"/>
      <c r="V130" s="2465" t="n"/>
      <c r="X130" s="2465" t="n"/>
      <c r="Y130" s="2465" t="n"/>
      <c r="Z130" s="2465" t="n"/>
      <c r="AA130" s="2465" t="n"/>
      <c r="AB130" s="2465" t="n"/>
      <c r="AC130" s="246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69">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65" t="n"/>
      <c r="V131" s="2465" t="n"/>
      <c r="X131" s="2465" t="n"/>
      <c r="Y131" s="2465" t="n"/>
      <c r="Z131" s="2465" t="n"/>
      <c r="AA131" s="2465" t="n"/>
      <c r="AB131" s="2465" t="n"/>
      <c r="AC131" s="246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69">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65" t="n"/>
      <c r="V132" s="2465" t="n"/>
      <c r="X132" s="2465" t="n"/>
      <c r="Y132" s="2465" t="n"/>
      <c r="Z132" s="2465" t="n"/>
      <c r="AA132" s="2465" t="n"/>
      <c r="AB132" s="2465" t="n"/>
      <c r="AC132" s="246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69">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65" t="n"/>
      <c r="V133" s="2465" t="n"/>
      <c r="X133" s="2465" t="n"/>
      <c r="Y133" s="2465" t="n"/>
      <c r="Z133" s="2465" t="n"/>
      <c r="AA133" s="2465" t="n"/>
      <c r="AB133" s="2465" t="n"/>
      <c r="AC133" s="246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69">
      <c r="A134" s="1186">
        <f>BIBLE!E60</f>
        <v/>
      </c>
      <c r="B134" s="2578">
        <f>BIBLE!F60</f>
        <v/>
      </c>
      <c r="C134" s="2499">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6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65" t="n"/>
    </row>
    <row r="135" ht="55" customFormat="1" customHeight="1" s="2469">
      <c r="A135" s="1186">
        <f>BIBLE!E61</f>
        <v/>
      </c>
      <c r="B135" s="2578">
        <f>BIBLE!F61</f>
        <v/>
      </c>
      <c r="C135" s="2499">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6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69">
      <c r="A136" s="1186">
        <f>BIBLE!E62</f>
        <v/>
      </c>
      <c r="B136" s="2578">
        <f>BIBLE!F62</f>
        <v/>
      </c>
      <c r="C136" s="2499">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6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69">
      <c r="A137" s="1186">
        <f>BIBLE!E63</f>
        <v/>
      </c>
      <c r="B137" s="2578">
        <f>BIBLE!F63</f>
        <v/>
      </c>
      <c r="C137" s="2499">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6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69">
      <c r="A138" s="1186">
        <f>BIBLE!E64</f>
        <v/>
      </c>
      <c r="B138" s="2578">
        <f>BIBLE!F64</f>
        <v/>
      </c>
      <c r="C138" s="2499">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6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69">
      <c r="A139" s="1186">
        <f>BIBLE!E65</f>
        <v/>
      </c>
      <c r="B139" s="2578">
        <f>BIBLE!F65</f>
        <v/>
      </c>
      <c r="C139" s="2499">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6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69">
      <c r="A140" s="1186">
        <f>BIBLE!E66</f>
        <v/>
      </c>
      <c r="B140" s="2578">
        <f>BIBLE!F66</f>
        <v/>
      </c>
      <c r="C140" s="2499">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6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69">
      <c r="A141" s="1186">
        <f>BIBLE!E67</f>
        <v/>
      </c>
      <c r="B141" s="2488">
        <f>IF(P140&gt;=R140,BIBLE!F67," ")</f>
        <v/>
      </c>
      <c r="C141" s="2499"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65">
        <f>IF(BIBLE!K67=0,"",BIBLE!K67)</f>
        <v/>
      </c>
      <c r="S141" s="41" t="n"/>
      <c r="T141" s="41" t="n"/>
      <c r="U141" s="41" t="n"/>
      <c r="V141" s="494" t="n"/>
      <c r="W141" s="41" t="n"/>
      <c r="X141" s="2465" t="n"/>
      <c r="Y141" s="2465" t="n"/>
      <c r="Z141" s="2465" t="n"/>
      <c r="AA141" s="2465" t="n"/>
      <c r="AB141" s="2465" t="n"/>
      <c r="AC141" s="246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69">
      <c r="A142" s="1186" t="n"/>
      <c r="B142" s="137">
        <f>IF(P$140&gt;=R$140,"Choix d'école et/ou inscription (primaire et secondaire)","")</f>
        <v/>
      </c>
      <c r="C142" s="2481">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65" t="n"/>
      <c r="S142" s="41" t="n"/>
      <c r="T142" s="41" t="n"/>
      <c r="U142" s="41" t="n"/>
      <c r="V142" s="494" t="n"/>
      <c r="W142" s="41" t="n"/>
      <c r="X142" s="2465" t="n"/>
      <c r="Y142" s="2465" t="n"/>
      <c r="Z142" s="2465" t="n"/>
      <c r="AA142" s="2465" t="n"/>
      <c r="AB142" s="2465" t="n"/>
      <c r="AC142" s="246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69">
      <c r="A143" s="1186" t="n"/>
      <c r="B143" s="137">
        <f>IF(P140&gt;=R140,"Choix de club|programme sportif ou calendrier sportif","")</f>
        <v/>
      </c>
      <c r="C143" s="2481">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65">
        <f>IF(BIBLE!K73=0,"",BIBLE!K73)</f>
        <v/>
      </c>
      <c r="S143" s="41" t="n"/>
      <c r="T143" s="41" t="n"/>
      <c r="U143" s="41" t="n"/>
      <c r="V143" s="494" t="n"/>
      <c r="W143" s="41" t="n"/>
      <c r="X143" s="2465" t="n"/>
      <c r="Y143" s="2465" t="n"/>
      <c r="Z143" s="2465" t="n"/>
      <c r="AA143" s="2465" t="n"/>
      <c r="AB143" s="2465" t="n"/>
      <c r="AC143" s="246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69">
      <c r="A144" s="1186" t="n"/>
      <c r="B144" s="137">
        <f>IF(P140&gt;=R140,"Soins médicaux ou dentaires","")</f>
        <v/>
      </c>
      <c r="C144" s="2481" t="n"/>
      <c r="D144" s="1445" t="n">
        <v>3</v>
      </c>
      <c r="E144" s="1463">
        <f>'TEST_pour PROTOTYPE'!D111</f>
        <v/>
      </c>
      <c r="F144" s="20" t="n"/>
      <c r="G144" s="20" t="n"/>
      <c r="H144" s="20" t="n"/>
      <c r="I144" s="20" t="n"/>
      <c r="J144" s="20" t="n"/>
      <c r="K144" s="20" t="n"/>
      <c r="L144" s="20" t="n"/>
      <c r="M144" s="20" t="n"/>
      <c r="N144" s="20" t="n"/>
      <c r="O144" s="20" t="n"/>
      <c r="P144" s="1460">
        <f>D144*E144</f>
        <v/>
      </c>
      <c r="Q144" s="24" t="n"/>
      <c r="R144" s="2465">
        <f>IF(BIBLE!K78=0,"",BIBLE!K78)</f>
        <v/>
      </c>
      <c r="S144" s="41" t="n"/>
      <c r="T144" s="41" t="n"/>
      <c r="U144" s="41" t="n"/>
      <c r="V144" s="494" t="n"/>
      <c r="W144" s="41" t="n"/>
      <c r="X144" s="2465" t="n"/>
      <c r="Y144" s="2465" t="n"/>
      <c r="Z144" s="2465" t="n"/>
      <c r="AA144" s="2465" t="n"/>
      <c r="AB144" s="2465" t="n"/>
      <c r="AC144" s="246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69">
      <c r="A145" s="1186" t="n"/>
      <c r="B145" s="137">
        <f>IF(P140&gt;=R140,"Déménagement (forçant un changement majeur ou autres)","")</f>
        <v/>
      </c>
      <c r="C145" s="2481" t="n"/>
      <c r="D145" s="1445" t="n">
        <v>10</v>
      </c>
      <c r="E145" s="1463">
        <f>'TEST_pour PROTOTYPE'!D112</f>
        <v/>
      </c>
      <c r="F145" s="20" t="n"/>
      <c r="G145" s="20" t="n"/>
      <c r="H145" s="20" t="n"/>
      <c r="I145" s="20" t="n"/>
      <c r="J145" s="20" t="n"/>
      <c r="K145" s="20" t="n"/>
      <c r="L145" s="20" t="n"/>
      <c r="M145" s="20" t="n"/>
      <c r="N145" s="20" t="n"/>
      <c r="O145" s="20" t="n"/>
      <c r="P145" s="1460">
        <f>D145*E145</f>
        <v/>
      </c>
      <c r="Q145" s="24" t="n"/>
      <c r="R145" s="2465">
        <f>IF(BIBLE!K81=0,"",BIBLE!K81)</f>
        <v/>
      </c>
      <c r="S145" s="41" t="n"/>
      <c r="T145" s="41" t="n"/>
      <c r="U145" s="41" t="n"/>
      <c r="V145" s="494" t="n"/>
      <c r="W145" s="41" t="n"/>
      <c r="X145" s="2465" t="n"/>
      <c r="Y145" s="2465" t="n"/>
      <c r="Z145" s="2465" t="n"/>
      <c r="AA145" s="2465" t="n"/>
      <c r="AB145" s="2465" t="n"/>
      <c r="AC145" s="246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69">
      <c r="A146" s="1186" t="n"/>
      <c r="B146" s="137">
        <f>IF(P140&gt;=R140,"Achat d'une valeur significative (auto, animal,…)","")</f>
        <v/>
      </c>
      <c r="C146" s="2481" t="n"/>
      <c r="D146" s="1445" t="n">
        <v>5</v>
      </c>
      <c r="E146" s="1463">
        <f>'TEST_pour PROTOTYPE'!D113</f>
        <v/>
      </c>
      <c r="F146" s="20" t="n"/>
      <c r="G146" s="20" t="n"/>
      <c r="H146" s="20" t="n"/>
      <c r="I146" s="20" t="n"/>
      <c r="J146" s="20" t="n"/>
      <c r="K146" s="20" t="n"/>
      <c r="L146" s="20" t="n"/>
      <c r="M146" s="20" t="n"/>
      <c r="N146" s="20" t="n"/>
      <c r="O146" s="20" t="n"/>
      <c r="P146" s="1460">
        <f>D146*E146</f>
        <v/>
      </c>
      <c r="Q146" s="24" t="n"/>
      <c r="R146" s="2465" t="n"/>
      <c r="S146" s="41" t="n"/>
      <c r="T146" s="41" t="n"/>
      <c r="U146" s="41" t="n"/>
      <c r="V146" s="494" t="n"/>
      <c r="W146" s="41" t="n"/>
      <c r="X146" s="2465" t="n"/>
      <c r="Y146" s="2465" t="n"/>
      <c r="Z146" s="2465" t="n"/>
      <c r="AA146" s="2465" t="n"/>
      <c r="AB146" s="2465" t="n"/>
      <c r="AC146" s="246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69">
      <c r="A147" s="1186" t="n"/>
      <c r="B147" s="137">
        <f>IF(P140&gt;=R140,"Décisions engendrant des coûts significatifs sans votre consentement préalable","")</f>
        <v/>
      </c>
      <c r="C147" s="2481" t="n"/>
      <c r="D147" s="1445" t="n">
        <v>1</v>
      </c>
      <c r="E147" s="1463">
        <f>'TEST_pour PROTOTYPE'!D114</f>
        <v/>
      </c>
      <c r="F147" s="20" t="n"/>
      <c r="G147" s="20" t="n"/>
      <c r="H147" s="20" t="n"/>
      <c r="I147" s="20" t="n"/>
      <c r="J147" s="20" t="n"/>
      <c r="K147" s="20" t="n"/>
      <c r="L147" s="20" t="n"/>
      <c r="M147" s="20" t="n"/>
      <c r="N147" s="20" t="n"/>
      <c r="O147" s="20" t="n"/>
      <c r="P147" s="1460">
        <f>D147*E147</f>
        <v/>
      </c>
      <c r="Q147" s="24" t="n"/>
      <c r="R147" s="2465" t="n"/>
      <c r="S147" s="41" t="n"/>
      <c r="T147" s="41" t="n"/>
      <c r="U147" s="41" t="n"/>
      <c r="V147" s="494" t="n"/>
      <c r="W147" s="41" t="n"/>
      <c r="X147" s="2465" t="n"/>
      <c r="Y147" s="2465" t="n"/>
      <c r="Z147" s="2465" t="n"/>
      <c r="AA147" s="2465" t="n"/>
      <c r="AB147" s="2465" t="n"/>
      <c r="AC147" s="246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69">
      <c r="A148" s="1186" t="n"/>
      <c r="B148" s="137">
        <f>IF(P140&gt;=R140,"Autre (spécifiez)","")</f>
        <v/>
      </c>
      <c r="C148" s="2481" t="n"/>
      <c r="D148" s="1445" t="inlineStr">
        <is>
          <t>Custom</t>
        </is>
      </c>
      <c r="E148" s="1579" t="n"/>
      <c r="F148" s="20" t="n"/>
      <c r="G148" s="20" t="n"/>
      <c r="H148" s="20" t="n"/>
      <c r="I148" s="20" t="n"/>
      <c r="J148" s="20" t="n"/>
      <c r="K148" s="20" t="n"/>
      <c r="L148" s="20" t="n"/>
      <c r="M148" s="20" t="n"/>
      <c r="N148" s="20" t="n"/>
      <c r="O148" s="20" t="n"/>
      <c r="P148" s="1460" t="n"/>
      <c r="Q148" s="24" t="n"/>
      <c r="R148" s="2465" t="n"/>
      <c r="S148" s="41" t="n"/>
      <c r="T148" s="41" t="n"/>
      <c r="U148" s="41" t="n"/>
      <c r="V148" s="494" t="n"/>
      <c r="W148" s="41" t="n"/>
      <c r="X148" s="2465" t="n"/>
      <c r="Y148" s="2465" t="n"/>
      <c r="Z148" s="2465" t="n"/>
      <c r="AA148" s="2465" t="n"/>
      <c r="AB148" s="2465" t="n"/>
      <c r="AC148" s="246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5">
      <c r="A149" s="1186">
        <f>BIBLE!E68</f>
        <v/>
      </c>
      <c r="B149" s="2578">
        <f>BIBLE!F68</f>
        <v/>
      </c>
      <c r="C149" s="2499">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6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65">
      <c r="A150" s="1186">
        <f>BIBLE!E69</f>
        <v/>
      </c>
      <c r="B150" s="2578">
        <f>BIBLE!F69</f>
        <v/>
      </c>
      <c r="C150" s="2499">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6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65">
      <c r="A151" s="1186">
        <f>BIBLE!E70</f>
        <v/>
      </c>
      <c r="B151" s="2578">
        <f>BIBLE!F70</f>
        <v/>
      </c>
      <c r="C151" s="2499">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6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65">
      <c r="A152" s="1186">
        <f>BIBLE!E71</f>
        <v/>
      </c>
      <c r="B152" s="2488">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6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65">
      <c r="A153" s="1186" t="n"/>
      <c r="B153" s="2453"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65">
      <c r="A154" s="1186">
        <f>BIBLE!E72</f>
        <v/>
      </c>
      <c r="B154" s="2578">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6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65">
      <c r="A155" s="1186">
        <f>BIBLE!E73</f>
        <v/>
      </c>
      <c r="B155" s="2488">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6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65">
      <c r="A156" s="1186">
        <f>BIBLE!E74</f>
        <v/>
      </c>
      <c r="B156" s="2578">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6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65">
      <c r="A157" s="1186">
        <f>BIBLE!E75</f>
        <v/>
      </c>
      <c r="B157" s="2578">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6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65">
      <c r="A158" s="105" t="n"/>
      <c r="B158" s="2578" t="n"/>
      <c r="C158" s="2468" t="n"/>
      <c r="D158" s="2472"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65">
      <c r="A159" s="105" t="n"/>
      <c r="B159" s="2578" t="n"/>
      <c r="D159" s="2472"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65">
      <c r="A160" s="259" t="n"/>
      <c r="B160" s="54" t="n"/>
      <c r="C160" s="277" t="n"/>
      <c r="D160" s="269" t="n"/>
      <c r="P160" s="67" t="n"/>
      <c r="Q160" s="6" t="n"/>
      <c r="X160" s="6" t="n"/>
      <c r="Y160" s="2469" t="inlineStr">
        <is>
          <t>Faible</t>
        </is>
      </c>
      <c r="Z160" s="2465" t="inlineStr">
        <is>
          <t>Faible à modéré</t>
        </is>
      </c>
      <c r="AA160" s="2465" t="inlineStr">
        <is>
          <t>Modéré</t>
        </is>
      </c>
      <c r="AB160" s="2465" t="inlineStr">
        <is>
          <t>Sévère</t>
        </is>
      </c>
      <c r="AC160" s="246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65">
      <c r="A161" s="105" t="n"/>
      <c r="B161" s="2580" t="n"/>
      <c r="C161" s="100" t="n"/>
      <c r="D161" s="266" t="n"/>
      <c r="P161" s="23" t="n"/>
      <c r="Q161" s="24" t="n"/>
      <c r="R161" s="2520" t="n"/>
      <c r="S161" s="2520" t="n"/>
      <c r="T161" s="2520" t="n"/>
      <c r="U161" s="2520" t="n"/>
      <c r="V161" s="2520" t="n"/>
      <c r="W161" s="2520" t="n"/>
      <c r="X161" s="2481"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65" thickBot="1">
      <c r="A162" s="515" t="inlineStr">
        <is>
          <t>Co-parent</t>
        </is>
      </c>
      <c r="B162" s="258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65" thickTop="1">
      <c r="A163" s="1187">
        <f>BIBLE!E80</f>
        <v/>
      </c>
      <c r="B163" s="131">
        <f>IF($P$53&lt;=2,BIBLE!F80,"")</f>
        <v/>
      </c>
      <c r="C163" s="2499">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20"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6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65" thickTop="1">
      <c r="A165" s="1187">
        <f>BIBLE!E81</f>
        <v/>
      </c>
      <c r="B165" s="133">
        <f>BIBLE!F81</f>
        <v/>
      </c>
      <c r="C165" s="2499">
        <f>BIBLE!O81</f>
        <v/>
      </c>
      <c r="D165" s="1278">
        <f>BIBLE!L81</f>
        <v/>
      </c>
      <c r="E165" s="19" t="n"/>
      <c r="F165" s="19" t="n"/>
      <c r="G165" s="20" t="n"/>
      <c r="H165" s="20" t="n"/>
      <c r="I165" s="20" t="n"/>
      <c r="J165" s="20" t="n"/>
      <c r="K165" s="2469" t="n"/>
      <c r="L165" s="19" t="n">
        <v>1</v>
      </c>
      <c r="M165" s="19" t="n"/>
      <c r="N165" s="19" t="n"/>
      <c r="O165" s="19" t="n"/>
      <c r="P165" s="1547">
        <f>'TEST_pour PROTOTYPE'!D148</f>
        <v/>
      </c>
      <c r="Q165" s="24">
        <f>P165*D165</f>
        <v/>
      </c>
      <c r="R165" s="2465">
        <f>IF(BIBLE!K81=0,"",BIBLE!K81)</f>
        <v/>
      </c>
      <c r="S165" s="2520" t="n"/>
      <c r="T165" s="2520" t="n"/>
      <c r="U165" s="2520" t="n"/>
      <c r="V165" s="2520" t="n"/>
      <c r="W165" s="2520"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65">
      <c r="A166" s="1187">
        <f>BIBLE!E82</f>
        <v/>
      </c>
      <c r="B166" s="133">
        <f>BIBLE!F82</f>
        <v/>
      </c>
      <c r="C166" s="2499">
        <f>BIBLE!O82</f>
        <v/>
      </c>
      <c r="D166" s="1278">
        <f>BIBLE!L82</f>
        <v/>
      </c>
      <c r="K166" s="2469" t="n">
        <v>1</v>
      </c>
      <c r="P166" s="1547">
        <f>'TEST_pour PROTOTYPE'!D149</f>
        <v/>
      </c>
      <c r="Q166" s="24">
        <f>P166*D166</f>
        <v/>
      </c>
      <c r="R166" s="2465">
        <f>IF(BIBLE!K82=0,"",BIBLE!K82)</f>
        <v/>
      </c>
      <c r="S166" s="2520" t="n"/>
      <c r="T166" s="2520" t="n"/>
      <c r="U166" s="2520" t="n"/>
      <c r="V166" s="2520" t="n"/>
      <c r="W166" s="2520"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65">
      <c r="A167" s="1187">
        <f>BIBLE!E83</f>
        <v/>
      </c>
      <c r="B167" s="2491">
        <f>IF(P166&gt;=R166,BIBLE!F83,"")</f>
        <v/>
      </c>
      <c r="C167" s="100" t="inlineStr">
        <is>
          <t>Intentionnelle</t>
        </is>
      </c>
      <c r="D167" s="1641" t="n">
        <v>1</v>
      </c>
      <c r="E167" s="37">
        <f>IF(P$167=D167,1,"x")</f>
        <v/>
      </c>
      <c r="K167" s="2469" t="n"/>
      <c r="P167" s="1548">
        <f>'TEST_pour PROTOTYPE'!D150</f>
        <v/>
      </c>
      <c r="Q167" s="24" t="n"/>
      <c r="R167" s="2520" t="n"/>
      <c r="S167" s="2520" t="n"/>
      <c r="T167" s="2520" t="n"/>
      <c r="U167" s="2520" t="n"/>
      <c r="V167" s="2520" t="n"/>
      <c r="W167" s="2520"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65">
      <c r="A168" s="1187" t="n"/>
      <c r="B168" s="2492" t="n"/>
      <c r="C168" s="100" t="inlineStr">
        <is>
          <t>Inconsciente</t>
        </is>
      </c>
      <c r="D168" s="1642" t="n">
        <v>2</v>
      </c>
      <c r="E168" s="37">
        <f>IF(P$167=D168,1,"x")</f>
        <v/>
      </c>
      <c r="K168" s="2469" t="n"/>
      <c r="P168" s="23" t="n"/>
      <c r="Q168" s="24" t="n"/>
      <c r="R168" s="2520" t="n"/>
      <c r="S168" s="2520" t="n"/>
      <c r="T168" s="2520" t="n"/>
      <c r="U168" s="2520" t="n"/>
      <c r="V168" s="2520" t="n"/>
      <c r="W168" s="2520"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65" thickBot="1">
      <c r="A169" s="1187" t="n"/>
      <c r="B169" s="133" t="n"/>
      <c r="C169" s="100" t="n"/>
      <c r="D169" s="1643" t="n"/>
      <c r="E169" s="468">
        <f>$E$52</f>
        <v/>
      </c>
      <c r="F169" s="275">
        <f>$F$52</f>
        <v/>
      </c>
      <c r="G169" s="275">
        <f>$G$52</f>
        <v/>
      </c>
      <c r="H169" s="275">
        <f>$H$52</f>
        <v/>
      </c>
      <c r="I169" s="275">
        <f>$I$52</f>
        <v/>
      </c>
      <c r="J169" s="275">
        <f>$J$52</f>
        <v/>
      </c>
      <c r="K169" s="275">
        <f>$K$52</f>
        <v/>
      </c>
      <c r="N169" s="2520" t="n"/>
      <c r="O169" s="2520"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65" thickTop="1">
      <c r="A170" s="1187">
        <f>BIBLE!E84</f>
        <v/>
      </c>
      <c r="B170" s="133">
        <f>BIBLE!F84</f>
        <v/>
      </c>
      <c r="C170" s="2499">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65">
        <f>IF(BIBLE!K84=0,"",BIBLE!K84)</f>
        <v/>
      </c>
      <c r="S170" s="2520" t="n"/>
      <c r="T170" s="2520" t="n"/>
      <c r="U170" s="2520" t="n"/>
      <c r="V170" s="6">
        <f>Q170</f>
        <v/>
      </c>
      <c r="W170" s="2520"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65">
      <c r="A171" s="1187">
        <f>BIBLE!E85</f>
        <v/>
      </c>
      <c r="B171" s="133">
        <f>BIBLE!F85</f>
        <v/>
      </c>
      <c r="C171" s="2499">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65">
        <f>IF(BIBLE!K85=0,"",BIBLE!K85)</f>
        <v/>
      </c>
      <c r="S171" s="2520" t="n"/>
      <c r="T171" s="2520" t="n"/>
      <c r="U171" s="2520"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65">
      <c r="A172" s="1187">
        <f>BIBLE!E86</f>
        <v/>
      </c>
      <c r="B172" s="134">
        <f>IF(P171&gt;=R171,BIBLE!F86,"")</f>
        <v/>
      </c>
      <c r="C172" s="2499">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65">
        <f>IF(BIBLE!K86=0,"",BIBLE!K86)</f>
        <v/>
      </c>
      <c r="S172" s="2520" t="n"/>
      <c r="T172" s="2520" t="n"/>
      <c r="U172" s="2520" t="n"/>
      <c r="V172" s="6" t="n"/>
      <c r="W172" s="2520"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65">
      <c r="A173" s="1187">
        <f>BIBLE!E87</f>
        <v/>
      </c>
      <c r="B173" s="133">
        <f>BIBLE!F87</f>
        <v/>
      </c>
      <c r="C173" s="2499">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65">
        <f>IF(BIBLE!K87=0,"",BIBLE!K87)</f>
        <v/>
      </c>
      <c r="S173" s="2520" t="n"/>
      <c r="T173" s="2520" t="n"/>
      <c r="U173" s="2520"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65">
      <c r="A174" s="1187">
        <f>BIBLE!E88</f>
        <v/>
      </c>
      <c r="B174" s="134">
        <f>IF(P173&gt;=R173,BIBLE!F88,"")</f>
        <v/>
      </c>
      <c r="C174" s="2499">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65">
        <f>IF(BIBLE!K88=0,"",BIBLE!K88)</f>
        <v/>
      </c>
      <c r="S174" s="2520" t="n"/>
      <c r="T174" s="2520" t="n"/>
      <c r="U174" s="2520" t="n"/>
      <c r="V174" s="6" t="n"/>
      <c r="W174" s="2520"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65">
      <c r="A175" s="1187">
        <f>BIBLE!E89</f>
        <v/>
      </c>
      <c r="B175" s="133">
        <f>BIBLE!F89</f>
        <v/>
      </c>
      <c r="C175" s="2499">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65">
        <f>IF(BIBLE!K89=0,"",BIBLE!K89)</f>
        <v/>
      </c>
      <c r="S175" s="2520" t="n"/>
      <c r="T175" s="2520" t="n"/>
      <c r="U175" s="2520"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65">
      <c r="A176" s="1187">
        <f>BIBLE!E90</f>
        <v/>
      </c>
      <c r="B176" s="134">
        <f>IF(P175&gt;=R175,BIBLE!F90,"")</f>
        <v/>
      </c>
      <c r="C176" s="2499">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65">
        <f>IF(BIBLE!K90=0,"",BIBLE!K90)</f>
        <v/>
      </c>
      <c r="S176" s="2520" t="n"/>
      <c r="T176" s="2520" t="n"/>
      <c r="U176" s="2520" t="n"/>
      <c r="V176" s="6" t="n"/>
      <c r="W176" s="2520"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65">
      <c r="A177" s="1187">
        <f>BIBLE!E91</f>
        <v/>
      </c>
      <c r="B177" s="463">
        <f>BIBLE!F91</f>
        <v/>
      </c>
      <c r="C177" s="2499">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65">
        <f>IF(BIBLE!K91=0,"",BIBLE!K91)</f>
        <v/>
      </c>
      <c r="S177" s="2520" t="n"/>
      <c r="T177" s="2520" t="n"/>
      <c r="U177" s="2520"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20" t="n"/>
      <c r="AU177" s="6">
        <f>IF($Q177&gt;0,X$109*$D177,0)</f>
        <v/>
      </c>
      <c r="AV177" s="6">
        <f>IF($Q177&gt;0,Y$109*$D177,0)</f>
        <v/>
      </c>
      <c r="AW177" s="6">
        <f>IF($Q177&gt;0,Z$109*$D177,0)</f>
        <v/>
      </c>
      <c r="AX177" s="6">
        <f>IF($Q177&gt;0,AA$109*$D177,0)</f>
        <v/>
      </c>
      <c r="AY177" s="6">
        <f>IF($Q177&gt;0,AB$109*$D177,0)</f>
        <v/>
      </c>
      <c r="AZ177" s="6">
        <f>IF($Q177&gt;0,AC$109*$D177,0)</f>
        <v/>
      </c>
      <c r="BB177" s="2501" t="inlineStr">
        <is>
          <t>Deux SQ, mais à un niveau différent, on prend le max entre la Q et les SQ</t>
        </is>
      </c>
    </row>
    <row r="178" ht="66" customFormat="1" customHeight="1" s="2465">
      <c r="A178" s="1187">
        <f>BIBLE!E92</f>
        <v/>
      </c>
      <c r="B178" s="1202">
        <f>IF(P177&gt;=R177,BIBLE!F92,"")</f>
        <v/>
      </c>
      <c r="C178" s="2499">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65">
        <f>IF(BIBLE!K92=0,"",BIBLE!K92)</f>
        <v/>
      </c>
      <c r="S178" s="2520" t="n"/>
      <c r="T178" s="2520" t="n"/>
      <c r="U178" s="2520"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20" t="n"/>
      <c r="AU178" s="6">
        <f>IF($Q178&gt;0,X$109*$D178,0)</f>
        <v/>
      </c>
      <c r="AV178" s="6">
        <f>IF($Q178&gt;0,Y$109*$D178,0)</f>
        <v/>
      </c>
      <c r="AW178" s="6">
        <f>IF($Q178&gt;0,Z$109*$D178,0)</f>
        <v/>
      </c>
      <c r="AX178" s="6">
        <f>IF($Q178&gt;0,AA$109*$D178,0)</f>
        <v/>
      </c>
      <c r="AY178" s="6">
        <f>IF($Q178&gt;0,AB$109*$D178,0)</f>
        <v/>
      </c>
      <c r="AZ178" s="6">
        <f>IF($Q178&gt;0,AC$109*$D178,0)</f>
        <v/>
      </c>
    </row>
    <row r="179" ht="66" customFormat="1" customHeight="1" s="2465">
      <c r="A179" s="1187">
        <f>BIBLE!E93</f>
        <v/>
      </c>
      <c r="B179" s="134">
        <f>IF(P178&gt;=R178,BIBLE!F93,"")</f>
        <v/>
      </c>
      <c r="C179" s="2499">
        <f>BIBLE!O93</f>
        <v/>
      </c>
      <c r="D179" s="1278">
        <f>BIBLE!L93</f>
        <v/>
      </c>
      <c r="E179" s="19" t="n"/>
      <c r="F179" s="19" t="n"/>
      <c r="G179" s="19" t="n"/>
      <c r="H179" s="2465" t="n">
        <v>1</v>
      </c>
      <c r="P179" s="1547">
        <f>'TEST_pour PROTOTYPE'!D160</f>
        <v/>
      </c>
      <c r="Q179" s="24">
        <f>P179*D179</f>
        <v/>
      </c>
      <c r="R179" s="2465">
        <f>IF(BIBLE!K93=0,"",BIBLE!K93)</f>
        <v/>
      </c>
      <c r="S179" s="2520" t="n"/>
      <c r="T179" s="2520" t="n"/>
      <c r="U179" s="2520"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20" t="n"/>
      <c r="AU179" s="6">
        <f>IF($Q179&gt;0,X$109*$D179,0)</f>
        <v/>
      </c>
      <c r="AV179" s="6">
        <f>IF($Q179&gt;0,Y$109*$D179,0)</f>
        <v/>
      </c>
      <c r="AW179" s="6">
        <f>IF($Q179&gt;0,Z$109*$D179,0)</f>
        <v/>
      </c>
      <c r="AX179" s="6">
        <f>IF($Q179&gt;0,AA$109*$D179,0)</f>
        <v/>
      </c>
      <c r="AY179" s="6">
        <f>IF($Q179&gt;0,AB$109*$D179,0)</f>
        <v/>
      </c>
      <c r="AZ179" s="6">
        <f>IF($Q179&gt;0,AC$109*$D179,0)</f>
        <v/>
      </c>
    </row>
    <row r="180" ht="66" customFormat="1" customHeight="1" s="2465">
      <c r="A180" s="1187">
        <f>BIBLE!E94</f>
        <v/>
      </c>
      <c r="B180" s="133">
        <f>BIBLE!F94</f>
        <v/>
      </c>
      <c r="C180" s="2499">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65">
        <f>IF(BIBLE!K94=0,"",BIBLE!K94)</f>
        <v/>
      </c>
      <c r="S180" s="2520" t="n"/>
      <c r="T180" s="2520" t="n"/>
      <c r="U180" s="2520"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65">
      <c r="A181" s="1187">
        <f>BIBLE!E95</f>
        <v/>
      </c>
      <c r="B181" s="1202">
        <f>IF(P180&gt;=R180,BIBLE!F95,"")</f>
        <v/>
      </c>
      <c r="C181" s="2499">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65">
        <f>IF(BIBLE!K95=0,"",BIBLE!K95)</f>
        <v/>
      </c>
      <c r="S181" s="2520" t="n"/>
      <c r="T181" s="2520" t="n"/>
      <c r="U181" s="2520" t="n"/>
      <c r="V181" s="6" t="n"/>
      <c r="W181" s="2520"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65">
      <c r="A182" s="1187">
        <f>BIBLE!E96</f>
        <v/>
      </c>
      <c r="B182" s="133">
        <f>BIBLE!F96</f>
        <v/>
      </c>
      <c r="C182" s="2499">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65">
        <f>IF(BIBLE!K96=0,"",BIBLE!K96)</f>
        <v/>
      </c>
      <c r="S182" s="2520" t="n"/>
      <c r="T182" s="2520" t="n"/>
      <c r="U182" s="2520" t="n"/>
      <c r="V182" s="6">
        <f>Q182</f>
        <v/>
      </c>
      <c r="W182" s="2520"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65">
      <c r="A183" s="1187">
        <f>BIBLE!E97</f>
        <v/>
      </c>
      <c r="B183" s="133">
        <f>BIBLE!F97</f>
        <v/>
      </c>
      <c r="C183" s="2499">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65">
        <f>IF(BIBLE!K97=0,"",BIBLE!K97)</f>
        <v/>
      </c>
      <c r="S183" s="2520" t="n"/>
      <c r="T183" s="2520" t="n"/>
      <c r="U183" s="2520"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65">
      <c r="A184" s="1187">
        <f>BIBLE!E98</f>
        <v/>
      </c>
      <c r="B184" s="134">
        <f>IF(P183&gt;=R183,BIBLE!F98,"")</f>
        <v/>
      </c>
      <c r="C184" s="2499">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65">
        <f>IF(BIBLE!K98=0,"",BIBLE!K98)</f>
        <v/>
      </c>
      <c r="S184" s="2520" t="n"/>
      <c r="T184" s="2520" t="n"/>
      <c r="U184" s="2520" t="n"/>
      <c r="V184" s="6" t="n"/>
      <c r="W184" s="2520"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65">
      <c r="A185" s="1187">
        <f>BIBLE!E99</f>
        <v/>
      </c>
      <c r="B185" s="133">
        <f>BIBLE!F99</f>
        <v/>
      </c>
      <c r="C185" s="2499">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65">
        <f>IF(BIBLE!K99=0,"",BIBLE!K99)</f>
        <v/>
      </c>
      <c r="S185" s="2520" t="n"/>
      <c r="T185" s="2520" t="n"/>
      <c r="U185" s="2520" t="n"/>
      <c r="V185" s="6">
        <f>Q185</f>
        <v/>
      </c>
      <c r="W185" s="2520"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65">
      <c r="A186" s="1187">
        <f>BIBLE!E100</f>
        <v/>
      </c>
      <c r="B186" s="133">
        <f>BIBLE!F100</f>
        <v/>
      </c>
      <c r="C186" s="2499">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65">
        <f>IF(BIBLE!K100=0,"",BIBLE!K100)</f>
        <v/>
      </c>
      <c r="S186" s="2520" t="n"/>
      <c r="T186" s="2520" t="n"/>
      <c r="U186" s="2520"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20" t="n"/>
      <c r="AU186" s="6">
        <f>IF($Q186&gt;0,X$109*$D186,0)</f>
        <v/>
      </c>
      <c r="AV186" s="6">
        <f>IF($Q186&gt;0,Y$109*$D186,0)</f>
        <v/>
      </c>
      <c r="AW186" s="6">
        <f>IF($Q186&gt;0,Z$109*$D186,0)</f>
        <v/>
      </c>
      <c r="AX186" s="6">
        <f>IF($Q186&gt;0,AA$109*$D186,0)</f>
        <v/>
      </c>
      <c r="AY186" s="6">
        <f>IF($Q186&gt;0,AB$109*$D186,0)</f>
        <v/>
      </c>
      <c r="AZ186" s="6">
        <f>IF($Q186&gt;0,AC$109*$D186,0)</f>
        <v/>
      </c>
      <c r="BB186" s="2501" t="inlineStr">
        <is>
          <t>Plusieurs SQ à un même niveau, on additionne les SQ et on prend le max entre la Q et les SQ</t>
        </is>
      </c>
    </row>
    <row r="187" ht="66" customFormat="1" customHeight="1" s="2465">
      <c r="A187" s="1187">
        <f>BIBLE!E101</f>
        <v/>
      </c>
      <c r="B187" s="1202">
        <f>IF($P$186&gt;=$R$186,BIBLE!F101,"")</f>
        <v/>
      </c>
      <c r="C187" s="2499">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65">
        <f>IF(BIBLE!K101=0,"",BIBLE!K101)</f>
        <v/>
      </c>
      <c r="S187" s="2520" t="n"/>
      <c r="T187" s="2520" t="n"/>
      <c r="U187" s="2520"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20"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5">
      <c r="A188" s="1187">
        <f>BIBLE!E102</f>
        <v/>
      </c>
      <c r="B188" s="1202">
        <f>IF(AND($P$186&gt;=$R$186,$P$181=0),BIBLE!F102,"")</f>
        <v/>
      </c>
      <c r="C188" s="2499">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6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5">
      <c r="A189" s="1187">
        <f>BIBLE!E103</f>
        <v/>
      </c>
      <c r="B189" s="1202">
        <f>IF($P$186&gt;=$R$186,BIBLE!F103,"")</f>
        <v/>
      </c>
      <c r="C189" s="2499">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6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5">
      <c r="A190" s="1187">
        <f>BIBLE!E104</f>
        <v/>
      </c>
      <c r="B190" s="133">
        <f>IF(P42&lt;&gt;1,BIBLE!F104,"")</f>
        <v/>
      </c>
      <c r="C190" s="2499">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6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69">
      <c r="A191" s="1187">
        <f>BIBLE!E105</f>
        <v/>
      </c>
      <c r="B191" s="133">
        <f>IF(P46&lt;&gt;1,BIBLE!F105,"")</f>
        <v/>
      </c>
      <c r="C191" s="2499">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65">
        <f>IF(BIBLE!K105=0,"",BIBLE!K105)</f>
        <v/>
      </c>
      <c r="S191" s="2520" t="n"/>
      <c r="T191" s="2520" t="n"/>
      <c r="U191" s="2520" t="n"/>
      <c r="V191" s="6">
        <f>IF(P191&gt;=R191,IF(Q191&gt;Q192,Q191,Q192),Q191)</f>
        <v/>
      </c>
      <c r="W191" s="246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69">
      <c r="A192" s="1187">
        <f>BIBLE!E106</f>
        <v/>
      </c>
      <c r="B192" s="134">
        <f>IF(P191&gt;=R191,BIBLE!F106,"")</f>
        <v/>
      </c>
      <c r="C192" s="2499">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65">
        <f>IF(BIBLE!K106=0,"",BIBLE!K106)</f>
        <v/>
      </c>
      <c r="S192" s="2465" t="n"/>
      <c r="T192" s="2465" t="n"/>
      <c r="U192" s="2465" t="n"/>
      <c r="V192" s="6" t="n"/>
      <c r="W192" s="246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69" t="inlineStr">
        <is>
          <t>On prend le MAX entre PFAb et PFAb1</t>
        </is>
      </c>
      <c r="BC192" s="1250" t="n"/>
      <c r="BD192" s="1250" t="n"/>
      <c r="BE192" s="1250" t="n"/>
      <c r="BF192" s="1250" t="n"/>
      <c r="BG192" s="1250" t="n"/>
      <c r="BH192" s="1250" t="n"/>
      <c r="BI192" s="1250" t="n"/>
      <c r="BJ192" s="1250" t="n"/>
      <c r="BK192" s="1250" t="n"/>
      <c r="BL192" s="1250" t="n"/>
      <c r="BM192" s="2469" t="inlineStr">
        <is>
          <t>On prend la somme des SQ a et b</t>
        </is>
      </c>
      <c r="BU192" s="2469" t="inlineStr">
        <is>
          <t>On prend alors le MAX</t>
        </is>
      </c>
    </row>
    <row r="193" ht="63" customFormat="1" customHeight="1" s="2469">
      <c r="A193" s="1187">
        <f>BIBLE!E107</f>
        <v/>
      </c>
      <c r="B193" s="133">
        <f>BIBLE!F107</f>
        <v/>
      </c>
      <c r="C193" s="2499">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65">
        <f>IF(BIBLE!K107=0,"",BIBLE!K107)</f>
        <v/>
      </c>
      <c r="S193" s="2465" t="n"/>
      <c r="T193" s="2465" t="n"/>
      <c r="U193" s="246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69">
      <c r="A194" s="1187">
        <f>BIBLE!E108</f>
        <v/>
      </c>
      <c r="B194" s="134">
        <f>IF(P193&gt;=R193,BIBLE!F108,"")</f>
        <v/>
      </c>
      <c r="C194" s="2499">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65">
        <f>IF(BIBLE!K108=0,"",BIBLE!K108)</f>
        <v/>
      </c>
      <c r="S194" s="2465" t="n"/>
      <c r="T194" s="2465" t="n"/>
      <c r="U194" s="2465" t="n"/>
      <c r="V194" s="2465" t="n"/>
      <c r="AE194" s="473" t="n"/>
      <c r="AF194" s="38" t="n"/>
      <c r="AG194" s="38" t="n"/>
      <c r="AH194" s="69" t="n"/>
      <c r="AI194" s="69" t="n"/>
      <c r="AJ194" s="69" t="n"/>
      <c r="AK194" s="677" t="n"/>
      <c r="AL194" s="677" t="n"/>
      <c r="AM194" s="677" t="n"/>
      <c r="AN194" s="677" t="n"/>
      <c r="AO194" s="677" t="n"/>
      <c r="AP194" s="677" t="n"/>
      <c r="AQ194" s="677" t="n"/>
      <c r="AR194" s="677" t="n"/>
      <c r="AS194" s="6">
        <f>Q194</f>
        <v/>
      </c>
      <c r="AT194" s="2465" t="n"/>
      <c r="AU194" s="6">
        <f>IF($Q194&gt;0,X$109*$D194,0)</f>
        <v/>
      </c>
      <c r="AV194" s="6">
        <f>IF($Q194&gt;0,Y$109*$D194,0)</f>
        <v/>
      </c>
      <c r="AW194" s="6">
        <f>IF($Q194&gt;0,Z$109*$D194,0)</f>
        <v/>
      </c>
      <c r="AX194" s="6">
        <f>IF($Q194&gt;0,AA$109*$D194,0)</f>
        <v/>
      </c>
      <c r="AY194" s="6">
        <f>IF($Q194&gt;0,AB$109*$D194,0)</f>
        <v/>
      </c>
      <c r="AZ194" s="6">
        <f>IF($Q194&gt;0,AC$109*$D194,0)</f>
        <v/>
      </c>
      <c r="BB194" s="2469" t="inlineStr">
        <is>
          <t>Niveau SQ1</t>
        </is>
      </c>
      <c r="BD194" s="6">
        <f>Q194</f>
        <v/>
      </c>
      <c r="BE194" s="246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69">
      <c r="A195" s="1187">
        <f>BIBLE!E109</f>
        <v/>
      </c>
      <c r="B195" s="134">
        <f>IF(P193&gt;=R193,BIBLE!F109,"")</f>
        <v/>
      </c>
      <c r="C195" s="2499">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65">
        <f>IF(BIBLE!K109=0,"",BIBLE!K109)</f>
        <v/>
      </c>
      <c r="S195" s="2465" t="n"/>
      <c r="T195" s="2465" t="n"/>
      <c r="U195" s="2465" t="n"/>
      <c r="V195" s="2465" t="n"/>
      <c r="AE195" s="473" t="n"/>
      <c r="AF195" s="38" t="n"/>
      <c r="AG195" s="38" t="n"/>
      <c r="AH195" s="69" t="n"/>
      <c r="AI195" s="69" t="n"/>
      <c r="AJ195" s="69" t="n"/>
      <c r="AK195" s="677" t="n"/>
      <c r="AL195" s="677" t="n"/>
      <c r="AM195" s="677" t="n"/>
      <c r="AN195" s="677" t="n"/>
      <c r="AO195" s="677" t="n"/>
      <c r="AP195" s="677" t="n"/>
      <c r="AQ195" s="677" t="n"/>
      <c r="AR195" s="677" t="n"/>
      <c r="AS195" s="6">
        <f>Q195</f>
        <v/>
      </c>
      <c r="AT195" s="2465" t="n"/>
      <c r="AU195" s="6">
        <f>IF($Q195&gt;0,X$109*$D195,0)</f>
        <v/>
      </c>
      <c r="AV195" s="6">
        <f>IF($Q195&gt;0,Y$109*$D195,0)</f>
        <v/>
      </c>
      <c r="AW195" s="6">
        <f>IF($Q195&gt;0,Z$109*$D195,0)</f>
        <v/>
      </c>
      <c r="AX195" s="6">
        <f>IF($Q195&gt;0,AA$109*$D195,0)</f>
        <v/>
      </c>
      <c r="AY195" s="6">
        <f>IF($Q195&gt;0,AB$109*$D195,0)</f>
        <v/>
      </c>
      <c r="AZ195" s="6">
        <f>IF($Q195&gt;0,AC$109*$D195,0)</f>
        <v/>
      </c>
      <c r="BB195" s="2469" t="inlineStr">
        <is>
          <t>Niveau SQ1</t>
        </is>
      </c>
      <c r="BD195" s="6">
        <f>MAX(AS195:AS196)</f>
        <v/>
      </c>
      <c r="BE195" s="2465" t="n"/>
      <c r="BF195" s="6">
        <f>MAX(AU195:AU196)</f>
        <v/>
      </c>
      <c r="BG195" s="6">
        <f>MAX(AV195:AV196)</f>
        <v/>
      </c>
      <c r="BH195" s="6">
        <f>MAX(AW195:AW196)</f>
        <v/>
      </c>
      <c r="BI195" s="6">
        <f>MAX(AX195:AX196)</f>
        <v/>
      </c>
      <c r="BJ195" s="6">
        <f>MAX(AY195:AY196)</f>
        <v/>
      </c>
      <c r="BK195" s="6">
        <f>MAX(AZ195:AZ196)</f>
        <v/>
      </c>
    </row>
    <row r="196" ht="63" customFormat="1" customHeight="1" s="2469">
      <c r="A196" s="1187">
        <f>BIBLE!E110</f>
        <v/>
      </c>
      <c r="B196" s="134">
        <f>IF(P195&gt;=R195,BIBLE!F110,"")</f>
        <v/>
      </c>
      <c r="C196" s="2499">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65">
        <f>IF(BIBLE!K110=0,"",BIBLE!K110)</f>
        <v/>
      </c>
      <c r="S196" s="273" t="n"/>
      <c r="T196" s="273" t="n"/>
      <c r="U196" s="273" t="n"/>
      <c r="V196" s="2465" t="n"/>
      <c r="AE196" s="473" t="n"/>
      <c r="AF196" s="38" t="n"/>
      <c r="AG196" s="38" t="n"/>
      <c r="AH196" s="69" t="n"/>
      <c r="AI196" s="69" t="n"/>
      <c r="AJ196" s="69" t="n"/>
      <c r="AK196" s="677" t="n"/>
      <c r="AL196" s="677" t="n"/>
      <c r="AM196" s="677" t="n"/>
      <c r="AN196" s="677" t="n"/>
      <c r="AO196" s="677" t="n"/>
      <c r="AP196" s="677" t="n"/>
      <c r="AQ196" s="677" t="n"/>
      <c r="AR196" s="677" t="n"/>
      <c r="AS196" s="6">
        <f>Q196</f>
        <v/>
      </c>
      <c r="AT196" s="2465" t="n"/>
      <c r="AU196" s="6">
        <f>IF($Q196&gt;0,X$109*$D196,0)</f>
        <v/>
      </c>
      <c r="AV196" s="6">
        <f>IF($Q196&gt;0,Y$109*$D196,0)</f>
        <v/>
      </c>
      <c r="AW196" s="6">
        <f>IF($Q196&gt;0,Z$109*$D196,0)</f>
        <v/>
      </c>
      <c r="AX196" s="6">
        <f>IF($Q196&gt;0,AA$109*$D196,0)</f>
        <v/>
      </c>
      <c r="AY196" s="6">
        <f>IF($Q196&gt;0,AB$109*$D196,0)</f>
        <v/>
      </c>
      <c r="AZ196" s="6">
        <f>IF($Q196&gt;0,AC$109*$D196,0)</f>
        <v/>
      </c>
      <c r="BD196" s="6" t="n"/>
      <c r="BE196" s="2520" t="n"/>
      <c r="BF196" s="6" t="n"/>
      <c r="BG196" s="6" t="n"/>
      <c r="BH196" s="6" t="n"/>
      <c r="BI196" s="6" t="n"/>
      <c r="BJ196" s="6" t="n"/>
      <c r="BK196" s="6" t="n"/>
    </row>
    <row r="197" ht="63" customFormat="1" customHeight="1" s="2469">
      <c r="A197" s="1187">
        <f>BIBLE!E111</f>
        <v/>
      </c>
      <c r="B197" s="133">
        <f>BIBLE!F111</f>
        <v/>
      </c>
      <c r="C197" s="2499">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6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69">
      <c r="A198" s="1187">
        <f>BIBLE!E112</f>
        <v/>
      </c>
      <c r="B198" s="133">
        <f>BIBLE!F112</f>
        <v/>
      </c>
      <c r="C198" s="2499">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6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69">
      <c r="A199" s="1187">
        <f>BIBLE!E113</f>
        <v/>
      </c>
      <c r="B199" s="133">
        <f>BIBLE!F113</f>
        <v/>
      </c>
      <c r="C199" s="2499">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65">
        <f>IF(BIBLE!K113=0,"",BIBLE!K113)</f>
        <v/>
      </c>
      <c r="S199" s="273" t="n"/>
      <c r="T199" s="273" t="n"/>
      <c r="U199" s="273" t="n"/>
      <c r="V199" s="6">
        <f>IF(P199&gt;=R199,IF(Q199&gt;Q200,Q199,Q200),Q199)</f>
        <v/>
      </c>
      <c r="W199" s="246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69">
      <c r="A200" s="1187">
        <f>BIBLE!E114</f>
        <v/>
      </c>
      <c r="B200" s="134">
        <f>IF(P199&gt;=R199,BIBLE!F114,"")</f>
        <v/>
      </c>
      <c r="C200" s="2499">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6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1" t="inlineStr">
        <is>
          <t>Plusieurs SQ au même niveau, les additionner</t>
        </is>
      </c>
    </row>
    <row r="201" ht="63" customFormat="1" customHeight="1" s="2469">
      <c r="A201" s="1187">
        <f>BIBLE!E115</f>
        <v/>
      </c>
      <c r="B201" s="133">
        <f>BIBLE!F115</f>
        <v/>
      </c>
      <c r="C201" s="2499">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65">
        <f>IF(BIBLE!K115=0,"",BIBLE!K115)</f>
        <v/>
      </c>
      <c r="S201" s="2520" t="n"/>
      <c r="T201" s="2520" t="n"/>
      <c r="U201" s="2520" t="n"/>
      <c r="V201" s="6">
        <f>MAX(AS201:AS204)</f>
        <v/>
      </c>
      <c r="W201" s="2465" t="n"/>
      <c r="X201" s="6">
        <f>MAX(AU201:AU204)</f>
        <v/>
      </c>
      <c r="Y201" s="6">
        <f>MAX(AV201:AV204)</f>
        <v/>
      </c>
      <c r="Z201" s="6">
        <f>MAX(AW201:AW204)</f>
        <v/>
      </c>
      <c r="AA201" s="6">
        <f>MAX(AX201:AX204)</f>
        <v/>
      </c>
      <c r="AB201" s="6">
        <f>MAX(AY201:AY204)</f>
        <v/>
      </c>
      <c r="AC201" s="6">
        <f>MAX(AZ201:AZ204)</f>
        <v/>
      </c>
      <c r="AD201" s="246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20" t="n"/>
      <c r="AU201" s="6">
        <f>IF($Q201&gt;0,X$109*$D201,0)</f>
        <v/>
      </c>
      <c r="AV201" s="6">
        <f>IF($Q201&gt;0,Y$109*$D201,0)</f>
        <v/>
      </c>
      <c r="AW201" s="6">
        <f>IF($Q201&gt;0,Z$109*$D201,0)</f>
        <v/>
      </c>
      <c r="AX201" s="6">
        <f>IF($Q201&gt;0,AA$109*$D201,0)</f>
        <v/>
      </c>
      <c r="AY201" s="6">
        <f>IF($Q201&gt;0,AB$109*$D201,0)</f>
        <v/>
      </c>
      <c r="AZ201" s="6">
        <f>IF($Q201&gt;0,AC$109*$D201,0)</f>
        <v/>
      </c>
      <c r="BA201" s="2465" t="n"/>
      <c r="BB201" s="6">
        <f>AS201</f>
        <v/>
      </c>
      <c r="BC201" s="2465" t="n"/>
      <c r="BD201" s="6">
        <f>AU201</f>
        <v/>
      </c>
      <c r="BE201" s="6">
        <f>AV201</f>
        <v/>
      </c>
      <c r="BF201" s="6">
        <f>AW201</f>
        <v/>
      </c>
      <c r="BG201" s="6">
        <f>AX201</f>
        <v/>
      </c>
      <c r="BH201" s="6">
        <f>AY201</f>
        <v/>
      </c>
      <c r="BI201" s="6">
        <f>AZ201</f>
        <v/>
      </c>
      <c r="BJ201" s="6" t="n"/>
      <c r="BK201" s="6" t="n"/>
    </row>
    <row r="202" ht="63" customFormat="1" customHeight="1" s="2469">
      <c r="A202" s="1187">
        <f>BIBLE!E116</f>
        <v/>
      </c>
      <c r="B202" s="134">
        <f>IF(P201&gt;=R201,BIBLE!F116,"")</f>
        <v/>
      </c>
      <c r="C202" s="2499">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65">
        <f>IF(BIBLE!K116=0,"",BIBLE!K116)</f>
        <v/>
      </c>
      <c r="S202" s="2520" t="n"/>
      <c r="T202" s="2520" t="n"/>
      <c r="U202" s="2520" t="n"/>
      <c r="V202" s="2465" t="n"/>
      <c r="W202" s="2465" t="n"/>
      <c r="X202" s="2465" t="n"/>
      <c r="Y202" s="2465" t="n"/>
      <c r="Z202" s="2465" t="n"/>
      <c r="AA202" s="2465" t="n"/>
      <c r="AB202" s="2465" t="n"/>
      <c r="AC202" s="2465" t="n"/>
      <c r="AD202" s="246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20" t="n"/>
      <c r="AU202" s="6">
        <f>IF($Q202&gt;0,X$109*$D202,0)</f>
        <v/>
      </c>
      <c r="AV202" s="6">
        <f>IF($Q202&gt;0,Y$109*$D202,0)</f>
        <v/>
      </c>
      <c r="AW202" s="6">
        <f>IF($Q202&gt;0,Z$109*$D202,0)</f>
        <v/>
      </c>
      <c r="AX202" s="6">
        <f>IF($Q202&gt;0,AA$109*$D202,0)</f>
        <v/>
      </c>
      <c r="AY202" s="6">
        <f>IF($Q202&gt;0,AB$109*$D202,0)</f>
        <v/>
      </c>
      <c r="AZ202" s="6">
        <f>IF($Q202&gt;0,AC$109*$D202,0)</f>
        <v/>
      </c>
      <c r="BA202" s="2465" t="n"/>
      <c r="BB202" s="6">
        <f>SUM(AS202:AS203)</f>
        <v/>
      </c>
      <c r="BC202" s="2465" t="n"/>
      <c r="BD202" s="6">
        <f>SUM(AU202:AU203)</f>
        <v/>
      </c>
      <c r="BE202" s="6">
        <f>SUM(AV202:AV203)</f>
        <v/>
      </c>
      <c r="BF202" s="6">
        <f>SUM(AW202:AW203)</f>
        <v/>
      </c>
      <c r="BG202" s="6">
        <f>SUM(AX202:AX203)</f>
        <v/>
      </c>
      <c r="BH202" s="6">
        <f>SUM(AY202:AY203)</f>
        <v/>
      </c>
      <c r="BI202" s="6">
        <f>SUM(AZ202:AZ203)</f>
        <v/>
      </c>
      <c r="BJ202" s="6" t="n"/>
      <c r="BK202" s="6" t="n"/>
    </row>
    <row r="203" ht="51" customFormat="1" customHeight="1" s="2469">
      <c r="A203" s="1187">
        <f>BIBLE!E117</f>
        <v/>
      </c>
      <c r="B203" s="1202">
        <f>IF(P202&gt;=R202,BIBLE!F117,"")</f>
        <v/>
      </c>
      <c r="C203" s="2499">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65">
        <f>IF(BIBLE!K117=0,"",BIBLE!K117)</f>
        <v/>
      </c>
      <c r="S203" s="2465" t="n"/>
      <c r="T203" s="2465" t="n"/>
      <c r="U203" s="2465" t="n"/>
      <c r="V203" s="2465" t="n"/>
      <c r="W203" s="2465" t="n"/>
      <c r="X203" s="2465" t="n"/>
      <c r="Y203" s="2465" t="n"/>
      <c r="Z203" s="2465" t="n"/>
      <c r="AA203" s="2465" t="n"/>
      <c r="AB203" s="2465" t="n"/>
      <c r="AC203" s="2465" t="n"/>
      <c r="AD203" s="246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65" t="n"/>
      <c r="AU203" s="6">
        <f>IF($Q203&gt;0,X$109*$D203,0)</f>
        <v/>
      </c>
      <c r="AV203" s="6">
        <f>IF($Q203&gt;0,Y$109*$D203,0)</f>
        <v/>
      </c>
      <c r="AW203" s="6">
        <f>IF($Q203&gt;0,Z$109*$D203,0)</f>
        <v/>
      </c>
      <c r="AX203" s="6">
        <f>IF($Q203&gt;0,AA$109*$D203,0)</f>
        <v/>
      </c>
      <c r="AY203" s="6">
        <f>IF($Q203&gt;0,AB$109*$D203,0)</f>
        <v/>
      </c>
      <c r="AZ203" s="6">
        <f>IF($Q203&gt;0,AC$109*$D203,0)</f>
        <v/>
      </c>
      <c r="BA203" s="2465" t="n"/>
      <c r="BB203" s="2465" t="n"/>
      <c r="BC203" s="2465" t="n"/>
      <c r="BD203" s="2465" t="n"/>
      <c r="BE203" s="2465" t="n"/>
      <c r="BF203" s="2465" t="n"/>
      <c r="BG203" s="2465" t="n"/>
    </row>
    <row r="204" ht="51" customFormat="1" customHeight="1" s="2469">
      <c r="A204" s="1187">
        <f>BIBLE!E118</f>
        <v/>
      </c>
      <c r="B204" s="1202">
        <f>IF(P203&gt;=R203,BIBLE!F118,"")</f>
        <v/>
      </c>
      <c r="C204" s="2499">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65">
        <f>IF(BIBLE!K118=0,"",BIBLE!K118)</f>
        <v/>
      </c>
      <c r="S204" s="2465" t="n"/>
      <c r="T204" s="2465" t="n"/>
      <c r="U204" s="2465" t="n"/>
      <c r="V204" s="2465" t="n"/>
      <c r="W204" s="2465" t="n"/>
      <c r="X204" s="2465" t="n"/>
      <c r="Y204" s="2465" t="n"/>
      <c r="Z204" s="2465" t="n"/>
      <c r="AA204" s="2465" t="n"/>
      <c r="AB204" s="2465" t="n"/>
      <c r="AC204" s="2465" t="n"/>
      <c r="AD204" s="246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65" t="n"/>
      <c r="AU204" s="6">
        <f>IF($Q204&gt;0,X$109*$D204,0)</f>
        <v/>
      </c>
      <c r="AV204" s="6">
        <f>IF($Q204&gt;0,Y$109*$D204,0)</f>
        <v/>
      </c>
      <c r="AW204" s="6">
        <f>IF($Q204&gt;0,Z$109*$D204,0)</f>
        <v/>
      </c>
      <c r="AX204" s="6">
        <f>IF($Q204&gt;0,AA$109*$D204,0)</f>
        <v/>
      </c>
      <c r="AY204" s="6">
        <f>IF($Q204&gt;0,AB$109*$D204,0)</f>
        <v/>
      </c>
      <c r="AZ204" s="6">
        <f>IF($Q204&gt;0,AC$109*$D204,0)</f>
        <v/>
      </c>
      <c r="BA204" s="2465" t="n"/>
      <c r="BB204" s="2465" t="n"/>
      <c r="BC204" s="2465" t="n"/>
      <c r="BD204" s="2465" t="n"/>
      <c r="BE204" s="2465" t="n"/>
      <c r="BF204" s="2465" t="n"/>
      <c r="BG204" s="2465" t="n"/>
    </row>
    <row r="205" ht="61" customFormat="1" customHeight="1" s="2469">
      <c r="A205" s="1187">
        <f>BIBLE!E119</f>
        <v/>
      </c>
      <c r="B205" s="133">
        <f>BIBLE!F119</f>
        <v/>
      </c>
      <c r="C205" s="2499">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6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69">
      <c r="A206" s="1187">
        <f>BIBLE!E120</f>
        <v/>
      </c>
      <c r="B206" s="133">
        <f>BIBLE!F120</f>
        <v/>
      </c>
      <c r="C206" s="2499">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6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69">
      <c r="A207" s="1187">
        <f>BIBLE!E121</f>
        <v/>
      </c>
      <c r="B207" s="133">
        <f>BIBLE!F121</f>
        <v/>
      </c>
      <c r="C207" s="2499">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6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69">
      <c r="A208" s="1187">
        <f>BIBLE!E122</f>
        <v/>
      </c>
      <c r="B208" s="133">
        <f>BIBLE!F122</f>
        <v/>
      </c>
      <c r="C208" s="2499">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65">
        <f>BIBLE!K122</f>
        <v/>
      </c>
      <c r="S208" s="273" t="n"/>
      <c r="T208" s="273" t="n"/>
      <c r="U208" s="273" t="n"/>
      <c r="V208" s="6">
        <f>IF(P208&gt;=R208,IF(Q208&gt;Q209,Q208,Q209),Q208)</f>
        <v/>
      </c>
      <c r="W208" s="246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69">
      <c r="A209" s="1187">
        <f>BIBLE!E123</f>
        <v/>
      </c>
      <c r="B209" s="134">
        <f>IF(P208&gt;=R208,BIBLE!F123,"")</f>
        <v/>
      </c>
      <c r="C209" s="2499">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6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69">
      <c r="A210" s="1187">
        <f>BIBLE!E124</f>
        <v/>
      </c>
      <c r="B210" s="133">
        <f>BIBLE!F124</f>
        <v/>
      </c>
      <c r="C210" s="2499">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6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69">
      <c r="A211" s="1187">
        <f>BIBLE!E125</f>
        <v/>
      </c>
      <c r="B211" s="133">
        <f>BIBLE!F125</f>
        <v/>
      </c>
      <c r="C211" s="2499">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6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69">
      <c r="A212" s="1187">
        <f>BIBLE!E126</f>
        <v/>
      </c>
      <c r="B212" s="464">
        <f>IF(P211&gt;=R211,BIBLE!F126,"")</f>
        <v/>
      </c>
      <c r="C212" s="69" t="n"/>
      <c r="D212" s="1643" t="n"/>
      <c r="E212" s="2465" t="n"/>
      <c r="F212" s="19" t="n"/>
      <c r="G212" s="19" t="n"/>
      <c r="H212" s="19" t="n"/>
      <c r="I212" s="19" t="n"/>
      <c r="J212" s="19" t="n"/>
      <c r="K212" s="19" t="n"/>
      <c r="L212" s="19" t="n"/>
      <c r="M212" s="19" t="n"/>
      <c r="N212" s="19" t="n"/>
      <c r="O212" s="19" t="n"/>
      <c r="P212" s="1550">
        <f>'TEST_pour PROTOTYPE'!D193</f>
        <v/>
      </c>
      <c r="Q212" s="24" t="n"/>
      <c r="R212" s="2465">
        <f>IF(BIBLE!K126=0,"",BIBLE!K126)</f>
        <v/>
      </c>
      <c r="S212" s="273" t="n"/>
      <c r="T212" s="273" t="n"/>
      <c r="U212" s="273" t="n"/>
      <c r="V212" s="6" t="n"/>
      <c r="W212" s="273" t="n"/>
      <c r="X212" s="2465" t="n"/>
      <c r="Y212" s="2465" t="n"/>
      <c r="Z212" s="2465" t="n"/>
      <c r="AA212" s="2465" t="n"/>
      <c r="AB212" s="2465" t="n"/>
      <c r="AC212" s="246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69">
      <c r="A213" s="1187" t="n"/>
      <c r="B213" s="464">
        <f>IF(P211&gt;=R211,"Normal / Usuel","")</f>
        <v/>
      </c>
      <c r="C213" s="69" t="n"/>
      <c r="D213" s="1641" t="n">
        <v>1</v>
      </c>
      <c r="E213" s="2545">
        <f>IF(P$212=D213,1,"x")</f>
        <v/>
      </c>
      <c r="F213" s="19" t="n"/>
      <c r="G213" s="19" t="n"/>
      <c r="H213" s="19" t="n"/>
      <c r="I213" s="19" t="n"/>
      <c r="J213" s="19" t="n"/>
      <c r="K213" s="19" t="n"/>
      <c r="L213" s="19" t="n"/>
      <c r="M213" s="19" t="n"/>
      <c r="N213" s="19" t="n"/>
      <c r="O213" s="19" t="n"/>
      <c r="P213" s="23" t="n"/>
      <c r="Q213" s="24" t="n"/>
      <c r="R213" s="2465" t="n"/>
      <c r="S213" s="273" t="n"/>
      <c r="T213" s="273" t="n"/>
      <c r="U213" s="273" t="n"/>
      <c r="V213" s="6" t="n"/>
      <c r="W213" s="273" t="n"/>
      <c r="X213" s="2465" t="n"/>
      <c r="Y213" s="2465" t="n"/>
      <c r="Z213" s="2465" t="n"/>
      <c r="AA213" s="2465" t="n"/>
      <c r="AB213" s="2465" t="n"/>
      <c r="AC213" s="246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69">
      <c r="A214" s="1187" t="n"/>
      <c r="B214" s="464">
        <f>IF(P211&gt;=R211,"Nouveau","")</f>
        <v/>
      </c>
      <c r="C214" s="69" t="n"/>
      <c r="D214" s="1641" t="n">
        <v>2</v>
      </c>
      <c r="E214" s="2545">
        <f>IF(P$212=D214,1,"x")</f>
        <v/>
      </c>
      <c r="F214" s="19" t="n"/>
      <c r="G214" s="19" t="n"/>
      <c r="H214" s="19" t="n"/>
      <c r="I214" s="19" t="n"/>
      <c r="J214" s="19" t="n"/>
      <c r="K214" s="19" t="n"/>
      <c r="L214" s="19" t="n"/>
      <c r="M214" s="19" t="n"/>
      <c r="N214" s="19" t="n"/>
      <c r="O214" s="19" t="n"/>
      <c r="P214" s="23" t="n"/>
      <c r="Q214" s="24" t="n"/>
      <c r="R214" s="2465" t="n"/>
      <c r="S214" s="273" t="n"/>
      <c r="T214" s="273" t="n"/>
      <c r="U214" s="273" t="n"/>
      <c r="V214" s="6" t="n"/>
      <c r="W214" s="273" t="n"/>
      <c r="X214" s="2465" t="n"/>
      <c r="Y214" s="2465" t="n"/>
      <c r="Z214" s="2465" t="n"/>
      <c r="AA214" s="2465" t="n"/>
      <c r="AB214" s="2465" t="n"/>
      <c r="AC214" s="246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69">
      <c r="A215" s="1187" t="n"/>
      <c r="B215" s="464" t="n"/>
      <c r="C215" s="69" t="n"/>
      <c r="D215" s="1278" t="n"/>
      <c r="E215" s="19" t="n"/>
      <c r="F215" s="19" t="n"/>
      <c r="G215" s="19" t="n"/>
      <c r="H215" s="19" t="n"/>
      <c r="I215" s="19" t="n"/>
      <c r="J215" s="19" t="n"/>
      <c r="K215" s="19" t="n"/>
      <c r="L215" s="19" t="n"/>
      <c r="M215" s="19" t="n"/>
      <c r="N215" s="19" t="n"/>
      <c r="O215" s="19" t="n"/>
      <c r="P215" s="23" t="n"/>
      <c r="Q215" s="24" t="n"/>
      <c r="R215" s="2465" t="n"/>
      <c r="S215" s="273" t="n"/>
      <c r="T215" s="273" t="n"/>
      <c r="U215" s="273" t="n"/>
      <c r="V215" s="6" t="n"/>
      <c r="W215" s="273" t="n"/>
      <c r="X215" s="2465" t="n"/>
      <c r="Y215" s="2465" t="n"/>
      <c r="Z215" s="2465" t="n"/>
      <c r="AA215" s="2465" t="n"/>
      <c r="AB215" s="2465" t="n"/>
      <c r="AC215" s="246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69">
      <c r="A216" s="1187">
        <f>BIBLE!E127</f>
        <v/>
      </c>
      <c r="B216" s="133">
        <f>IF(P46&lt;&gt;1,BIBLE!F127,"")</f>
        <v/>
      </c>
      <c r="C216" s="2499">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65">
        <f>IF(BIBLE!K127=0,"",BIBLE!K127)</f>
        <v/>
      </c>
      <c r="S216" s="2465" t="n"/>
      <c r="T216" s="2465" t="n"/>
      <c r="U216" s="2465" t="n"/>
      <c r="V216" s="6">
        <f>Q216</f>
        <v/>
      </c>
      <c r="W216" s="246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69">
      <c r="A217" s="1187">
        <f>BIBLE!E128</f>
        <v/>
      </c>
      <c r="B217" s="133">
        <f>IF($P$53&gt;=$R$53,BIBLE!F128,"")</f>
        <v/>
      </c>
      <c r="C217" s="2499">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65">
        <f>IF(BIBLE!K128=0,"",BIBLE!K128)</f>
        <v/>
      </c>
      <c r="S217" s="2465" t="n"/>
      <c r="T217" s="2465" t="n"/>
      <c r="U217" s="2465" t="n"/>
      <c r="V217" s="6">
        <f>Q217</f>
        <v/>
      </c>
      <c r="W217" s="246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69">
      <c r="A218" s="1187">
        <f>BIBLE!E129</f>
        <v/>
      </c>
      <c r="B218" s="133">
        <f>BIBLE!F129</f>
        <v/>
      </c>
      <c r="C218" s="2499">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65">
        <f>IF(BIBLE!K129=0,"",BIBLE!K129)</f>
        <v/>
      </c>
      <c r="S218" s="2465" t="n"/>
      <c r="T218" s="2465" t="n"/>
      <c r="U218" s="2465" t="n"/>
      <c r="V218" s="6">
        <f>IF(P218&gt;=R218,IF(Q218&gt;Q219,Q218,Q219),Q218)</f>
        <v/>
      </c>
      <c r="W218" s="246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69">
      <c r="A219" s="1187">
        <f>BIBLE!E130</f>
        <v/>
      </c>
      <c r="B219" s="134">
        <f>IF(P218&gt;=R218,BIBLE!F130,"")</f>
        <v/>
      </c>
      <c r="C219" s="2499">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65">
        <f>IF(BIBLE!K130=0,"",BIBLE!K130)</f>
        <v/>
      </c>
      <c r="S219" s="2465" t="n"/>
      <c r="T219" s="2465" t="n"/>
      <c r="U219" s="2465" t="n"/>
      <c r="V219" s="6" t="n"/>
      <c r="W219" s="246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69">
      <c r="A220" s="1187">
        <f>BIBLE!E131</f>
        <v/>
      </c>
      <c r="B220" s="133">
        <f>IF($P$53&gt;=$R$53,BIBLE!F131,"")</f>
        <v/>
      </c>
      <c r="C220" s="2499">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65">
        <f>IF(BIBLE!K131=0,"",BIBLE!K131)</f>
        <v/>
      </c>
      <c r="S220" s="2465" t="n"/>
      <c r="T220" s="2465" t="n"/>
      <c r="U220" s="2465" t="n"/>
      <c r="V220" s="6">
        <f>Q220</f>
        <v/>
      </c>
      <c r="W220" s="246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69">
      <c r="A221" s="1187">
        <f>BIBLE!E132</f>
        <v/>
      </c>
      <c r="B221" s="133">
        <f>BIBLE!F132</f>
        <v/>
      </c>
      <c r="C221" s="2499">
        <f>BIBLE!O132</f>
        <v/>
      </c>
      <c r="D221" s="1278">
        <f>BIBLE!L132</f>
        <v/>
      </c>
      <c r="E221" s="2465" t="n"/>
      <c r="F221" s="19" t="n"/>
      <c r="G221" s="19" t="n"/>
      <c r="H221" s="19" t="n"/>
      <c r="I221" s="19" t="n"/>
      <c r="J221" s="19" t="n">
        <v>1</v>
      </c>
      <c r="K221" s="19" t="n"/>
      <c r="L221" s="19" t="n"/>
      <c r="M221" s="19" t="n"/>
      <c r="N221" s="19" t="n"/>
      <c r="O221" s="19" t="n"/>
      <c r="P221" s="1547">
        <f>'TEST_pour PROTOTYPE'!D199</f>
        <v/>
      </c>
      <c r="Q221" s="24">
        <f>P221*D221</f>
        <v/>
      </c>
      <c r="R221" s="2465">
        <f>IF(BIBLE!K132=0,"",BIBLE!K132)</f>
        <v/>
      </c>
      <c r="S221" s="2465" t="n"/>
      <c r="T221" s="2465" t="n"/>
      <c r="U221" s="2465" t="n"/>
      <c r="V221" s="6">
        <f>Q221</f>
        <v/>
      </c>
      <c r="W221" s="246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69">
      <c r="A222" s="1187">
        <f>BIBLE!E133</f>
        <v/>
      </c>
      <c r="B222" s="134">
        <f>IF(P$221&gt;=R$221,BIBLE!F133,"")</f>
        <v/>
      </c>
      <c r="C222" s="2481" t="n"/>
      <c r="D222" s="1278" t="n"/>
      <c r="E222" s="246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65">
        <f>IF(BIBLE!K133=0,"",BIBLE!K133)</f>
        <v/>
      </c>
      <c r="S222" s="2465" t="n"/>
      <c r="T222" s="2465" t="n"/>
      <c r="U222" s="2465" t="n"/>
      <c r="V222" s="6" t="n"/>
      <c r="W222" s="2465" t="n"/>
      <c r="X222" s="2465" t="n"/>
      <c r="Y222" s="2465" t="n"/>
      <c r="Z222" s="2465" t="n"/>
      <c r="AA222" s="2465" t="n"/>
      <c r="AB222" s="2465" t="n"/>
      <c r="AC222" s="246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69">
      <c r="A223" s="1187" t="n"/>
      <c r="B223" s="137">
        <f>IF(P$221&gt;=R$221,"Choix d'école et/ou inscription (primaire et secondaire)","")</f>
        <v/>
      </c>
      <c r="C223" s="2481">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65" t="n"/>
      <c r="S223" s="2465" t="n"/>
      <c r="T223" s="2465" t="n"/>
      <c r="U223" s="2465" t="n"/>
      <c r="V223" s="6" t="n"/>
      <c r="W223" s="2465" t="n"/>
      <c r="X223" s="2465" t="n"/>
      <c r="Y223" s="2465" t="n"/>
      <c r="Z223" s="2465" t="n"/>
      <c r="AA223" s="2465" t="n"/>
      <c r="AB223" s="2465" t="n"/>
      <c r="AC223" s="246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69">
      <c r="A224" s="1187" t="n"/>
      <c r="B224" s="137">
        <f>IF(P$221&gt;=R$221,"Choix de club|programme sportif ou calendrier sportif","")</f>
        <v/>
      </c>
      <c r="C224" s="2481">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65" t="n"/>
      <c r="S224" s="2465" t="n"/>
      <c r="T224" s="2465" t="n"/>
      <c r="U224" s="2465" t="n"/>
      <c r="V224" s="6" t="n"/>
      <c r="W224" s="2465" t="n"/>
      <c r="X224" s="2465" t="n"/>
      <c r="Y224" s="2465" t="n"/>
      <c r="Z224" s="2465" t="n"/>
      <c r="AA224" s="2465" t="n"/>
      <c r="AB224" s="2465" t="n"/>
      <c r="AC224" s="246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69">
      <c r="A225" s="1187" t="n"/>
      <c r="B225" s="137">
        <f>IF(P$221&gt;=R$221,"Soins médicaux ou dentaires","")</f>
        <v/>
      </c>
      <c r="C225" s="2481" t="n"/>
      <c r="D225" s="1445" t="n">
        <v>3</v>
      </c>
      <c r="E225" s="1463">
        <f>'TEST_pour PROTOTYPE'!D202</f>
        <v/>
      </c>
      <c r="F225" s="19" t="n"/>
      <c r="G225" s="19" t="n"/>
      <c r="H225" s="19" t="n"/>
      <c r="I225" s="19" t="n"/>
      <c r="J225" s="19" t="n"/>
      <c r="K225" s="19" t="n"/>
      <c r="L225" s="19" t="n"/>
      <c r="M225" s="19" t="n"/>
      <c r="N225" s="19" t="n"/>
      <c r="O225" s="19" t="n"/>
      <c r="P225" s="1471">
        <f>D225*E225</f>
        <v/>
      </c>
      <c r="Q225" s="24" t="n"/>
      <c r="R225" s="2465" t="n"/>
      <c r="S225" s="2465" t="n"/>
      <c r="T225" s="2465" t="n"/>
      <c r="U225" s="2465" t="n"/>
      <c r="V225" s="6" t="n"/>
      <c r="W225" s="2465" t="n"/>
      <c r="X225" s="2465" t="n"/>
      <c r="Y225" s="2465" t="n"/>
      <c r="Z225" s="2465" t="n"/>
      <c r="AA225" s="2465" t="n"/>
      <c r="AB225" s="2465" t="n"/>
      <c r="AC225" s="246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69">
      <c r="A226" s="1187" t="n"/>
      <c r="B226" s="137">
        <f>IF(P$221&gt;=R$221,"Déménagement (forçant un changement majeur ou autres)","")</f>
        <v/>
      </c>
      <c r="C226" s="2481" t="n"/>
      <c r="D226" s="1445" t="n">
        <v>10</v>
      </c>
      <c r="E226" s="1463">
        <f>'TEST_pour PROTOTYPE'!D203</f>
        <v/>
      </c>
      <c r="F226" s="19" t="n"/>
      <c r="G226" s="19" t="n"/>
      <c r="H226" s="19" t="n"/>
      <c r="I226" s="19" t="n"/>
      <c r="J226" s="19" t="n"/>
      <c r="K226" s="19" t="n"/>
      <c r="L226" s="19" t="n"/>
      <c r="M226" s="19" t="n"/>
      <c r="N226" s="19" t="n"/>
      <c r="O226" s="19" t="n"/>
      <c r="P226" s="1471">
        <f>D226*E226</f>
        <v/>
      </c>
      <c r="Q226" s="24" t="n"/>
      <c r="R226" s="2465" t="n"/>
      <c r="S226" s="2465" t="n"/>
      <c r="T226" s="2465" t="n"/>
      <c r="U226" s="2465" t="n"/>
      <c r="V226" s="6" t="n"/>
      <c r="W226" s="2465" t="n"/>
      <c r="X226" s="2465" t="n"/>
      <c r="Y226" s="2465" t="n"/>
      <c r="Z226" s="2465" t="n"/>
      <c r="AA226" s="2465" t="n"/>
      <c r="AB226" s="2465" t="n"/>
      <c r="AC226" s="246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69">
      <c r="A227" s="1187" t="n"/>
      <c r="B227" s="137">
        <f>IF(P$221&gt;=R$221,"Achat d'une valeur significative (auto, animal,…)","")</f>
        <v/>
      </c>
      <c r="C227" s="2481" t="n"/>
      <c r="D227" s="1445" t="n">
        <v>5</v>
      </c>
      <c r="E227" s="1463">
        <f>'TEST_pour PROTOTYPE'!D204</f>
        <v/>
      </c>
      <c r="F227" s="19" t="n"/>
      <c r="G227" s="19" t="n"/>
      <c r="H227" s="19" t="n"/>
      <c r="I227" s="19" t="n"/>
      <c r="J227" s="19" t="n"/>
      <c r="K227" s="19" t="n"/>
      <c r="L227" s="19" t="n"/>
      <c r="M227" s="19" t="n"/>
      <c r="N227" s="19" t="n"/>
      <c r="O227" s="19" t="n"/>
      <c r="P227" s="1471">
        <f>D227*E227</f>
        <v/>
      </c>
      <c r="Q227" s="24" t="n"/>
      <c r="R227" s="2465" t="n"/>
      <c r="S227" s="2465" t="n"/>
      <c r="T227" s="2465" t="n"/>
      <c r="U227" s="2465" t="n"/>
      <c r="V227" s="6" t="n"/>
      <c r="W227" s="2465" t="n"/>
      <c r="X227" s="2465" t="n"/>
      <c r="Y227" s="2465" t="n"/>
      <c r="Z227" s="2465" t="n"/>
      <c r="AA227" s="2465" t="n"/>
      <c r="AB227" s="2465" t="n"/>
      <c r="AC227" s="246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69">
      <c r="A228" s="1187" t="n"/>
      <c r="B228" s="137">
        <f>IF(P$221&gt;=R$221,"Décisions engendrant des coûts significatifs sans votre consentement préalable","")</f>
        <v/>
      </c>
      <c r="C228" s="2481" t="n"/>
      <c r="D228" s="1445" t="n">
        <v>1</v>
      </c>
      <c r="E228" s="1463">
        <f>'TEST_pour PROTOTYPE'!D205</f>
        <v/>
      </c>
      <c r="F228" s="19" t="n"/>
      <c r="G228" s="19" t="n"/>
      <c r="H228" s="19" t="n"/>
      <c r="I228" s="19" t="n"/>
      <c r="J228" s="19" t="n"/>
      <c r="K228" s="19" t="n"/>
      <c r="L228" s="19" t="n"/>
      <c r="M228" s="19" t="n"/>
      <c r="N228" s="19" t="n"/>
      <c r="O228" s="19" t="n"/>
      <c r="P228" s="1471">
        <f>D228*E228</f>
        <v/>
      </c>
      <c r="Q228" s="24" t="n"/>
      <c r="R228" s="2465" t="n"/>
      <c r="S228" s="2465" t="n"/>
      <c r="T228" s="2465" t="n"/>
      <c r="U228" s="2465" t="n"/>
      <c r="V228" s="6" t="n"/>
      <c r="W228" s="2465" t="n"/>
      <c r="X228" s="2465" t="n"/>
      <c r="Y228" s="2465" t="n"/>
      <c r="Z228" s="2465" t="n"/>
      <c r="AA228" s="2465" t="n"/>
      <c r="AB228" s="2465" t="n"/>
      <c r="AC228" s="246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69">
      <c r="A229" s="1187" t="n"/>
      <c r="B229" s="137">
        <f>IF(P$221&gt;=R$221,"Autre (spécifiez)","")</f>
        <v/>
      </c>
      <c r="C229" s="2481" t="n"/>
      <c r="D229" s="1445" t="inlineStr">
        <is>
          <t>Custom</t>
        </is>
      </c>
      <c r="E229" s="19" t="n"/>
      <c r="F229" s="19" t="n"/>
      <c r="G229" s="19" t="n"/>
      <c r="H229" s="19" t="n"/>
      <c r="I229" s="19" t="n"/>
      <c r="J229" s="19" t="n"/>
      <c r="K229" s="19" t="n"/>
      <c r="L229" s="19" t="n"/>
      <c r="M229" s="19" t="n"/>
      <c r="N229" s="19" t="n"/>
      <c r="O229" s="19" t="n"/>
      <c r="P229" s="1471" t="n"/>
      <c r="Q229" s="24" t="n"/>
      <c r="R229" s="2465" t="n"/>
      <c r="S229" s="2465" t="n"/>
      <c r="T229" s="2465" t="n"/>
      <c r="U229" s="2465" t="n"/>
      <c r="V229" s="6" t="n"/>
      <c r="W229" s="2465" t="n"/>
      <c r="X229" s="2465" t="n"/>
      <c r="Y229" s="2465" t="n"/>
      <c r="Z229" s="2465" t="n"/>
      <c r="AA229" s="2465" t="n"/>
      <c r="AB229" s="2465" t="n"/>
      <c r="AC229" s="246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69">
      <c r="A230" s="1187" t="n"/>
      <c r="B230" s="137" t="n"/>
      <c r="C230" s="2481" t="n"/>
      <c r="D230" s="24" t="n"/>
      <c r="E230" s="24" t="n"/>
      <c r="F230" s="19" t="n"/>
      <c r="G230" s="19" t="n"/>
      <c r="H230" s="19" t="n"/>
      <c r="I230" s="19" t="n"/>
      <c r="J230" s="19" t="n"/>
      <c r="K230" s="19" t="n"/>
      <c r="L230" s="19" t="n"/>
      <c r="M230" s="19" t="n"/>
      <c r="N230" s="19" t="n"/>
      <c r="O230" s="19" t="n"/>
      <c r="P230" s="24" t="n"/>
      <c r="Q230" s="24" t="n"/>
      <c r="R230" s="2465" t="n"/>
      <c r="S230" s="2465" t="n"/>
      <c r="T230" s="2465" t="n"/>
      <c r="U230" s="2465" t="n"/>
      <c r="V230" s="6" t="n"/>
      <c r="W230" s="2465" t="n"/>
      <c r="X230" s="2465" t="n"/>
      <c r="Y230" s="2465" t="n"/>
      <c r="Z230" s="2465" t="n"/>
      <c r="AA230" s="2465" t="n"/>
      <c r="AB230" s="2465" t="n"/>
      <c r="AC230" s="246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69">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65">
        <f>IF(BIBLE!K134=0,"",BIBLE!K134)</f>
        <v/>
      </c>
      <c r="S231" s="2465" t="n"/>
      <c r="T231" s="2465" t="n"/>
      <c r="U231" s="2465" t="n"/>
      <c r="V231" s="6" t="n"/>
      <c r="W231" s="2465" t="n"/>
      <c r="X231" s="2465" t="n"/>
      <c r="Y231" s="2465" t="n"/>
      <c r="Z231" s="2465" t="n"/>
      <c r="AA231" s="2465" t="n"/>
      <c r="AB231" s="2465" t="n"/>
      <c r="AC231" s="246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69">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65" t="n"/>
      <c r="S232" s="2465" t="n"/>
      <c r="T232" s="2465" t="n"/>
      <c r="U232" s="2465" t="n"/>
      <c r="V232" s="6" t="n"/>
      <c r="W232" s="2465" t="n"/>
      <c r="X232" s="2465" t="n"/>
      <c r="Y232" s="2465" t="n"/>
      <c r="Z232" s="2465" t="n"/>
      <c r="AA232" s="2465" t="n"/>
      <c r="AB232" s="2465" t="n"/>
      <c r="AC232" s="246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69">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65" t="n"/>
      <c r="S233" s="2465" t="n"/>
      <c r="T233" s="2465" t="n"/>
      <c r="U233" s="2465" t="n"/>
      <c r="V233" s="6" t="n"/>
      <c r="W233" s="2465" t="n"/>
      <c r="X233" s="2465" t="n"/>
      <c r="Y233" s="2465" t="n"/>
      <c r="Z233" s="2465" t="n"/>
      <c r="AA233" s="2465" t="n"/>
      <c r="AB233" s="2465" t="n"/>
      <c r="AC233" s="246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69">
      <c r="A234" s="1187">
        <f>BIBLE!E135</f>
        <v/>
      </c>
      <c r="B234" s="133">
        <f>IF(OR($P$53&gt;=$R$53,$P$59&gt;=3),BIBLE!F135,"")</f>
        <v/>
      </c>
      <c r="C234" s="2499">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65">
        <f>IF(BIBLE!K135=0,"",BIBLE!K135)</f>
        <v/>
      </c>
      <c r="S234" s="273" t="n"/>
      <c r="T234" s="273" t="n"/>
      <c r="U234" s="273" t="n"/>
      <c r="V234" s="6">
        <f>MAX(AS234:AS236)</f>
        <v/>
      </c>
      <c r="W234" s="246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69">
      <c r="A235" s="1187">
        <f>BIBLE!E136</f>
        <v/>
      </c>
      <c r="B235" s="134">
        <f>IF(P234&gt;=R234,BIBLE!F136,"")</f>
        <v/>
      </c>
      <c r="C235" s="2499">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65">
        <f>IF(BIBLE!K136=0,"",BIBLE!K136)</f>
        <v/>
      </c>
      <c r="S235" s="273" t="n"/>
      <c r="T235" s="273" t="n"/>
      <c r="U235" s="273" t="n"/>
      <c r="V235" s="246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1" t="inlineStr">
        <is>
          <t>Deux SQ, mais à un niveau différent, on prend le max entre la Q et les SQ</t>
        </is>
      </c>
    </row>
    <row r="236" ht="79" customFormat="1" customHeight="1" s="2469">
      <c r="A236" s="1187">
        <f>BIBLE!E137</f>
        <v/>
      </c>
      <c r="B236" s="1202">
        <f>IF(AND(P235&gt;=R235,$P$181=0,$P$188=0),BIBLE!F137,"")</f>
        <v/>
      </c>
      <c r="C236" s="2499">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65">
        <f>IF(BIBLE!K137=0,"",BIBLE!K137)</f>
        <v/>
      </c>
      <c r="S236" s="273" t="n"/>
      <c r="T236" s="273" t="n"/>
      <c r="U236" s="273" t="n"/>
      <c r="V236" s="246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69">
      <c r="A237" s="1187">
        <f>BIBLE!E138</f>
        <v/>
      </c>
      <c r="B237" s="134">
        <f>IF(P235&gt;=R235,BIBLE!F138,"")</f>
        <v/>
      </c>
      <c r="C237" s="22" t="n"/>
      <c r="D237" s="1278" t="n"/>
      <c r="E237" s="2465" t="n"/>
      <c r="F237" s="19" t="n"/>
      <c r="G237" s="19" t="n"/>
      <c r="H237" s="19" t="n"/>
      <c r="I237" s="19" t="n"/>
      <c r="J237" s="19" t="n"/>
      <c r="K237" s="19" t="n"/>
      <c r="L237" s="19" t="n"/>
      <c r="M237" s="19" t="n"/>
      <c r="N237" s="19" t="n"/>
      <c r="O237" s="1549" t="inlineStr">
        <is>
          <t>somme:</t>
        </is>
      </c>
      <c r="P237" s="24">
        <f>SUM(P238:P241)</f>
        <v/>
      </c>
      <c r="Q237" s="24" t="n"/>
      <c r="R237" s="2465">
        <f>IF(BIBLE!K138=0,"",BIBLE!K138)</f>
        <v/>
      </c>
      <c r="S237" s="273" t="n"/>
      <c r="T237" s="273" t="n"/>
      <c r="U237" s="273" t="n"/>
      <c r="V237" s="6" t="n"/>
      <c r="W237" s="273" t="n"/>
      <c r="X237" s="2465" t="n"/>
      <c r="Y237" s="2465" t="n"/>
      <c r="Z237" s="2465" t="n"/>
      <c r="AA237" s="2465" t="n"/>
      <c r="AB237" s="2465" t="n"/>
      <c r="AC237" s="246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69">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65" t="n"/>
      <c r="S238" s="273" t="n"/>
      <c r="T238" s="273" t="n"/>
      <c r="U238" s="273" t="n"/>
      <c r="V238" s="6" t="n"/>
      <c r="W238" s="273" t="n"/>
      <c r="X238" s="2465" t="n"/>
      <c r="Y238" s="2465" t="n"/>
      <c r="Z238" s="2465" t="n"/>
      <c r="AA238" s="2465" t="n"/>
      <c r="AB238" s="2465" t="n"/>
      <c r="AC238" s="246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69">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65" t="n"/>
      <c r="S239" s="273" t="n"/>
      <c r="T239" s="273" t="n"/>
      <c r="U239" s="273" t="n"/>
      <c r="V239" s="6" t="n"/>
      <c r="W239" s="273" t="n"/>
      <c r="X239" s="2465" t="n"/>
      <c r="Y239" s="2465" t="n"/>
      <c r="Z239" s="2465" t="n"/>
      <c r="AA239" s="2465" t="n"/>
      <c r="AB239" s="2465" t="n"/>
      <c r="AC239" s="246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69">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65" t="n"/>
      <c r="S240" s="273" t="n"/>
      <c r="T240" s="273" t="n"/>
      <c r="U240" s="273" t="n"/>
      <c r="V240" s="6" t="n"/>
      <c r="W240" s="273" t="n"/>
      <c r="X240" s="2465" t="n"/>
      <c r="Y240" s="2465" t="n"/>
      <c r="Z240" s="2465" t="n"/>
      <c r="AA240" s="2465" t="n"/>
      <c r="AB240" s="2465" t="n"/>
      <c r="AC240" s="246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69">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65" t="n"/>
      <c r="S241" s="273" t="n"/>
      <c r="T241" s="273" t="n"/>
      <c r="U241" s="273" t="n"/>
      <c r="V241" s="6" t="n"/>
      <c r="W241" s="273" t="n"/>
      <c r="X241" s="2465" t="n"/>
      <c r="Y241" s="2465" t="n"/>
      <c r="Z241" s="2465" t="n"/>
      <c r="AA241" s="2465" t="n"/>
      <c r="AB241" s="2465" t="n"/>
      <c r="AC241" s="246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69">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65" t="n"/>
      <c r="S242" s="273" t="n"/>
      <c r="T242" s="273" t="n"/>
      <c r="U242" s="273" t="n"/>
      <c r="V242" s="6" t="n"/>
      <c r="W242" s="273" t="n"/>
      <c r="X242" s="2465" t="n"/>
      <c r="Y242" s="2465" t="n"/>
      <c r="Z242" s="2465" t="n"/>
      <c r="AA242" s="2465" t="n"/>
      <c r="AB242" s="2465" t="n"/>
      <c r="AC242" s="246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69">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65">
        <f>IF(BIBLE!K139=0,"",BIBLE!K139)</f>
        <v/>
      </c>
      <c r="S243" s="2465" t="n"/>
      <c r="T243" s="2465" t="n"/>
      <c r="U243" s="2465" t="n"/>
      <c r="V243" s="6">
        <f>MAX(AS243:AS245)</f>
        <v/>
      </c>
      <c r="W243" s="2465" t="n"/>
      <c r="X243" s="2465">
        <f>MAX(AU243:AU245)</f>
        <v/>
      </c>
      <c r="Y243" s="2465">
        <f>MAX(AV243:AV245)</f>
        <v/>
      </c>
      <c r="Z243" s="2465">
        <f>MAX(AW243:AW245)</f>
        <v/>
      </c>
      <c r="AA243" s="2465">
        <f>MAX(AX243:AX245)</f>
        <v/>
      </c>
      <c r="AB243" s="2465">
        <f>MAX(AY243:AY245)</f>
        <v/>
      </c>
      <c r="AC243" s="2465">
        <f>MAX(AZ243:AZ245)</f>
        <v/>
      </c>
      <c r="AD243" s="246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69">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65">
        <f>IF(BIBLE!K140=0,"",BIBLE!K140)</f>
        <v/>
      </c>
      <c r="S244" s="2465" t="n"/>
      <c r="T244" s="2465" t="n"/>
      <c r="U244" s="2465" t="n"/>
      <c r="V244" s="2465" t="n"/>
      <c r="W244" s="2465" t="n"/>
      <c r="X244" s="2465" t="n"/>
      <c r="Y244" s="2465" t="n"/>
      <c r="Z244" s="2465" t="n"/>
      <c r="AA244" s="2465" t="n"/>
      <c r="AB244" s="2465" t="n"/>
      <c r="AC244" s="2465" t="n"/>
      <c r="AD244" s="246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1" t="inlineStr">
        <is>
          <t>Deux SQ, mais à un niveau différent, on prend le max entre la Q et les SQ</t>
        </is>
      </c>
    </row>
    <row r="245" ht="75" customFormat="1" customHeight="1" s="2469">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65">
        <f>IF(BIBLE!K141=0,"",BIBLE!K141)</f>
        <v/>
      </c>
      <c r="S245" s="2465" t="n"/>
      <c r="T245" s="2465" t="n"/>
      <c r="U245" s="2465" t="n"/>
      <c r="V245" s="2465" t="n"/>
      <c r="W245" s="2465" t="n"/>
      <c r="X245" s="2465" t="n"/>
      <c r="Y245" s="2465" t="n"/>
      <c r="Z245" s="2465" t="n"/>
      <c r="AA245" s="2465" t="n"/>
      <c r="AB245" s="2465" t="n"/>
      <c r="AC245" s="2465" t="n"/>
      <c r="AD245" s="246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69">
      <c r="A246" s="1187">
        <f>BIBLE!E142</f>
        <v/>
      </c>
      <c r="B246" s="133">
        <f>BIBLE!F142</f>
        <v/>
      </c>
      <c r="C246" s="2499">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6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69">
      <c r="A247" s="1187">
        <f>BIBLE!E143</f>
        <v/>
      </c>
      <c r="B247" s="133">
        <f>IF(P42&lt;&gt;1,BIBLE!F143,"")</f>
        <v/>
      </c>
      <c r="C247" s="2499">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6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69">
      <c r="A248" s="1187">
        <f>BIBLE!E144</f>
        <v/>
      </c>
      <c r="B248" s="133">
        <f>BIBLE!F144</f>
        <v/>
      </c>
      <c r="C248" s="2499">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6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69">
      <c r="A249" s="1187">
        <f>BIBLE!E145</f>
        <v/>
      </c>
      <c r="B249" s="133">
        <f>IF($P$53&gt;=$R$53,BIBLE!F145,"")</f>
        <v/>
      </c>
      <c r="C249" s="2499">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6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69">
      <c r="A250" s="1187">
        <f>BIBLE!E146</f>
        <v/>
      </c>
      <c r="B250" s="133">
        <f>IF($P$53&gt;=$R$53,BIBLE!F146,"")</f>
        <v/>
      </c>
      <c r="C250" s="2499">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6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69">
      <c r="A251" s="1187">
        <f>BIBLE!E147</f>
        <v/>
      </c>
      <c r="B251" s="133">
        <f>IF($P$53&gt;=$R$53,BIBLE!F147,"")</f>
        <v/>
      </c>
      <c r="C251" s="22" t="n"/>
      <c r="D251" s="1278" t="n"/>
      <c r="E251" s="246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6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69">
      <c r="A252" s="1187" t="n"/>
      <c r="B252" s="133">
        <f>IF($P$53&gt;=$R$53,"Pension alimentaire (enjeux financiers) ","")</f>
        <v/>
      </c>
      <c r="C252" s="1279" t="n"/>
      <c r="D252" s="1445" t="n">
        <v>3</v>
      </c>
      <c r="E252" s="1463">
        <f>'TEST_pour PROTOTYPE'!D222</f>
        <v/>
      </c>
      <c r="F252" s="40" t="n"/>
      <c r="G252" s="2465" t="n"/>
      <c r="H252" s="2465" t="n"/>
      <c r="I252" s="2465" t="n"/>
      <c r="J252" s="2465" t="n"/>
      <c r="N252" s="40" t="n"/>
      <c r="O252" s="40" t="n"/>
      <c r="P252" s="1459">
        <f>D252*E252</f>
        <v/>
      </c>
      <c r="Q252" s="24" t="n"/>
      <c r="R252" s="2465" t="n"/>
      <c r="S252" s="273" t="n"/>
      <c r="T252" s="273" t="n"/>
      <c r="U252" s="273" t="n"/>
      <c r="V252" s="273" t="n"/>
      <c r="W252" s="273" t="n"/>
      <c r="X252" s="2465" t="n"/>
      <c r="Y252" s="2465" t="n"/>
      <c r="Z252" s="2465" t="n"/>
      <c r="AA252" s="2465" t="n"/>
      <c r="AB252" s="2465" t="n"/>
      <c r="AC252" s="246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69">
      <c r="A253" s="1187" t="n"/>
      <c r="B253" s="133">
        <f>IF($P$53&gt;=$R$53,"Souhaite refaire sa vie / nouvelle vie et vous êtes de trop","")</f>
        <v/>
      </c>
      <c r="C253" s="1279" t="n"/>
      <c r="D253" s="1445" t="n">
        <v>7</v>
      </c>
      <c r="E253" s="1463">
        <f>'TEST_pour PROTOTYPE'!D223</f>
        <v/>
      </c>
      <c r="F253" s="40" t="n"/>
      <c r="G253" s="2465" t="n"/>
      <c r="H253" s="2465" t="n"/>
      <c r="I253" s="2465" t="n"/>
      <c r="J253" s="2465" t="n"/>
      <c r="N253" s="40" t="n"/>
      <c r="O253" s="40" t="n"/>
      <c r="P253" s="1459">
        <f>D253*E253</f>
        <v/>
      </c>
      <c r="Q253" s="24" t="n"/>
      <c r="R253" s="2465" t="n"/>
      <c r="S253" s="273" t="n"/>
      <c r="T253" s="273" t="n"/>
      <c r="U253" s="273" t="n"/>
      <c r="V253" s="273" t="n"/>
      <c r="W253" s="273" t="n"/>
      <c r="X253" s="2465" t="n"/>
      <c r="Y253" s="2465" t="n"/>
      <c r="Z253" s="2465" t="n"/>
      <c r="AA253" s="2465" t="n"/>
      <c r="AB253" s="2465" t="n"/>
      <c r="AC253" s="246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69">
      <c r="A254" s="1187" t="n"/>
      <c r="B254" s="133">
        <f>IF($P$53&gt;=$R$53,"Ne veut pas faire de compromis sur la logistique familiale ou le temps passé avec les enfants ","")</f>
        <v/>
      </c>
      <c r="C254" s="1280" t="n"/>
      <c r="D254" s="1445" t="n">
        <v>5</v>
      </c>
      <c r="E254" s="1463">
        <f>'TEST_pour PROTOTYPE'!D224</f>
        <v/>
      </c>
      <c r="F254" s="40" t="n"/>
      <c r="G254" s="2465" t="n"/>
      <c r="H254" s="2465" t="n"/>
      <c r="I254" s="2465" t="n"/>
      <c r="J254" s="2465" t="n"/>
      <c r="N254" s="40" t="n"/>
      <c r="O254" s="40" t="n"/>
      <c r="P254" s="1459">
        <f>D254*E254</f>
        <v/>
      </c>
      <c r="Q254" s="24" t="n"/>
      <c r="R254" s="2465">
        <f>IF(BIBLE!K145=0,"",BIBLE!#REF!)</f>
        <v/>
      </c>
      <c r="S254" s="273" t="n"/>
      <c r="T254" s="273" t="n"/>
      <c r="U254" s="273" t="n"/>
      <c r="V254" s="273" t="n"/>
      <c r="W254" s="273" t="n"/>
      <c r="X254" s="2465" t="n"/>
      <c r="Y254" s="2465" t="n"/>
      <c r="Z254" s="2465" t="n"/>
      <c r="AA254" s="2465" t="n"/>
      <c r="AB254" s="2465" t="n"/>
      <c r="AC254" s="246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69">
      <c r="A255" s="1187" t="n"/>
      <c r="B255" s="133">
        <f>IF($P$53&gt;=$R$53,"Souhaite vous blesser et se venger en vous retirant les enfants ","")</f>
        <v/>
      </c>
      <c r="C255" s="1280" t="n"/>
      <c r="D255" s="1445" t="n">
        <v>10</v>
      </c>
      <c r="E255" s="1463">
        <f>'TEST_pour PROTOTYPE'!D225</f>
        <v/>
      </c>
      <c r="F255" s="40" t="n"/>
      <c r="G255" s="2465" t="n"/>
      <c r="H255" s="2465" t="n"/>
      <c r="I255" s="2465" t="n"/>
      <c r="J255" s="2465" t="n"/>
      <c r="N255" s="40" t="n"/>
      <c r="O255" s="40" t="n"/>
      <c r="P255" s="1459">
        <f>D255*E255</f>
        <v/>
      </c>
      <c r="Q255" s="24" t="n"/>
      <c r="R255" s="2465" t="n"/>
      <c r="S255" s="273" t="n"/>
      <c r="T255" s="273" t="n"/>
      <c r="U255" s="273" t="n"/>
      <c r="V255" s="273" t="n"/>
      <c r="W255" s="273" t="n"/>
      <c r="X255" s="2465" t="n"/>
      <c r="Y255" s="2465" t="n"/>
      <c r="Z255" s="2465" t="n"/>
      <c r="AA255" s="2465" t="n"/>
      <c r="AB255" s="2465" t="n"/>
      <c r="AC255" s="246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69">
      <c r="A256" s="1187" t="n"/>
      <c r="B256" s="133">
        <f>IF($P$53&gt;=$R$53,"S'approprie les enfants (désir de garde exclusive)","")</f>
        <v/>
      </c>
      <c r="C256" s="1280" t="n"/>
      <c r="D256" s="1445" t="n">
        <v>7</v>
      </c>
      <c r="E256" s="1463">
        <f>'TEST_pour PROTOTYPE'!D226</f>
        <v/>
      </c>
      <c r="F256" s="40" t="n"/>
      <c r="G256" s="2465" t="n"/>
      <c r="H256" s="2465" t="n"/>
      <c r="I256" s="2465" t="n"/>
      <c r="J256" s="2465" t="n"/>
      <c r="N256" s="40" t="n"/>
      <c r="O256" s="40" t="n"/>
      <c r="P256" s="1459">
        <f>D256*E256</f>
        <v/>
      </c>
      <c r="Q256" s="24" t="n"/>
      <c r="R256" s="2465" t="n"/>
      <c r="S256" s="273" t="n"/>
      <c r="T256" s="273" t="n"/>
      <c r="U256" s="273" t="n"/>
      <c r="V256" s="273" t="n"/>
      <c r="W256" s="273" t="n"/>
      <c r="X256" s="2465" t="n"/>
      <c r="Y256" s="2465" t="n"/>
      <c r="Z256" s="2465" t="n"/>
      <c r="AA256" s="2465" t="n"/>
      <c r="AB256" s="2465" t="n"/>
      <c r="AC256" s="246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69">
      <c r="A257" s="1187" t="n"/>
      <c r="B257" s="133">
        <f>IF($P$53&gt;=$R$53,"Aucun","")</f>
        <v/>
      </c>
      <c r="C257" s="1279" t="n"/>
      <c r="D257" s="1445" t="n">
        <v>0</v>
      </c>
      <c r="E257" s="1463">
        <f>'TEST_pour PROTOTYPE'!D227</f>
        <v/>
      </c>
      <c r="F257" s="40" t="n"/>
      <c r="G257" s="2465" t="n"/>
      <c r="H257" s="2465" t="n"/>
      <c r="I257" s="2465" t="n"/>
      <c r="J257" s="2465" t="n"/>
      <c r="N257" s="40" t="n"/>
      <c r="O257" s="40" t="n"/>
      <c r="P257" s="1459">
        <f>D257*E257</f>
        <v/>
      </c>
      <c r="Q257" s="24" t="n"/>
      <c r="R257" s="2465" t="n"/>
      <c r="S257" s="273" t="n"/>
      <c r="T257" s="273" t="n"/>
      <c r="U257" s="273" t="n"/>
      <c r="V257" s="273" t="n"/>
      <c r="W257" s="273" t="n"/>
      <c r="X257" s="2465" t="n"/>
      <c r="Y257" s="2465" t="n"/>
      <c r="Z257" s="2465" t="n"/>
      <c r="AA257" s="2465" t="n"/>
      <c r="AB257" s="2465" t="n"/>
      <c r="AC257" s="246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69">
      <c r="A258" s="1187" t="n"/>
      <c r="B258" s="133">
        <f>IF($P$53&gt;=$R$53,"Autre (spécifiez)","")</f>
        <v/>
      </c>
      <c r="C258" s="1279" t="n"/>
      <c r="D258" s="1445" t="inlineStr">
        <is>
          <t>Custom</t>
        </is>
      </c>
      <c r="E258" s="40" t="n"/>
      <c r="F258" s="40" t="n"/>
      <c r="G258" s="2465" t="n"/>
      <c r="H258" s="2465" t="n"/>
      <c r="I258" s="2465" t="n"/>
      <c r="J258" s="2465" t="n"/>
      <c r="N258" s="40" t="n"/>
      <c r="O258" s="40" t="n"/>
      <c r="P258" s="1459" t="n"/>
      <c r="Q258" s="24" t="n"/>
      <c r="R258" s="2465" t="n"/>
      <c r="S258" s="273" t="n"/>
      <c r="T258" s="273" t="n"/>
      <c r="U258" s="273" t="n"/>
      <c r="V258" s="273" t="n"/>
      <c r="W258" s="273" t="n"/>
      <c r="X258" s="2465" t="n"/>
      <c r="Y258" s="2465" t="n"/>
      <c r="Z258" s="2465" t="n"/>
      <c r="AA258" s="2465" t="n"/>
      <c r="AB258" s="2465" t="n"/>
      <c r="AC258" s="246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69">
      <c r="A259" s="1187" t="n"/>
      <c r="B259" s="133" t="n"/>
      <c r="C259" s="100" t="n"/>
      <c r="D259" s="266" t="n"/>
      <c r="E259" s="40" t="n"/>
      <c r="F259" s="40" t="n"/>
      <c r="G259" s="2465" t="n"/>
      <c r="H259" s="2465" t="n"/>
      <c r="I259" s="2465" t="n"/>
      <c r="J259" s="246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69">
      <c r="A260" s="105" t="n"/>
      <c r="B260" s="2580" t="n"/>
      <c r="C260" s="2463" t="n"/>
      <c r="D260" s="2472" t="n"/>
      <c r="E260" s="40" t="n"/>
      <c r="F260" s="40" t="n"/>
      <c r="G260" s="2465" t="n"/>
      <c r="H260" s="2465" t="n"/>
      <c r="I260" s="2465" t="n"/>
      <c r="J260" s="2465" t="n"/>
      <c r="L260" s="67" t="n"/>
      <c r="M260" s="6" t="n"/>
      <c r="N260" s="40" t="n"/>
      <c r="O260" s="40" t="n"/>
      <c r="P260" s="40" t="n"/>
      <c r="Q260" s="40" t="n"/>
      <c r="R260" s="40" t="n"/>
      <c r="S260" s="40" t="n"/>
      <c r="T260" s="40" t="n"/>
      <c r="U260" s="40" t="n"/>
      <c r="V260" s="273" t="n"/>
      <c r="W260" s="40" t="n"/>
      <c r="X260" s="2465" t="n"/>
      <c r="Y260" s="2469" t="inlineStr">
        <is>
          <t>Faible</t>
        </is>
      </c>
      <c r="Z260" s="2465" t="inlineStr">
        <is>
          <t>Faible à modéré</t>
        </is>
      </c>
      <c r="AA260" s="2465" t="inlineStr">
        <is>
          <t>Modéré</t>
        </is>
      </c>
      <c r="AB260" s="2465" t="inlineStr">
        <is>
          <t>Sévère</t>
        </is>
      </c>
      <c r="AC260" s="246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1">
      <c r="A261" s="105" t="n"/>
      <c r="B261" s="2580" t="n"/>
      <c r="C261" s="100" t="n"/>
      <c r="D261" s="1643" t="n"/>
      <c r="G261" s="135" t="n"/>
      <c r="H261" s="135" t="n"/>
      <c r="I261" s="135" t="n"/>
      <c r="J261" s="135" t="n"/>
      <c r="K261" s="2469" t="n"/>
      <c r="P261" s="23" t="n"/>
      <c r="Q261" s="24" t="n"/>
      <c r="V261" s="2465" t="n"/>
      <c r="X261" s="2481"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1" thickBot="1">
      <c r="A262" s="516" t="inlineStr">
        <is>
          <t>Enfant</t>
        </is>
      </c>
      <c r="B262" s="2580" t="n"/>
      <c r="C262" s="460" t="n"/>
      <c r="D262" s="2481"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1" thickTop="1">
      <c r="A263" s="1188">
        <f>BIBLE!E151</f>
        <v/>
      </c>
      <c r="B263" s="463">
        <f>BIBLE!F151</f>
        <v/>
      </c>
      <c r="C263" s="2499">
        <f>BIBLE!O151</f>
        <v/>
      </c>
      <c r="D263" s="1278">
        <f>BIBLE!L151</f>
        <v/>
      </c>
      <c r="E263" s="2469" t="n"/>
      <c r="F263" s="2469" t="n"/>
      <c r="G263" s="136" t="n"/>
      <c r="H263" s="136" t="n"/>
      <c r="I263" s="136" t="n"/>
      <c r="J263" s="136" t="n"/>
      <c r="K263" s="2580" t="n"/>
      <c r="L263" s="2469" t="n"/>
      <c r="M263" s="2469" t="n"/>
      <c r="N263" s="2469" t="n">
        <v>1</v>
      </c>
      <c r="O263" s="2469" t="n"/>
      <c r="P263" s="1547">
        <f>'TEST_pour PROTOTYPE'!D242</f>
        <v/>
      </c>
      <c r="Q263" s="24">
        <f>P263*D263</f>
        <v/>
      </c>
      <c r="R263" s="2465">
        <f>IF(BIBLE!K151=0,"",BIBLE!K151)</f>
        <v/>
      </c>
      <c r="V263" s="2465" t="n"/>
      <c r="X263" s="2465" t="n"/>
      <c r="Y263" s="2465" t="n"/>
      <c r="Z263" s="2465" t="n"/>
      <c r="AA263" s="2465" t="n"/>
      <c r="AB263" s="2465" t="n"/>
      <c r="AC263" s="246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1">
      <c r="A264" s="1188">
        <f>BIBLE!E152</f>
        <v/>
      </c>
      <c r="B264" s="463">
        <f>BIBLE!F152</f>
        <v/>
      </c>
      <c r="C264" s="2499">
        <f>BIBLE!O152</f>
        <v/>
      </c>
      <c r="D264" s="1278">
        <f>BIBLE!L152</f>
        <v/>
      </c>
      <c r="E264" s="2469" t="n"/>
      <c r="F264" s="2469" t="n"/>
      <c r="G264" s="136" t="n"/>
      <c r="H264" s="136" t="n"/>
      <c r="I264" s="136" t="n"/>
      <c r="J264" s="136" t="n">
        <v>1</v>
      </c>
      <c r="K264" s="2580" t="n"/>
      <c r="L264" s="2469" t="n"/>
      <c r="M264" s="2469" t="n"/>
      <c r="N264" s="2469" t="n"/>
      <c r="O264" s="2469" t="n"/>
      <c r="P264" s="1547">
        <f>'TEST_pour PROTOTYPE'!D243</f>
        <v/>
      </c>
      <c r="Q264" s="24">
        <f>P264*D264</f>
        <v/>
      </c>
      <c r="R264" s="2465">
        <f>IF(BIBLE!K152=0,"",BIBLE!K152)</f>
        <v/>
      </c>
      <c r="V264" s="2465" t="n"/>
      <c r="X264" s="2465" t="n"/>
      <c r="Y264" s="2465" t="n"/>
      <c r="Z264" s="2465" t="n"/>
      <c r="AA264" s="2465" t="n"/>
      <c r="AB264" s="2465" t="n"/>
      <c r="AC264" s="246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69">
      <c r="A265" s="1188">
        <f>BIBLE!E153</f>
        <v/>
      </c>
      <c r="B265" s="134">
        <f>IF(P264&gt;=R264,BIBLE!F153,"")</f>
        <v/>
      </c>
      <c r="C265" s="2499">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65">
        <f>IF(BIBLE!K153=0,"",BIBLE!K153)</f>
        <v/>
      </c>
      <c r="S265" s="40" t="n"/>
      <c r="T265" s="40" t="n"/>
      <c r="U265" s="40" t="n"/>
      <c r="V265" s="273" t="n"/>
      <c r="W265" s="40" t="n"/>
      <c r="X265" s="2465" t="n"/>
      <c r="Y265" s="2465" t="n"/>
      <c r="Z265" s="2465" t="n"/>
      <c r="AA265" s="2465" t="n"/>
      <c r="AB265" s="2465" t="n"/>
      <c r="AC265" s="246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1" thickBot="1">
      <c r="A266" s="1188" t="n"/>
      <c r="B266" s="133" t="n"/>
      <c r="C266" s="2499"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5" t="n"/>
      <c r="X266" s="2465" t="n"/>
      <c r="Y266" s="2465" t="n"/>
      <c r="Z266" s="2465" t="n"/>
      <c r="AA266" s="2465" t="n"/>
      <c r="AB266" s="2465" t="n"/>
      <c r="AC266" s="246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69" thickTop="1">
      <c r="A267" s="1188">
        <f>BIBLE!E154</f>
        <v/>
      </c>
      <c r="B267" s="463">
        <f>BIBLE!F154</f>
        <v/>
      </c>
      <c r="C267" s="2499">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65">
        <f>IF(BIBLE!K154=0,"",BIBLE!K154)</f>
        <v/>
      </c>
      <c r="S267" s="2501" t="n"/>
      <c r="T267" s="2501" t="n"/>
      <c r="U267" s="2501" t="n"/>
      <c r="V267" s="6">
        <f>IF(P267&gt;=R267,IF(Q267&gt;Q268,Q267,Q268),Q267)</f>
        <v/>
      </c>
      <c r="W267" s="246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69">
      <c r="A268" s="1188">
        <f>BIBLE!E155</f>
        <v/>
      </c>
      <c r="B268" s="134">
        <f>IF(P267&gt;=R267,BIBLE!F155,"")</f>
        <v/>
      </c>
      <c r="C268" s="2499">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65">
        <f>IF(BIBLE!K155=0,"",BIBLE!K155)</f>
        <v/>
      </c>
      <c r="V268" s="246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69">
      <c r="A269" s="1188">
        <f>BIBLE!E156</f>
        <v/>
      </c>
      <c r="B269" s="463">
        <f>IF($P$59&gt;=3,BIBLE!F156,"")</f>
        <v/>
      </c>
      <c r="C269" s="2499">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65">
        <f>IF(BIBLE!K156=0,"",BIBLE!K156)</f>
        <v/>
      </c>
      <c r="V269" s="6">
        <f>MAX(AS269:AS271)</f>
        <v/>
      </c>
      <c r="W269" s="246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69">
      <c r="A270" s="1188">
        <f>BIBLE!E157</f>
        <v/>
      </c>
      <c r="B270" s="134">
        <f>IF(P269&gt;=R269,BIBLE!F157,"")</f>
        <v/>
      </c>
      <c r="C270" s="2499">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65">
        <f>IF(BIBLE!K157=0,"",BIBLE!K157)</f>
        <v/>
      </c>
      <c r="V270" s="246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1" t="inlineStr">
        <is>
          <t>Deux SQ, mais à un niveau différent, on prend le max entre la Q et les SQ</t>
        </is>
      </c>
    </row>
    <row r="271" ht="62" customFormat="1" customHeight="1" s="2469">
      <c r="A271" s="1188">
        <f>BIBLE!E158</f>
        <v/>
      </c>
      <c r="B271" s="134">
        <f>IF(P270&gt;=R270,BIBLE!F158,"")</f>
        <v/>
      </c>
      <c r="C271" s="2499">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65">
        <f>IF(BIBLE!K158=0,"",BIBLE!K158)</f>
        <v/>
      </c>
      <c r="S271" s="41" t="n"/>
      <c r="T271" s="41" t="n"/>
      <c r="U271" s="41" t="n"/>
      <c r="V271" s="246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1" t="n"/>
    </row>
    <row r="272" ht="77" customFormat="1" customHeight="1" s="2469">
      <c r="A272" s="1188">
        <f>BIBLE!E159</f>
        <v/>
      </c>
      <c r="B272" s="463">
        <f>BIBLE!F159</f>
        <v/>
      </c>
      <c r="C272" s="2499">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6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69">
      <c r="A273" s="1188">
        <f>BIBLE!E160</f>
        <v/>
      </c>
      <c r="B273" s="134">
        <f>IF(P272&gt;=R272,BIBLE!F160,"")</f>
        <v/>
      </c>
      <c r="C273" s="2499" t="n"/>
      <c r="D273" s="1278" t="n"/>
      <c r="E273" s="20" t="n"/>
      <c r="F273" s="20" t="n"/>
      <c r="G273" s="20" t="n"/>
      <c r="H273" s="20" t="n"/>
      <c r="I273" s="20" t="n"/>
      <c r="J273" s="20" t="n"/>
      <c r="K273" s="52" t="n"/>
      <c r="L273" s="20" t="n"/>
      <c r="M273" s="20" t="n"/>
      <c r="N273" s="20" t="n"/>
      <c r="O273" s="1545" t="inlineStr">
        <is>
          <t>somme</t>
        </is>
      </c>
      <c r="P273" s="23">
        <f>SUM(P274:P277)</f>
        <v/>
      </c>
      <c r="Q273" s="24" t="n"/>
      <c r="R273" s="2465">
        <f>IF(BIBLE!K160=0,"",BIBLE!K160)</f>
        <v/>
      </c>
      <c r="S273" s="40" t="n"/>
      <c r="T273" s="40" t="n"/>
      <c r="U273" s="40" t="n"/>
      <c r="V273" s="6" t="n"/>
      <c r="W273" s="246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69">
      <c r="A274" s="1188" t="n"/>
      <c r="B274" s="134">
        <f>IF(P272&gt;=R272,"Au retour d'un séjour (garde) de l'autre parent","")</f>
        <v/>
      </c>
      <c r="C274" s="2499" t="n"/>
      <c r="D274" s="1445" t="n">
        <v>1</v>
      </c>
      <c r="E274" s="1463">
        <f>'TEST_pour PROTOTYPE'!D251</f>
        <v/>
      </c>
      <c r="F274" s="20" t="n"/>
      <c r="G274" s="20" t="n"/>
      <c r="H274" s="20" t="n"/>
      <c r="I274" s="20" t="n"/>
      <c r="J274" s="20" t="n"/>
      <c r="K274" s="52" t="n"/>
      <c r="L274" s="20" t="n"/>
      <c r="M274" s="20" t="n"/>
      <c r="N274" s="20" t="n"/>
      <c r="O274" s="20" t="n"/>
      <c r="P274" s="1458">
        <f>D274*E274</f>
        <v/>
      </c>
      <c r="Q274" s="24" t="n"/>
      <c r="R274" s="2465" t="n"/>
      <c r="S274" s="40" t="n"/>
      <c r="T274" s="40" t="n"/>
      <c r="U274" s="40" t="n"/>
      <c r="V274" s="6" t="n"/>
      <c r="W274" s="246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69">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65" t="n"/>
      <c r="S275" s="40" t="n"/>
      <c r="T275" s="40" t="n"/>
      <c r="U275" s="40" t="n"/>
      <c r="V275" s="6" t="n"/>
      <c r="W275" s="246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69">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65" t="n"/>
      <c r="S276" s="40" t="n"/>
      <c r="T276" s="40" t="n"/>
      <c r="U276" s="40" t="n"/>
      <c r="V276" s="6" t="n"/>
      <c r="W276" s="246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69">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65" t="n"/>
      <c r="S277" s="40" t="n"/>
      <c r="T277" s="40" t="n"/>
      <c r="U277" s="40" t="n"/>
      <c r="V277" s="6" t="n"/>
      <c r="W277" s="246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69">
      <c r="A278" s="1188">
        <f>BIBLE!E161</f>
        <v/>
      </c>
      <c r="B278" s="463">
        <f>BIBLE!F161</f>
        <v/>
      </c>
      <c r="C278" s="2499">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65">
        <f>IF(BIBLE!K161=0,"",BIBLE!K161)</f>
        <v/>
      </c>
      <c r="S278" s="40" t="n"/>
      <c r="T278" s="40" t="n"/>
      <c r="U278" s="40" t="n"/>
      <c r="V278" s="6">
        <f>MAX(AS278:AS280)</f>
        <v/>
      </c>
      <c r="W278" s="246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69">
      <c r="A279" s="1188">
        <f>BIBLE!E162</f>
        <v/>
      </c>
      <c r="B279" s="134">
        <f>IF(OR(P278&gt;=R278),BIBLE!F162,"")</f>
        <v/>
      </c>
      <c r="C279" s="2499">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65">
        <f>IF(BIBLE!K162=0,"",BIBLE!K162)</f>
        <v/>
      </c>
      <c r="S279" s="40" t="n"/>
      <c r="T279" s="40" t="n"/>
      <c r="U279" s="40" t="n"/>
      <c r="V279" s="246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1" t="inlineStr">
        <is>
          <t>Deux SQ, mais à un niveau différent, on prend le max entre la Q et les SQ</t>
        </is>
      </c>
    </row>
    <row r="280" ht="63" customFormat="1" customHeight="1" s="2469">
      <c r="A280" s="1188">
        <f>BIBLE!E163</f>
        <v/>
      </c>
      <c r="B280" s="134">
        <f>IF(P279&gt;=R279,BIBLE!F163,"")</f>
        <v/>
      </c>
      <c r="C280" s="2499">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65">
        <f>IF(BIBLE!K163=0,"",BIBLE!K163)</f>
        <v/>
      </c>
      <c r="S280" s="40" t="n"/>
      <c r="T280" s="40" t="n"/>
      <c r="U280" s="40" t="n"/>
      <c r="V280" s="246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1" t="n"/>
    </row>
    <row r="281" ht="63" customFormat="1" customHeight="1" s="2469">
      <c r="A281" s="1188">
        <f>BIBLE!E164</f>
        <v/>
      </c>
      <c r="B281" s="463">
        <f>BIBLE!F164</f>
        <v/>
      </c>
      <c r="C281" s="2499">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6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69">
      <c r="A282" s="1188">
        <f>BIBLE!E165</f>
        <v/>
      </c>
      <c r="B282" s="463">
        <f>IF(OR($P$53&gt;=$R$53,P68&gt;=2),BIBLE!F165,"")</f>
        <v/>
      </c>
      <c r="C282" s="2499">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6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69">
      <c r="A283" s="1188">
        <f>BIBLE!E166</f>
        <v/>
      </c>
      <c r="B283" s="463">
        <f>BIBLE!F166</f>
        <v/>
      </c>
      <c r="C283" s="2499">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6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69">
      <c r="A284" s="1188">
        <f>BIBLE!E167</f>
        <v/>
      </c>
      <c r="B284" s="463">
        <f>BIBLE!F167</f>
        <v/>
      </c>
      <c r="C284" s="2499">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6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69">
      <c r="A285" s="1188">
        <f>BIBLE!E168</f>
        <v/>
      </c>
      <c r="B285" s="463">
        <f>IF(P42&lt;&gt;1,BIBLE!F168,"")</f>
        <v/>
      </c>
      <c r="C285" s="2499">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6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69">
      <c r="A286" s="1188">
        <f>BIBLE!E169</f>
        <v/>
      </c>
      <c r="B286" s="463">
        <f>IF(P46&lt;&gt;1,BIBLE!F169,"")</f>
        <v/>
      </c>
      <c r="C286" s="2499">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65">
        <f>IF(BIBLE!K169=0,"",BIBLE!K169)</f>
        <v/>
      </c>
      <c r="S286" s="40" t="n"/>
      <c r="T286" s="40" t="n"/>
      <c r="U286" s="40" t="n"/>
      <c r="V286" s="6">
        <f>IF(P286&gt;=R286,IF(Q286&gt;Q287,Q286,Q287),Q286)</f>
        <v/>
      </c>
      <c r="W286" s="246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69">
      <c r="A287" s="1188">
        <f>BIBLE!E170</f>
        <v/>
      </c>
      <c r="B287" s="134">
        <f>IF(P286&gt;=R286,BIBLE!F170,"")</f>
        <v/>
      </c>
      <c r="C287" s="2499">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6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69">
      <c r="A288" s="1188">
        <f>BIBLE!E171</f>
        <v/>
      </c>
      <c r="B288" s="133">
        <f>BIBLE!F171</f>
        <v/>
      </c>
      <c r="C288" s="2499">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65">
        <f>IF(BIBLE!K171=0,"",BIBLE!K171)</f>
        <v/>
      </c>
      <c r="S288" s="40" t="n"/>
      <c r="T288" s="40" t="n"/>
      <c r="U288" s="40" t="n"/>
      <c r="V288" s="6">
        <f>IF(P288&gt;=R288,IF(Q288&gt;Q289,Q288,Q289),Q288)</f>
        <v/>
      </c>
      <c r="W288" s="246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69">
      <c r="A289" s="1188">
        <f>BIBLE!E172</f>
        <v/>
      </c>
      <c r="B289" s="134">
        <f>IF(P288&gt;=R288,BIBLE!F172,"")</f>
        <v/>
      </c>
      <c r="C289" s="2499">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6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1" t="inlineStr">
        <is>
          <t>Plusieurs SQ au même niveau, les additionner</t>
        </is>
      </c>
    </row>
    <row r="290" ht="63" customFormat="1" customHeight="1" s="2469">
      <c r="A290" s="1188">
        <f>BIBLE!E173</f>
        <v/>
      </c>
      <c r="B290" s="133">
        <f>BIBLE!F173</f>
        <v/>
      </c>
      <c r="C290" s="2499">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65">
        <f>IF(BIBLE!K173=0,"",BIBLE!K173)</f>
        <v/>
      </c>
      <c r="S290" s="41" t="n"/>
      <c r="T290" s="41" t="n"/>
      <c r="U290" s="41" t="n"/>
      <c r="V290" s="6">
        <f>IF(P290&gt;=R290,IF(SUM(Q296:Q298)&gt;Q290,SUM(Q296:Q298),Q290),Q290)</f>
        <v/>
      </c>
      <c r="W290" s="246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20" t="n"/>
      <c r="AU290" s="6">
        <f>IF($Q290&gt;0,X$109*$D290,0)</f>
        <v/>
      </c>
      <c r="AV290" s="6">
        <f>IF($Q290&gt;0,Y$109*$D290,0)</f>
        <v/>
      </c>
      <c r="AW290" s="6">
        <f>IF($Q290&gt;0,Z$109*$D290,0)</f>
        <v/>
      </c>
      <c r="AX290" s="6">
        <f>IF($Q290&gt;0,AA$109*$D290,0)</f>
        <v/>
      </c>
      <c r="AY290" s="6">
        <f>IF($Q290&gt;0,AB$109*$D290,0)</f>
        <v/>
      </c>
      <c r="AZ290" s="6">
        <f>IF($Q290&gt;0,AC$109*$D290,0)</f>
        <v/>
      </c>
      <c r="BA290" s="2465" t="n"/>
      <c r="BB290" s="6">
        <f>AS290</f>
        <v/>
      </c>
      <c r="BC290" s="2465" t="n"/>
      <c r="BD290" s="6">
        <f>AU290</f>
        <v/>
      </c>
      <c r="BE290" s="6">
        <f>AV290</f>
        <v/>
      </c>
      <c r="BF290" s="6">
        <f>AW290</f>
        <v/>
      </c>
      <c r="BG290" s="6">
        <f>AX290</f>
        <v/>
      </c>
      <c r="BH290" s="6">
        <f>AY290</f>
        <v/>
      </c>
      <c r="BI290" s="6">
        <f>AZ290</f>
        <v/>
      </c>
    </row>
    <row r="291" ht="48" customFormat="1" customHeight="1" s="2469">
      <c r="A291" s="1188">
        <f>BIBLE!E174</f>
        <v/>
      </c>
      <c r="B291" s="1669">
        <f>IF(P290&gt;=R290,BIBLE!F174,"")</f>
        <v/>
      </c>
      <c r="C291" s="2499" t="n"/>
      <c r="D291" s="1278" t="n"/>
      <c r="E291" s="2465" t="n"/>
      <c r="F291" s="20" t="n"/>
      <c r="G291" s="20" t="n"/>
      <c r="H291" s="20" t="n"/>
      <c r="I291" s="20" t="n"/>
      <c r="J291" s="20" t="n"/>
      <c r="K291" s="20" t="n"/>
      <c r="L291" s="20" t="n"/>
      <c r="M291" s="20" t="n"/>
      <c r="N291" s="20" t="n"/>
      <c r="O291" s="20" t="inlineStr">
        <is>
          <t>Max :</t>
        </is>
      </c>
      <c r="P291" s="24">
        <f>MAX(P292:P294)</f>
        <v/>
      </c>
      <c r="Q291" s="24" t="n"/>
      <c r="R291" s="2465" t="n"/>
      <c r="S291" s="41" t="n"/>
      <c r="T291" s="41" t="n"/>
      <c r="U291" s="41" t="n"/>
      <c r="V291" s="6" t="n"/>
      <c r="W291" s="246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20" t="n"/>
      <c r="AU291" s="6" t="n"/>
      <c r="AV291" s="6" t="n"/>
      <c r="AW291" s="6" t="n"/>
      <c r="AX291" s="6" t="n"/>
      <c r="AY291" s="6" t="n"/>
      <c r="AZ291" s="6" t="n"/>
      <c r="BA291" s="2465" t="n"/>
      <c r="BB291" s="6" t="n"/>
      <c r="BC291" s="2465" t="n"/>
      <c r="BD291" s="6" t="n"/>
      <c r="BE291" s="6" t="n"/>
      <c r="BF291" s="6" t="n"/>
      <c r="BG291" s="6" t="n"/>
      <c r="BH291" s="6" t="n"/>
      <c r="BI291" s="6" t="n"/>
    </row>
    <row r="292" ht="44" customFormat="1" customHeight="1" s="2469">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65" t="n"/>
      <c r="S292" s="41" t="n"/>
      <c r="T292" s="41" t="n"/>
      <c r="U292" s="41" t="n"/>
      <c r="V292" s="6" t="n"/>
      <c r="W292" s="246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20" t="n"/>
      <c r="AU292" s="6" t="n"/>
      <c r="AV292" s="6" t="n"/>
      <c r="AW292" s="6" t="n"/>
      <c r="AX292" s="6" t="n"/>
      <c r="AY292" s="6" t="n"/>
      <c r="AZ292" s="6" t="n"/>
      <c r="BA292" s="2465" t="n"/>
      <c r="BB292" s="6" t="n"/>
      <c r="BC292" s="2465" t="n"/>
      <c r="BD292" s="6" t="n"/>
      <c r="BE292" s="6" t="n"/>
      <c r="BF292" s="6" t="n"/>
      <c r="BG292" s="6" t="n"/>
      <c r="BH292" s="6" t="n"/>
      <c r="BI292" s="6" t="n"/>
    </row>
    <row r="293" ht="44" customFormat="1" customHeight="1" s="2469">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65" t="n"/>
      <c r="S293" s="41" t="n"/>
      <c r="T293" s="41" t="n"/>
      <c r="U293" s="41" t="n"/>
      <c r="V293" s="6" t="n"/>
      <c r="W293" s="246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20" t="n"/>
      <c r="AU293" s="6" t="n"/>
      <c r="AV293" s="6" t="n"/>
      <c r="AW293" s="6" t="n"/>
      <c r="AX293" s="6" t="n"/>
      <c r="AY293" s="6" t="n"/>
      <c r="AZ293" s="6" t="n"/>
      <c r="BA293" s="2465" t="n"/>
      <c r="BB293" s="6" t="n"/>
      <c r="BC293" s="2465" t="n"/>
      <c r="BD293" s="6" t="n"/>
      <c r="BE293" s="6" t="n"/>
      <c r="BF293" s="6" t="n"/>
      <c r="BG293" s="6" t="n"/>
      <c r="BH293" s="6" t="n"/>
      <c r="BI293" s="6" t="n"/>
    </row>
    <row r="294" ht="44" customFormat="1" customHeight="1" s="2469">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65" t="n"/>
      <c r="S294" s="41" t="n"/>
      <c r="T294" s="41" t="n"/>
      <c r="U294" s="41" t="n"/>
      <c r="V294" s="6" t="n"/>
      <c r="W294" s="246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20" t="n"/>
      <c r="AU294" s="6" t="n"/>
      <c r="AV294" s="6" t="n"/>
      <c r="AW294" s="6" t="n"/>
      <c r="AX294" s="6" t="n"/>
      <c r="AY294" s="6" t="n"/>
      <c r="AZ294" s="6" t="n"/>
      <c r="BA294" s="2465" t="n"/>
      <c r="BB294" s="6" t="n"/>
      <c r="BC294" s="2465" t="n"/>
      <c r="BD294" s="6" t="n"/>
      <c r="BE294" s="6" t="n"/>
      <c r="BF294" s="6" t="n"/>
      <c r="BG294" s="6" t="n"/>
      <c r="BH294" s="6" t="n"/>
      <c r="BI294" s="6" t="n"/>
    </row>
    <row r="295" ht="4" customFormat="1" customHeight="1" s="2469">
      <c r="A295" s="1188" t="n"/>
      <c r="B295" s="134" t="n"/>
      <c r="C295" s="842" t="n"/>
      <c r="D295" s="842" t="n"/>
      <c r="E295" s="1551" t="n"/>
      <c r="F295" s="2465" t="n"/>
      <c r="G295" s="2465" t="n"/>
      <c r="H295" s="2465" t="n"/>
      <c r="I295" s="20" t="n"/>
      <c r="J295" s="20" t="n"/>
      <c r="K295" s="20" t="n"/>
      <c r="L295" s="20" t="n"/>
      <c r="M295" s="20" t="n"/>
      <c r="N295" s="20" t="n"/>
      <c r="O295" s="20" t="n"/>
      <c r="P295" s="24" t="n"/>
      <c r="Q295" s="24" t="n"/>
      <c r="R295" s="2465" t="n"/>
      <c r="S295" s="41" t="n"/>
      <c r="T295" s="41" t="n"/>
      <c r="U295" s="41" t="n"/>
      <c r="V295" s="6" t="n"/>
      <c r="W295" s="246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20" t="n"/>
      <c r="AU295" s="6" t="n"/>
      <c r="AV295" s="6" t="n"/>
      <c r="AW295" s="6" t="n"/>
      <c r="AX295" s="6" t="n"/>
      <c r="AY295" s="6" t="n"/>
      <c r="AZ295" s="6" t="n"/>
      <c r="BA295" s="2465" t="n"/>
      <c r="BB295" s="6" t="n"/>
      <c r="BC295" s="2465" t="n"/>
      <c r="BD295" s="6" t="n"/>
      <c r="BE295" s="6" t="n"/>
      <c r="BF295" s="6" t="n"/>
      <c r="BG295" s="6" t="n"/>
      <c r="BH295" s="6" t="n"/>
      <c r="BI295" s="6" t="n"/>
    </row>
    <row r="296" ht="63" customFormat="1" customHeight="1" s="2469">
      <c r="A296" s="1188">
        <f>BIBLE!E175</f>
        <v/>
      </c>
      <c r="B296" s="134">
        <f>IF(E$294=1,BIBLE!F175,"")</f>
        <v/>
      </c>
      <c r="C296" s="2499">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65">
        <f>IF(BIBLE!K175=0,"",BIBLE!K175)</f>
        <v/>
      </c>
      <c r="S296" s="41" t="n"/>
      <c r="T296" s="41" t="n"/>
      <c r="U296" s="41" t="n"/>
      <c r="V296" s="2465" t="n"/>
      <c r="AE296" s="473" t="n"/>
      <c r="AF296" s="38" t="n"/>
      <c r="AG296" s="38" t="n"/>
      <c r="AH296" s="69" t="n"/>
      <c r="AI296" s="69" t="n"/>
      <c r="AJ296" s="69" t="n"/>
      <c r="AK296" s="677" t="n"/>
      <c r="AL296" s="677" t="n"/>
      <c r="AM296" s="677" t="n"/>
      <c r="AN296" s="677" t="n"/>
      <c r="AO296" s="677" t="n"/>
      <c r="AP296" s="677" t="n"/>
      <c r="AQ296" s="677" t="n"/>
      <c r="AR296" s="677" t="n"/>
      <c r="AS296" s="6">
        <f>Q296</f>
        <v/>
      </c>
      <c r="AT296" s="2520" t="n"/>
      <c r="AU296" s="6">
        <f>IF($Q296&gt;0,X$109*$D296,0)</f>
        <v/>
      </c>
      <c r="AV296" s="6">
        <f>IF($Q296&gt;0,Y$109*$D296,0)</f>
        <v/>
      </c>
      <c r="AW296" s="6">
        <f>IF($Q296&gt;0,Z$109*$D296,0)</f>
        <v/>
      </c>
      <c r="AX296" s="6">
        <f>IF($Q296&gt;0,AA$109*$D296,0)</f>
        <v/>
      </c>
      <c r="AY296" s="6">
        <f>IF($Q296&gt;0,AB$109*$D296,0)</f>
        <v/>
      </c>
      <c r="AZ296" s="6">
        <f>IF($Q296&gt;0,AC$109*$D296,0)</f>
        <v/>
      </c>
      <c r="BA296" s="2465" t="n"/>
      <c r="BB296" s="6">
        <f>SUM(AS296:AS298)</f>
        <v/>
      </c>
      <c r="BC296" s="2465" t="n"/>
      <c r="BD296" s="6">
        <f>SUM(AU296:AU298)</f>
        <v/>
      </c>
      <c r="BE296" s="6">
        <f>SUM(AV296:AV298)</f>
        <v/>
      </c>
      <c r="BF296" s="6">
        <f>SUM(AW296:AW298)</f>
        <v/>
      </c>
      <c r="BG296" s="6">
        <f>SUM(AX296:AX298)</f>
        <v/>
      </c>
      <c r="BH296" s="6">
        <f>SUM(AY296:AY298)</f>
        <v/>
      </c>
      <c r="BI296" s="6">
        <f>SUM(AZ296:AZ298)</f>
        <v/>
      </c>
    </row>
    <row r="297" ht="97" customFormat="1" customHeight="1" s="2469">
      <c r="A297" s="1188">
        <f>BIBLE!E176</f>
        <v/>
      </c>
      <c r="B297" s="134">
        <f>IF(E$294=1,BIBLE!F176,"")</f>
        <v/>
      </c>
      <c r="C297" s="2499">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65">
        <f>IF(BIBLE!K176=0,"",BIBLE!K176)</f>
        <v/>
      </c>
      <c r="S297" s="41" t="n"/>
      <c r="T297" s="41" t="n"/>
      <c r="U297" s="41" t="n"/>
      <c r="V297" s="2465" t="n"/>
      <c r="AE297" s="473" t="n"/>
      <c r="AF297" s="38" t="n"/>
      <c r="AG297" s="38" t="n"/>
      <c r="AH297" s="69" t="n"/>
      <c r="AI297" s="69" t="n"/>
      <c r="AJ297" s="69" t="n"/>
      <c r="AK297" s="677" t="n"/>
      <c r="AL297" s="677" t="n"/>
      <c r="AM297" s="677" t="n"/>
      <c r="AN297" s="677" t="n"/>
      <c r="AO297" s="677" t="n"/>
      <c r="AP297" s="677" t="n"/>
      <c r="AQ297" s="677" t="n"/>
      <c r="AR297" s="677" t="n"/>
      <c r="AS297" s="6">
        <f>Q297</f>
        <v/>
      </c>
      <c r="AT297" s="2465" t="n"/>
      <c r="AU297" s="6">
        <f>IF($Q297&gt;0,X$109*$D297,0)</f>
        <v/>
      </c>
      <c r="AV297" s="6">
        <f>IF($Q297&gt;0,Y$109*$D297,0)</f>
        <v/>
      </c>
      <c r="AW297" s="6">
        <f>IF($Q297&gt;0,Z$109*$D297,0)</f>
        <v/>
      </c>
      <c r="AX297" s="6">
        <f>IF($Q297&gt;0,AA$109*$D297,0)</f>
        <v/>
      </c>
      <c r="AY297" s="6">
        <f>IF($Q297&gt;0,AB$109*$D297,0)</f>
        <v/>
      </c>
      <c r="AZ297" s="6">
        <f>IF($Q297&gt;0,AC$109*$D297,0)</f>
        <v/>
      </c>
      <c r="BA297" s="2465" t="n"/>
      <c r="BB297" s="2465" t="n"/>
      <c r="BC297" s="2465" t="n"/>
      <c r="BD297" s="2465" t="n"/>
      <c r="BE297" s="2465" t="n"/>
      <c r="BF297" s="2465" t="n"/>
      <c r="BG297" s="2465" t="n"/>
    </row>
    <row r="298" ht="63" customFormat="1" customHeight="1" s="2469">
      <c r="A298" s="1188">
        <f>BIBLE!E177</f>
        <v/>
      </c>
      <c r="B298" s="134">
        <f>IF(E$294=1,BIBLE!F177,"")</f>
        <v/>
      </c>
      <c r="C298" s="2499">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65">
        <f>IF(BIBLE!K177=0,"",BIBLE!K177)</f>
        <v/>
      </c>
      <c r="S298" s="41" t="n"/>
      <c r="T298" s="41" t="n"/>
      <c r="U298" s="41" t="n"/>
      <c r="V298" s="2465" t="n"/>
      <c r="AE298" s="473" t="n"/>
      <c r="AF298" s="38" t="n"/>
      <c r="AG298" s="38" t="n"/>
      <c r="AH298" s="69" t="n"/>
      <c r="AI298" s="69" t="n"/>
      <c r="AJ298" s="69" t="n"/>
      <c r="AK298" s="677" t="n"/>
      <c r="AL298" s="677" t="n"/>
      <c r="AM298" s="677" t="n"/>
      <c r="AN298" s="677" t="n"/>
      <c r="AO298" s="677" t="n"/>
      <c r="AP298" s="677" t="n"/>
      <c r="AQ298" s="677" t="n"/>
      <c r="AR298" s="677" t="n"/>
      <c r="AS298" s="6">
        <f>Q298</f>
        <v/>
      </c>
      <c r="AT298" s="2465" t="n"/>
      <c r="AU298" s="6">
        <f>IF($Q298&gt;0,X$109*$D298,0)</f>
        <v/>
      </c>
      <c r="AV298" s="6">
        <f>IF($Q298&gt;0,Y$109*$D298,0)</f>
        <v/>
      </c>
      <c r="AW298" s="6">
        <f>IF($Q298&gt;0,Z$109*$D298,0)</f>
        <v/>
      </c>
      <c r="AX298" s="6">
        <f>IF($Q298&gt;0,AA$109*$D298,0)</f>
        <v/>
      </c>
      <c r="AY298" s="6">
        <f>IF($Q298&gt;0,AB$109*$D298,0)</f>
        <v/>
      </c>
      <c r="AZ298" s="6">
        <f>IF($Q298&gt;0,AC$109*$D298,0)</f>
        <v/>
      </c>
      <c r="BA298" s="2465" t="n"/>
      <c r="BB298" s="2465" t="n"/>
      <c r="BC298" s="2465" t="n"/>
      <c r="BD298" s="2465" t="n"/>
      <c r="BE298" s="2465" t="n"/>
      <c r="BF298" s="2465" t="n"/>
      <c r="BG298" s="2465" t="n"/>
    </row>
    <row r="299" ht="63" customFormat="1" customHeight="1" s="2469">
      <c r="A299" s="1188">
        <f>BIBLE!E178</f>
        <v/>
      </c>
      <c r="B299" s="133">
        <f>BIBLE!F178</f>
        <v/>
      </c>
      <c r="C299" s="2499">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6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69">
      <c r="A300" s="1188">
        <f>BIBLE!E179</f>
        <v/>
      </c>
      <c r="B300" s="133">
        <f>IF($P$46&lt;&gt;1,BIBLE!F179,"")</f>
        <v/>
      </c>
      <c r="C300" s="2499">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65">
        <f>IF(BIBLE!K179=0,"",BIBLE!K179)</f>
        <v/>
      </c>
      <c r="S300" s="2465" t="n"/>
      <c r="T300" s="2465" t="n"/>
      <c r="U300" s="2465" t="n"/>
      <c r="V300" s="2465">
        <f>IF(P300&gt;=R300,IF(Q300&gt;Q301,Q300,Q301),Q300)</f>
        <v/>
      </c>
      <c r="W300" s="2465" t="n"/>
      <c r="X300" s="2465">
        <f>IF(($P300&gt;=$R300),IF($Q300&gt;$Q301,X$109*$D300,X$109*$D301),X$109*$D300)</f>
        <v/>
      </c>
      <c r="Y300" s="2465">
        <f>IF(($P300&gt;=$R300),IF($Q300&gt;$Q301,Y$109*$D300,Y$109*$D301),Y$109*$D300)</f>
        <v/>
      </c>
      <c r="Z300" s="2465">
        <f>IF(($P300&gt;=$R300),IF($Q300&gt;$Q301,Z$109*$D300,Z$109*$D301),Z$109*$D300)</f>
        <v/>
      </c>
      <c r="AA300" s="2465">
        <f>IF(($P300&gt;=$R300),IF($Q300&gt;$Q301,AA$109*$D300,AA$109*$D301),AA$109*$D300)</f>
        <v/>
      </c>
      <c r="AB300" s="2465">
        <f>IF(($P300&gt;=$R300),IF($Q300&gt;$Q301,AB$109*$D300,AB$109*$D301),AB$109*$D300)</f>
        <v/>
      </c>
      <c r="AC300" s="2465">
        <f>IF(($P300&gt;=$R300),IF($Q300&gt;$Q301,AC$109*$D300,AC$109*$D301),AC$109*$D300)</f>
        <v/>
      </c>
      <c r="AD300" s="246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69">
      <c r="A301" s="1188" t="inlineStr">
        <is>
          <t>E20a</t>
        </is>
      </c>
      <c r="B301" s="134">
        <f>IF(P300&gt;=R300,BIBLE!F180,"")</f>
        <v/>
      </c>
      <c r="C301" s="2499">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65">
        <f>IF(BIBLE!K180=0,"",BIBLE!K180)</f>
        <v/>
      </c>
      <c r="S301" s="2465" t="n"/>
      <c r="T301" s="2465" t="n"/>
      <c r="U301" s="2465" t="n"/>
      <c r="V301" s="2465" t="n"/>
      <c r="W301" s="2465" t="n"/>
      <c r="X301" s="2465" t="n"/>
      <c r="Y301" s="2465" t="n"/>
      <c r="Z301" s="2465" t="n"/>
      <c r="AA301" s="2465" t="n"/>
      <c r="AB301" s="2465" t="n"/>
      <c r="AC301" s="2465" t="n"/>
      <c r="AD301" s="246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69">
      <c r="A302" s="1188">
        <f>BIBLE!E181</f>
        <v/>
      </c>
      <c r="B302" s="133">
        <f>BIBLE!F181</f>
        <v/>
      </c>
      <c r="C302" s="2499">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65">
        <f>IF(BIBLE!K181=0,"",BIBLE!K181)</f>
        <v/>
      </c>
      <c r="S302" s="2465" t="n"/>
      <c r="T302" s="2465" t="n"/>
      <c r="U302" s="2465" t="n"/>
      <c r="V302" s="2465">
        <f>IF(P302&gt;=R302,IF(Q302&gt;Q303,Q302,Q303),Q302)</f>
        <v/>
      </c>
      <c r="W302" s="2465" t="n"/>
      <c r="X302" s="2465">
        <f>IF(($P302&gt;=$R302),IF($Q302&gt;$Q303,X$109*$D302,X$109*$D303),X$109*$D302)</f>
        <v/>
      </c>
      <c r="Y302" s="2465">
        <f>IF(($P302&gt;=$R302),IF($Q302&gt;$Q303,Y$109*$D302,Y$109*$D303),Y$109*$D302)</f>
        <v/>
      </c>
      <c r="Z302" s="2465">
        <f>IF(($P302&gt;=$R302),IF($Q302&gt;$Q303,Z$109*$D302,Z$109*$D303),Z$109*$D302)</f>
        <v/>
      </c>
      <c r="AA302" s="2465">
        <f>IF(($P302&gt;=$R302),IF($Q302&gt;$Q303,AA$109*$D302,AA$109*$D303),AA$109*$D302)</f>
        <v/>
      </c>
      <c r="AB302" s="2465">
        <f>IF(($P302&gt;=$R302),IF($Q302&gt;$Q303,AB$109*$D302,AB$109*$D303),AB$109*$D302)</f>
        <v/>
      </c>
      <c r="AC302" s="2465">
        <f>IF(($P302&gt;=$R302),IF($Q302&gt;$Q303,AC$109*$D302,AC$109*$D303),AC$109*$D302)</f>
        <v/>
      </c>
      <c r="AD302" s="246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69">
      <c r="A303" s="1188">
        <f>BIBLE!E182</f>
        <v/>
      </c>
      <c r="B303" s="134">
        <f>IF(P302&gt;=R302,BIBLE!F182,"")</f>
        <v/>
      </c>
      <c r="C303" s="2499">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65">
        <f>IF(BIBLE!K182=0,"",BIBLE!K182)</f>
        <v/>
      </c>
      <c r="S303" s="2465" t="n"/>
      <c r="T303" s="2465" t="n"/>
      <c r="U303" s="2465" t="n"/>
      <c r="V303" s="2465" t="n"/>
      <c r="W303" s="2465" t="n"/>
      <c r="X303" s="2465" t="n"/>
      <c r="Y303" s="2465" t="n"/>
      <c r="Z303" s="2465" t="n"/>
      <c r="AA303" s="2465" t="n"/>
      <c r="AB303" s="2465" t="n"/>
      <c r="AC303" s="2465" t="n"/>
      <c r="AD303" s="246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69">
      <c r="A304" s="1188">
        <f>BIBLE!E183</f>
        <v/>
      </c>
      <c r="B304" s="133">
        <f>BIBLE!F183</f>
        <v/>
      </c>
      <c r="C304" s="2499">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65">
        <f>IF(BIBLE!K183=0,"",BIBLE!K183)</f>
        <v/>
      </c>
      <c r="S304" s="41" t="n"/>
      <c r="T304" s="41" t="n"/>
      <c r="U304" s="41" t="n"/>
      <c r="V304" s="6">
        <f>IF(P304&gt;=R304,IF(Q304&gt;Q305,Q304,Q305),Q304)</f>
        <v/>
      </c>
      <c r="W304" s="246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69">
      <c r="A305" s="1188">
        <f>BIBLE!E184</f>
        <v/>
      </c>
      <c r="B305" s="134">
        <f>IF(P304&gt;=R304,BIBLE!F184,"")</f>
        <v/>
      </c>
      <c r="C305" s="2499">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6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69">
      <c r="A306" s="1188">
        <f>BIBLE!E185</f>
        <v/>
      </c>
      <c r="B306" s="133">
        <f>BIBLE!F185</f>
        <v/>
      </c>
      <c r="C306" s="2499">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6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69">
      <c r="A307" s="1188">
        <f>BIBLE!E186</f>
        <v/>
      </c>
      <c r="B307" s="133">
        <f>BIBLE!F186</f>
        <v/>
      </c>
      <c r="C307" s="2499">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6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69">
      <c r="A308" s="1188">
        <f>BIBLE!E187</f>
        <v/>
      </c>
      <c r="B308" s="133">
        <f>IF(OR($P$53&gt;=$R$53,P113&gt;=4,P123&gt;=4),BIBLE!F187,"")</f>
        <v/>
      </c>
      <c r="C308" s="2499">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6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69">
      <c r="A309" s="1188">
        <f>BIBLE!E188</f>
        <v/>
      </c>
      <c r="B309" s="133">
        <f>BIBLE!F188</f>
        <v/>
      </c>
      <c r="C309" s="2499">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6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69">
      <c r="A310" s="1188">
        <f>BIBLE!E189</f>
        <v/>
      </c>
      <c r="B310" s="133">
        <f>BIBLE!F189</f>
        <v/>
      </c>
      <c r="C310" s="2499">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6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69">
      <c r="A311" s="1188">
        <f>BIBLE!E190</f>
        <v/>
      </c>
      <c r="B311" s="463">
        <f>IF(AND(P59&gt;=3,P310&gt;=R310),BIBLE!F190,"")</f>
        <v/>
      </c>
      <c r="C311" s="2499">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6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69">
      <c r="A312" s="1188">
        <f>BIBLE!E191</f>
        <v/>
      </c>
      <c r="B312" s="133">
        <f>BIBLE!F191</f>
        <v/>
      </c>
      <c r="C312" s="2499">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65">
        <f>IF(BIBLE!K191=0,"",BIBLE!K191)</f>
        <v/>
      </c>
      <c r="S312" s="41" t="n"/>
      <c r="T312" s="41" t="n"/>
      <c r="U312" s="41" t="n"/>
      <c r="V312" s="6">
        <f>IF(P312&gt;=R312,IF(Q312&gt;Q320,Q312,Q320),Q312)</f>
        <v/>
      </c>
      <c r="W312" s="246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69">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6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69">
      <c r="A314" s="1188" t="n"/>
      <c r="B314" s="137">
        <f>IF(P312&gt;=R312,"Calme","")</f>
        <v/>
      </c>
      <c r="C314" s="22" t="n"/>
      <c r="D314" s="1722" t="n">
        <v>1</v>
      </c>
      <c r="E314" s="37">
        <f>IF(P$313=D314,1,"x")</f>
        <v/>
      </c>
      <c r="F314" s="20" t="n"/>
      <c r="P314" s="24" t="n"/>
      <c r="Q314" s="24" t="n"/>
      <c r="R314" s="246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69">
      <c r="A315" s="1188" t="n"/>
      <c r="B315" s="137">
        <f>IF(P312&gt;=R312,"Neutre","")</f>
        <v/>
      </c>
      <c r="C315" s="22" t="n"/>
      <c r="D315" s="1722" t="n">
        <v>2</v>
      </c>
      <c r="E315" s="37">
        <f>IF(P$313=D315,1,"x")</f>
        <v/>
      </c>
      <c r="F315" s="20" t="n"/>
      <c r="P315" s="24" t="n"/>
      <c r="Q315" s="24" t="n"/>
      <c r="R315" s="246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69">
      <c r="A316" s="1188" t="n"/>
      <c r="B316" s="137">
        <f>IF(P312&gt;=R312,"Enjoué.e","")</f>
        <v/>
      </c>
      <c r="C316" s="22" t="n"/>
      <c r="D316" s="1722" t="n">
        <v>3</v>
      </c>
      <c r="E316" s="37">
        <f>IF(P$313=D316,1,"x")</f>
        <v/>
      </c>
      <c r="F316" s="20" t="n"/>
      <c r="P316" s="24" t="n"/>
      <c r="Q316" s="24" t="n"/>
      <c r="R316" s="246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69">
      <c r="A317" s="1188" t="n"/>
      <c r="B317" s="137">
        <f>IF(P312&gt;=R312,"Taciturne","")</f>
        <v/>
      </c>
      <c r="C317" s="22" t="n"/>
      <c r="D317" s="1722" t="n">
        <v>4</v>
      </c>
      <c r="E317" s="37">
        <f>IF(P$313=D317,1,"x")</f>
        <v/>
      </c>
      <c r="F317" s="20" t="n"/>
      <c r="P317" s="24" t="n"/>
      <c r="Q317" s="24" t="n"/>
      <c r="R317" s="246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69">
      <c r="A318" s="1188" t="n"/>
      <c r="B318" s="137">
        <f>IF(P312&gt;=R312,"Anxieux","")</f>
        <v/>
      </c>
      <c r="C318" s="22" t="n"/>
      <c r="D318" s="1722" t="n">
        <v>5</v>
      </c>
      <c r="E318" s="37">
        <f>IF(P$313=D318,1,"x")</f>
        <v/>
      </c>
      <c r="F318" s="20" t="n"/>
      <c r="P318" s="24" t="n"/>
      <c r="Q318" s="24" t="n"/>
      <c r="R318" s="246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69">
      <c r="A319" s="1188" t="n"/>
      <c r="B319" s="137">
        <f>IF(P312&gt;=R312,"Agressif","")</f>
        <v/>
      </c>
      <c r="C319" s="22" t="n"/>
      <c r="D319" s="1722" t="n">
        <v>6</v>
      </c>
      <c r="E319" s="37">
        <f>IF(P$313=D319,1,"x")</f>
        <v/>
      </c>
      <c r="F319" s="20" t="n"/>
      <c r="P319" s="24" t="n"/>
      <c r="Q319" s="24" t="n"/>
      <c r="R319" s="246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69">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6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69">
      <c r="A321" s="1188">
        <f>BIBLE!E194</f>
        <v/>
      </c>
      <c r="B321" s="133">
        <f>BIBLE!F194</f>
        <v/>
      </c>
      <c r="C321" s="2499">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6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69">
      <c r="A322" s="1188">
        <f>BIBLE!E195</f>
        <v/>
      </c>
      <c r="B322" s="133">
        <f>BIBLE!F195</f>
        <v/>
      </c>
      <c r="C322" s="2499">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65">
        <f>IF(BIBLE!K195=0,"",BIBLE!K195)</f>
        <v/>
      </c>
      <c r="S322" s="41" t="n"/>
      <c r="T322" s="41" t="n"/>
      <c r="U322" s="41" t="n"/>
      <c r="V322" s="6">
        <f>IF(P322&gt;=R322,IF(Q322&gt;Q323,Q322,Q323),Q322)</f>
        <v/>
      </c>
      <c r="W322" s="246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69">
      <c r="A323" s="1188">
        <f>BIBLE!E196</f>
        <v/>
      </c>
      <c r="B323" s="134">
        <f>IF(P322&gt;=R322,BIBLE!F196,"")</f>
        <v/>
      </c>
      <c r="C323" s="2499">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6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69">
      <c r="A324" s="1188">
        <f>BIBLE!E197</f>
        <v/>
      </c>
      <c r="B324" s="133">
        <f>IF(AND(P53&gt;=R53,P68&gt;=2),BIBLE!F197,"")</f>
        <v/>
      </c>
      <c r="C324" s="2499">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6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69">
      <c r="A325" s="1188">
        <f>BIBLE!E198</f>
        <v/>
      </c>
      <c r="B325" s="133">
        <f>IF(AND($P$269&gt;=$R$269,$B$289=""),BIBLE!F198,"")</f>
        <v/>
      </c>
      <c r="C325" s="2499">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6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1" t="inlineStr">
        <is>
          <t>Deux SQ au même niveau, les additionner</t>
        </is>
      </c>
    </row>
    <row r="326" ht="47" customFormat="1" customHeight="1" s="2469">
      <c r="A326" s="1188">
        <f>BIBLE!E199</f>
        <v/>
      </c>
      <c r="B326" s="133">
        <f>IF(AND(P53&gt;=R53,P68&gt;=2),BIBLE!F199,"")</f>
        <v/>
      </c>
      <c r="C326" s="2499">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65">
        <f>IF(BIBLE!K199=0,"",BIBLE!K199)</f>
        <v/>
      </c>
      <c r="S326" s="41" t="n"/>
      <c r="T326" s="41" t="n"/>
      <c r="U326" s="41" t="n"/>
      <c r="V326" s="6">
        <f>IF(P326&gt;=R326,IF(SUM(Q327:Q328)&gt;Q326,SUM(Q327:Q328),Q326),Q326)</f>
        <v/>
      </c>
      <c r="W326" s="246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69">
      <c r="A327" s="1188">
        <f>BIBLE!E200</f>
        <v/>
      </c>
      <c r="B327" s="134">
        <f>IF(P326&gt;=R326,BIBLE!F200,"")</f>
        <v/>
      </c>
      <c r="C327" s="2499">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65">
        <f>IF(BIBLE!K200=0,"",BIBLE!K200)</f>
        <v/>
      </c>
      <c r="S327" s="41" t="n"/>
      <c r="T327" s="41" t="n"/>
      <c r="U327" s="41" t="n"/>
      <c r="V327" s="246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69">
      <c r="A328" s="1188">
        <f>BIBLE!E201</f>
        <v/>
      </c>
      <c r="B328" s="134">
        <f>IF(P326&gt;=R326,BIBLE!F201,"")</f>
        <v/>
      </c>
      <c r="C328" s="2499">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65">
        <f>IF(BIBLE!K201=0,"",BIBLE!K201)</f>
        <v/>
      </c>
      <c r="S328" s="41" t="n"/>
      <c r="T328" s="41" t="n"/>
      <c r="U328" s="41" t="n"/>
      <c r="V328" s="246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69">
      <c r="A329" s="1188">
        <f>BIBLE!E202</f>
        <v/>
      </c>
      <c r="B329" s="133">
        <f>IF(P59&gt;=3,BIBLE!F202,"")</f>
        <v/>
      </c>
      <c r="C329" s="2499">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6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69">
      <c r="A330" s="1188">
        <f>BIBLE!E203</f>
        <v/>
      </c>
      <c r="B330" s="133">
        <f>IF(P59&gt;=3,BIBLE!F203,"")</f>
        <v/>
      </c>
      <c r="C330" s="842" t="inlineStr">
        <is>
          <t xml:space="preserve">Bonne relation avec contacts réguliers </t>
        </is>
      </c>
      <c r="D330" s="1641" t="n">
        <v>1</v>
      </c>
      <c r="E330" s="37">
        <f>IF(P$330=D330,1,"x")</f>
        <v/>
      </c>
      <c r="F330" s="20" t="n"/>
      <c r="G330" s="20" t="n"/>
      <c r="H330" s="2465" t="n"/>
      <c r="I330" s="1610" t="n"/>
      <c r="J330" s="1610" t="n"/>
      <c r="K330" s="1610" t="n"/>
      <c r="L330" s="1610" t="n"/>
      <c r="M330" s="1610" t="n"/>
      <c r="N330" s="20" t="n"/>
      <c r="O330" s="20" t="n"/>
      <c r="P330" s="1547">
        <f>'TEST_pour PROTOTYPE'!D299</f>
        <v/>
      </c>
      <c r="Q330" s="24" t="n"/>
      <c r="R330" s="2465" t="n"/>
      <c r="S330" s="41" t="n"/>
      <c r="T330" s="41" t="n"/>
      <c r="U330" s="41" t="n"/>
      <c r="V330" s="6" t="n"/>
      <c r="W330" s="246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69">
      <c r="A331" s="1188" t="n"/>
      <c r="B331" s="133" t="n"/>
      <c r="C331" s="842" t="inlineStr">
        <is>
          <t xml:space="preserve">Bonne relation avec contacts sporadiques </t>
        </is>
      </c>
      <c r="D331" s="1641" t="n">
        <v>2</v>
      </c>
      <c r="E331" s="37">
        <f>IF(P$330=D331,1,"x")</f>
        <v/>
      </c>
      <c r="F331" s="20" t="n"/>
      <c r="G331" s="20" t="n"/>
      <c r="H331" s="2465" t="n"/>
      <c r="I331" s="1610" t="n"/>
      <c r="J331" s="1610" t="n"/>
      <c r="K331" s="1610" t="n"/>
      <c r="L331" s="1610" t="n"/>
      <c r="M331" s="1610" t="n"/>
      <c r="N331" s="20" t="n"/>
      <c r="O331" s="20" t="n"/>
      <c r="P331" s="23" t="n"/>
      <c r="Q331" s="24" t="n"/>
      <c r="R331" s="2465" t="n"/>
      <c r="S331" s="41" t="n"/>
      <c r="T331" s="41" t="n"/>
      <c r="U331" s="41" t="n"/>
      <c r="V331" s="6" t="n"/>
      <c r="W331" s="246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69">
      <c r="A332" s="1188" t="n"/>
      <c r="B332" s="133" t="n"/>
      <c r="C332" s="842" t="inlineStr">
        <is>
          <t>Bonne relation avec peu de contact</t>
        </is>
      </c>
      <c r="D332" s="1641" t="n">
        <v>3</v>
      </c>
      <c r="E332" s="37">
        <f>IF(P$330=D332,1,"x")</f>
        <v/>
      </c>
      <c r="F332" s="20" t="n"/>
      <c r="G332" s="20" t="n"/>
      <c r="H332" s="2465" t="n"/>
      <c r="I332" s="1610" t="n"/>
      <c r="J332" s="1610" t="n"/>
      <c r="K332" s="1610" t="n"/>
      <c r="L332" s="1610" t="n"/>
      <c r="M332" s="1610" t="n"/>
      <c r="N332" s="20" t="n"/>
      <c r="O332" s="20" t="n"/>
      <c r="P332" s="23" t="n"/>
      <c r="Q332" s="24" t="n"/>
      <c r="R332" s="2465" t="n"/>
      <c r="S332" s="41" t="n"/>
      <c r="T332" s="41" t="n"/>
      <c r="U332" s="41" t="n"/>
      <c r="V332" s="6" t="n"/>
      <c r="W332" s="246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69">
      <c r="A333" s="1188" t="n"/>
      <c r="B333" s="133" t="n"/>
      <c r="C333" s="842" t="inlineStr">
        <is>
          <t xml:space="preserve">Bonne relation sans contact  </t>
        </is>
      </c>
      <c r="D333" s="1641" t="n">
        <v>4</v>
      </c>
      <c r="E333" s="37">
        <f>IF(P$330=D333,1,"x")</f>
        <v/>
      </c>
      <c r="F333" s="20" t="n"/>
      <c r="G333" s="20" t="n"/>
      <c r="H333" s="2465" t="n"/>
      <c r="I333" s="1609" t="n"/>
      <c r="J333" s="1609" t="n"/>
      <c r="K333" s="1609" t="n"/>
      <c r="L333" s="1609" t="n"/>
      <c r="M333" s="1609" t="n"/>
      <c r="N333" s="20" t="n"/>
      <c r="O333" s="20" t="n"/>
      <c r="P333" s="23" t="n"/>
      <c r="Q333" s="24" t="n"/>
      <c r="R333" s="2465" t="n"/>
      <c r="S333" s="41" t="n"/>
      <c r="T333" s="41" t="n"/>
      <c r="U333" s="41" t="n"/>
      <c r="V333" s="6" t="n"/>
      <c r="W333" s="246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69">
      <c r="A334" s="1188" t="n"/>
      <c r="B334" s="133" t="n"/>
      <c r="C334" s="842" t="inlineStr">
        <is>
          <t xml:space="preserve">Relation difficile </t>
        </is>
      </c>
      <c r="D334" s="1641" t="n">
        <v>5</v>
      </c>
      <c r="E334" s="37">
        <f>IF(P$330=D334,1,"x")</f>
        <v/>
      </c>
      <c r="F334" s="20" t="n"/>
      <c r="G334" s="20" t="n"/>
      <c r="H334" s="2465" t="n"/>
      <c r="I334" s="1609" t="n"/>
      <c r="J334" s="1609" t="n"/>
      <c r="K334" s="1609" t="n"/>
      <c r="L334" s="1609" t="n"/>
      <c r="M334" s="1609" t="n"/>
      <c r="N334" s="20" t="n"/>
      <c r="O334" s="20" t="n"/>
      <c r="P334" s="23" t="n"/>
      <c r="Q334" s="24" t="n"/>
      <c r="R334" s="2465" t="n"/>
      <c r="S334" s="41" t="n"/>
      <c r="T334" s="41" t="n"/>
      <c r="U334" s="41" t="n"/>
      <c r="V334" s="6" t="n"/>
      <c r="W334" s="246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69">
      <c r="A335" s="1188" t="n"/>
      <c r="B335" s="133" t="n"/>
      <c r="C335" s="842" t="inlineStr">
        <is>
          <t xml:space="preserve">Relation inexistante </t>
        </is>
      </c>
      <c r="D335" s="1641" t="n">
        <v>6</v>
      </c>
      <c r="E335" s="37">
        <f>IF(P$330=D335,1,"x")</f>
        <v/>
      </c>
      <c r="F335" s="20" t="n"/>
      <c r="G335" s="20" t="n"/>
      <c r="H335" s="2465" t="n"/>
      <c r="I335" s="1609" t="n"/>
      <c r="J335" s="1609" t="n"/>
      <c r="K335" s="1609" t="n"/>
      <c r="L335" s="1609" t="n"/>
      <c r="M335" s="1609" t="n"/>
      <c r="N335" s="20" t="n"/>
      <c r="O335" s="20" t="n"/>
      <c r="P335" s="23" t="n"/>
      <c r="Q335" s="24" t="n"/>
      <c r="R335" s="2465" t="n"/>
      <c r="S335" s="41" t="n"/>
      <c r="T335" s="41" t="n"/>
      <c r="U335" s="41" t="n"/>
      <c r="V335" s="6" t="n"/>
      <c r="W335" s="246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69">
      <c r="A336" s="1188">
        <f>BIBLE!E204</f>
        <v/>
      </c>
      <c r="B336" s="134">
        <f>IF(P330&gt;=3,BIBLE!F204,"")</f>
        <v/>
      </c>
      <c r="C336" s="2499">
        <f>BIBLE!O204</f>
        <v/>
      </c>
      <c r="D336" s="1278">
        <f>BIBLE!L204</f>
        <v/>
      </c>
      <c r="E336" s="20" t="n">
        <v>1</v>
      </c>
      <c r="F336" s="20" t="n"/>
      <c r="G336" s="20" t="n"/>
      <c r="H336" s="2465" t="n"/>
      <c r="I336" s="1609" t="n"/>
      <c r="J336" s="1609" t="n"/>
      <c r="K336" s="1609" t="n"/>
      <c r="L336" s="1609" t="n"/>
      <c r="M336" s="1609" t="n"/>
      <c r="N336" s="20" t="n"/>
      <c r="O336" s="20" t="n"/>
      <c r="P336" s="1547">
        <f>'TEST_pour PROTOTYPE'!D300</f>
        <v/>
      </c>
      <c r="Q336" s="24">
        <f>P336*D336</f>
        <v/>
      </c>
      <c r="R336" s="246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69">
      <c r="A337" s="1188">
        <f>BIBLE!E205</f>
        <v/>
      </c>
      <c r="B337" s="134">
        <f>IF(P330&gt;=3,BIBLE!F205,"")</f>
        <v/>
      </c>
      <c r="C337" s="2499">
        <f>BIBLE!O205</f>
        <v/>
      </c>
      <c r="D337" s="1278">
        <f>BIBLE!L205</f>
        <v/>
      </c>
      <c r="E337" s="20" t="n"/>
      <c r="F337" s="20" t="n">
        <v>1</v>
      </c>
      <c r="G337" s="20" t="n"/>
      <c r="H337" s="2465" t="n"/>
      <c r="I337" s="1609" t="n"/>
      <c r="J337" s="1609" t="n"/>
      <c r="K337" s="1609" t="n"/>
      <c r="L337" s="1609" t="n"/>
      <c r="M337" s="1609" t="n"/>
      <c r="N337" s="20" t="n"/>
      <c r="O337" s="20" t="n"/>
      <c r="P337" s="1547">
        <f>'TEST_pour PROTOTYPE'!D301</f>
        <v/>
      </c>
      <c r="Q337" s="24">
        <f>P337*D337</f>
        <v/>
      </c>
      <c r="R337" s="246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69">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65">
        <f>IF(BIBLE!K206=0,"",BIBLE!K206)</f>
        <v/>
      </c>
      <c r="S338" s="41" t="n"/>
      <c r="T338" s="41" t="n"/>
      <c r="U338" s="41" t="n"/>
      <c r="V338" s="494" t="n"/>
      <c r="W338" s="41" t="n"/>
      <c r="X338" s="2465" t="n"/>
      <c r="Y338" s="2465" t="n"/>
      <c r="Z338" s="2465" t="n"/>
      <c r="AA338" s="2465" t="n"/>
      <c r="AB338" s="2465" t="n"/>
      <c r="AC338" s="246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69">
      <c r="A339" s="1188" t="n"/>
      <c r="C339" s="100" t="inlineStr">
        <is>
          <t>Non</t>
        </is>
      </c>
      <c r="D339" s="1642" t="n">
        <v>0</v>
      </c>
      <c r="E339" s="37">
        <f>IF(P$338=D339,1,"x")</f>
        <v/>
      </c>
      <c r="F339" s="41" t="n"/>
      <c r="G339" s="47" t="n"/>
      <c r="H339" s="47" t="n"/>
      <c r="I339" s="47" t="n"/>
      <c r="J339" s="47" t="n"/>
      <c r="K339" s="2465" t="n"/>
      <c r="L339" s="2465" t="n"/>
      <c r="M339" s="2465" t="n"/>
      <c r="N339" s="2465" t="n"/>
      <c r="O339" s="2465" t="n"/>
      <c r="P339" s="23" t="n"/>
      <c r="Q339" s="24" t="n"/>
      <c r="R339" s="2465" t="n"/>
      <c r="S339" s="41" t="n"/>
      <c r="T339" s="41" t="n"/>
      <c r="U339" s="41" t="n"/>
      <c r="V339" s="494" t="n"/>
      <c r="W339" s="41" t="n"/>
      <c r="X339" s="2465" t="n"/>
      <c r="Y339" s="2465" t="n"/>
      <c r="Z339" s="2465" t="n"/>
      <c r="AA339" s="2465" t="n"/>
      <c r="AB339" s="2465" t="n"/>
      <c r="AC339" s="246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69">
      <c r="A340" s="1188" t="n"/>
      <c r="B340" s="284">
        <f>IF($E$338=1,BIBLE!F207,"")</f>
        <v/>
      </c>
      <c r="C340" s="100" t="n"/>
      <c r="D340" s="1278">
        <f>BIBLE!L207</f>
        <v/>
      </c>
      <c r="E340" s="434" t="n"/>
      <c r="F340" s="518">
        <f>$F$52</f>
        <v/>
      </c>
      <c r="G340" s="518">
        <f>$G$52</f>
        <v/>
      </c>
      <c r="H340" s="518">
        <f>$H$52</f>
        <v/>
      </c>
      <c r="I340" s="518">
        <f>$I$52</f>
        <v/>
      </c>
      <c r="J340" s="518">
        <f>$J$52</f>
        <v/>
      </c>
      <c r="K340" s="518">
        <f>$K$52</f>
        <v/>
      </c>
      <c r="L340" s="2501" t="n"/>
      <c r="M340" s="2501" t="n"/>
      <c r="N340" s="2501" t="n"/>
      <c r="O340" s="2501" t="n"/>
      <c r="P340" s="23" t="n"/>
      <c r="Q340" s="23" t="n"/>
      <c r="S340" s="41" t="n"/>
      <c r="T340" s="41" t="n"/>
      <c r="U340" s="41" t="n"/>
      <c r="V340" s="494" t="n"/>
      <c r="W340" s="41" t="n"/>
      <c r="X340" s="2465" t="n"/>
      <c r="Y340" s="2465" t="n"/>
      <c r="Z340" s="2465" t="n"/>
      <c r="AA340" s="2465" t="n"/>
      <c r="AB340" s="2465" t="n"/>
      <c r="AC340" s="246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6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6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6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6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6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6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6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5">
      <c r="A355" s="1188" t="n"/>
      <c r="B355" s="284">
        <f>IF($E$338=1,BIBLE!F208,"")</f>
        <v/>
      </c>
      <c r="C355" s="100" t="n"/>
      <c r="D355" s="1278">
        <f>BIBLE!L208</f>
        <v/>
      </c>
      <c r="O355" s="2465" t="inlineStr"/>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6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6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6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6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6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6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6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6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6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6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6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6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6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6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69">
      <c r="A371" s="1188">
        <f>BIBLE!E209</f>
        <v/>
      </c>
      <c r="B371" s="133">
        <f>BIBLE!F209</f>
        <v/>
      </c>
      <c r="C371" s="2499">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6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69">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6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69">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6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69">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6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69">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6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69">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6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69">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6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69">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6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5">
      <c r="A380" s="1188" t="n"/>
      <c r="B380" s="296" t="n"/>
      <c r="C380" s="100" t="n"/>
      <c r="D380" s="1643" t="n"/>
      <c r="E380" s="40" t="n"/>
      <c r="F380" s="40" t="n"/>
      <c r="K380" s="2469"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6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69" t="inlineStr">
        <is>
          <t>Faible</t>
        </is>
      </c>
      <c r="Z381" s="2465" t="inlineStr">
        <is>
          <t>Faible à modéré</t>
        </is>
      </c>
      <c r="AA381" s="2465" t="inlineStr">
        <is>
          <t>Modéré</t>
        </is>
      </c>
      <c r="AB381" s="2465" t="inlineStr">
        <is>
          <t>Sévère</t>
        </is>
      </c>
      <c r="AC381" s="246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6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65" t="inlineStr">
        <is>
          <t>Min</t>
        </is>
      </c>
      <c r="AA382" s="63">
        <f>(AA380-Z380)/(AC380-Z380)</f>
        <v/>
      </c>
      <c r="AB382" s="63">
        <f>(AB380-AA380)/(AC380-Z380)</f>
        <v/>
      </c>
      <c r="AC382" s="246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5">
      <c r="A384" s="1188" t="n"/>
      <c r="B384" s="296" t="n"/>
      <c r="D384" s="2472"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69">
      <c r="D385" s="2472" t="n"/>
      <c r="V385" s="2465" t="n"/>
      <c r="X385" s="2465" t="n"/>
      <c r="Y385" s="2465" t="n"/>
      <c r="Z385" s="2465" t="n"/>
      <c r="AA385" s="2465" t="n"/>
      <c r="AB385" s="2465" t="n"/>
      <c r="AC385" s="246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69" thickBot="1">
      <c r="A386" s="515" t="inlineStr">
        <is>
          <t>Parent répondant - partie 2</t>
        </is>
      </c>
      <c r="B386" s="2580" t="n"/>
      <c r="C386" s="22" t="n"/>
      <c r="D386" s="2481"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5" t="n"/>
      <c r="X386" s="2465" t="n"/>
      <c r="Y386" s="2465" t="n"/>
      <c r="Z386" s="2465" t="n"/>
      <c r="AA386" s="2465" t="n"/>
      <c r="AB386" s="2465" t="n"/>
      <c r="AC386" s="246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69" thickTop="1">
      <c r="A387" s="1187">
        <f>BIBLE!E213</f>
        <v/>
      </c>
      <c r="B387" s="133">
        <f>IF($P$312&gt;=4,BIBLE!F213,"")</f>
        <v/>
      </c>
      <c r="C387" s="100" t="n"/>
      <c r="D387" s="1278" t="n"/>
      <c r="E387" s="2465" t="n"/>
      <c r="F387" s="19" t="n"/>
      <c r="G387" s="19" t="n"/>
      <c r="H387" s="19" t="n"/>
      <c r="I387" s="19" t="n"/>
      <c r="J387" s="19" t="n"/>
      <c r="K387" s="19" t="n"/>
      <c r="L387" s="19" t="n"/>
      <c r="M387" s="19" t="n"/>
      <c r="N387" s="19" t="n"/>
      <c r="O387" s="19" t="n"/>
      <c r="P387" s="1448">
        <f>'TEST_pour PROTOTYPE'!D339</f>
        <v/>
      </c>
      <c r="Q387" s="24">
        <f>P387*D387</f>
        <v/>
      </c>
      <c r="R387" s="273" t="n"/>
      <c r="V387" s="2465" t="n"/>
      <c r="X387" s="2465" t="n"/>
      <c r="Y387" s="2465" t="n"/>
      <c r="Z387" s="2465" t="n"/>
      <c r="AA387" s="2465" t="n"/>
      <c r="AB387" s="2465" t="n"/>
      <c r="AC387" s="246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69">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65" t="n"/>
      <c r="X388" s="2465" t="n"/>
      <c r="Y388" s="2465" t="n"/>
      <c r="Z388" s="2465" t="n"/>
      <c r="AA388" s="2465" t="n"/>
      <c r="AB388" s="2465" t="n"/>
      <c r="AC388" s="246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69">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65" t="n"/>
      <c r="Y389" s="2465" t="n"/>
      <c r="Z389" s="2465" t="n"/>
      <c r="AA389" s="2465" t="n"/>
      <c r="AB389" s="2465" t="n"/>
      <c r="AC389" s="246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69">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65" t="n"/>
      <c r="Y390" s="2465" t="n"/>
      <c r="Z390" s="2465" t="n"/>
      <c r="AA390" s="2465" t="n"/>
      <c r="AB390" s="2465" t="n"/>
      <c r="AC390" s="246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69">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65" t="n"/>
      <c r="Y391" s="2465" t="n"/>
      <c r="Z391" s="2465" t="n"/>
      <c r="AA391" s="2465" t="n"/>
      <c r="AB391" s="2465" t="n"/>
      <c r="AC391" s="246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69">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65" t="n"/>
      <c r="Y392" s="2465" t="n"/>
      <c r="Z392" s="2465" t="n"/>
      <c r="AA392" s="2465" t="n"/>
      <c r="AB392" s="2465" t="n"/>
      <c r="AC392" s="2465" t="n"/>
      <c r="AE392" s="473" t="n"/>
      <c r="AF392" s="38" t="n"/>
      <c r="AG392" s="38" t="n"/>
      <c r="AH392" s="69" t="n"/>
      <c r="AI392" s="69" t="n"/>
      <c r="AJ392" s="69" t="n"/>
      <c r="AK392" s="677" t="n"/>
      <c r="AL392" s="677" t="n"/>
      <c r="AM392" s="677" t="n"/>
      <c r="AN392" s="677" t="n"/>
      <c r="AO392" s="677" t="n"/>
      <c r="AP392" s="677" t="n"/>
      <c r="AQ392" s="677" t="n"/>
      <c r="AR392" s="677" t="n"/>
    </row>
    <row r="393" customFormat="1" s="2469">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65" t="n"/>
      <c r="Y393" s="2465" t="n"/>
      <c r="Z393" s="2465" t="n"/>
      <c r="AA393" s="2465" t="n"/>
      <c r="AB393" s="2465" t="n"/>
      <c r="AC393" s="246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69">
      <c r="A394" s="1187">
        <f>BIBLE!E214</f>
        <v/>
      </c>
      <c r="B394" s="133">
        <f>IF(OR($P$269&gt;=4,$P$325&gt;=4),BIBLE!F214,"")</f>
        <v/>
      </c>
      <c r="C394" s="100" t="n"/>
      <c r="D394" s="1278" t="n"/>
      <c r="E394" s="2465" t="n"/>
      <c r="F394" s="19" t="n"/>
      <c r="G394" s="19" t="n"/>
      <c r="H394" s="19" t="n"/>
      <c r="I394" s="19" t="n"/>
      <c r="J394" s="19" t="n"/>
      <c r="K394" s="19" t="n"/>
      <c r="L394" s="19" t="n"/>
      <c r="M394" s="19" t="n"/>
      <c r="N394" s="19" t="n"/>
      <c r="O394" s="19" t="n"/>
      <c r="P394" s="1448">
        <f>'TEST_pour PROTOTYPE'!D340</f>
        <v/>
      </c>
      <c r="Q394" s="24">
        <f>P394*D394</f>
        <v/>
      </c>
      <c r="R394" s="273" t="n"/>
      <c r="V394" s="2465" t="n"/>
      <c r="X394" s="2465" t="n"/>
      <c r="Y394" s="2465" t="n"/>
      <c r="Z394" s="2465" t="n"/>
      <c r="AA394" s="2465" t="n"/>
      <c r="AB394" s="2465" t="n"/>
      <c r="AC394" s="246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69">
      <c r="A395" s="1187" t="n"/>
      <c r="B395" s="133" t="inlineStr">
        <is>
          <t>Vous tentez de le raisonner et vous vous justifiez</t>
        </is>
      </c>
      <c r="C395" s="100" t="n"/>
      <c r="D395" s="1641" t="n">
        <v>1</v>
      </c>
      <c r="E395" s="37">
        <f>IF(P$394=D395,1,"x")</f>
        <v/>
      </c>
      <c r="F395" s="2465" t="n"/>
      <c r="G395" s="2465" t="n"/>
      <c r="H395" s="2465" t="n"/>
      <c r="I395" s="2465" t="n"/>
      <c r="J395" s="2465" t="n"/>
      <c r="K395" s="2465" t="n"/>
      <c r="L395" s="2465" t="n"/>
      <c r="M395" s="2465" t="n"/>
      <c r="N395" s="2465" t="n"/>
      <c r="O395" s="2465" t="n"/>
      <c r="P395" s="23" t="n"/>
      <c r="Q395" s="24" t="n"/>
      <c r="R395" s="273" t="n"/>
      <c r="V395" s="65" t="n"/>
      <c r="X395" s="2465" t="n"/>
      <c r="Y395" s="2465" t="n"/>
      <c r="Z395" s="2465" t="n"/>
      <c r="AA395" s="2465" t="n"/>
      <c r="AB395" s="2465" t="n"/>
      <c r="AC395" s="246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69">
      <c r="A396" s="1187" t="n"/>
      <c r="B396" s="133" t="inlineStr">
        <is>
          <t>Vous faites valoir que l'autre parent lui a menti</t>
        </is>
      </c>
      <c r="C396" s="100" t="n"/>
      <c r="D396" s="1641" t="n">
        <v>2</v>
      </c>
      <c r="E396" s="37">
        <f>IF(P$394=D396,1,"x")</f>
        <v/>
      </c>
      <c r="F396" s="2465" t="n"/>
      <c r="G396" s="2465" t="n"/>
      <c r="H396" s="2465" t="n"/>
      <c r="I396" s="2465" t="n"/>
      <c r="J396" s="2465" t="n"/>
      <c r="K396" s="2465" t="n"/>
      <c r="L396" s="2465" t="n"/>
      <c r="M396" s="2465" t="n"/>
      <c r="N396" s="2465" t="n"/>
      <c r="O396" s="2465" t="n"/>
      <c r="P396" s="23" t="n"/>
      <c r="Q396" s="24" t="n"/>
      <c r="R396" s="273" t="n"/>
      <c r="V396" s="2465" t="n"/>
      <c r="X396" s="2465" t="n"/>
      <c r="Y396" s="2465" t="n"/>
      <c r="Z396" s="2465" t="n"/>
      <c r="AA396" s="2465" t="n"/>
      <c r="AB396" s="2465" t="n"/>
      <c r="AC396" s="246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69">
      <c r="A397" s="1187" t="n"/>
      <c r="B397" s="133" t="inlineStr">
        <is>
          <t>Vous êtes blessé·e, vous devenez émotif·ve</t>
        </is>
      </c>
      <c r="C397" s="100" t="n"/>
      <c r="D397" s="1641" t="n">
        <v>3</v>
      </c>
      <c r="E397" s="37">
        <f>IF(P$394=D397,1,"x")</f>
        <v/>
      </c>
      <c r="F397" s="2465" t="n"/>
      <c r="G397" s="2465" t="n"/>
      <c r="H397" s="2465" t="n"/>
      <c r="I397" s="2465" t="n"/>
      <c r="J397" s="2465" t="n"/>
      <c r="K397" s="2465" t="n"/>
      <c r="L397" s="2465" t="n"/>
      <c r="M397" s="2465" t="n"/>
      <c r="N397" s="2465" t="n"/>
      <c r="O397" s="2465" t="n"/>
      <c r="P397" s="23" t="n"/>
      <c r="Q397" s="24" t="n"/>
      <c r="R397" s="273" t="n"/>
      <c r="V397" s="2465" t="n"/>
      <c r="X397" s="2465" t="n"/>
      <c r="Y397" s="2465" t="n"/>
      <c r="Z397" s="2465" t="n"/>
      <c r="AA397" s="2465" t="n"/>
      <c r="AB397" s="2465" t="n"/>
      <c r="AC397" s="246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69">
      <c r="A398" s="1187" t="n"/>
      <c r="B398" s="133">
        <f>IF(OR($P$269&gt;=4,$P$288&gt;=4),"Aucune de ces réponses","")</f>
        <v/>
      </c>
      <c r="C398" s="100" t="n"/>
      <c r="D398" s="1641" t="n">
        <v>4</v>
      </c>
      <c r="E398" s="37">
        <f>IF(P$394=D398,1,"x")</f>
        <v/>
      </c>
      <c r="V398" s="2465" t="n"/>
      <c r="X398" s="2465" t="n"/>
      <c r="Y398" s="2465" t="n"/>
      <c r="Z398" s="2465" t="n"/>
      <c r="AA398" s="2465" t="n"/>
      <c r="AB398" s="2465" t="n"/>
      <c r="AC398" s="2465" t="n"/>
      <c r="AE398" s="473" t="n"/>
      <c r="AF398" s="38" t="n"/>
      <c r="AG398" s="38" t="n"/>
      <c r="AH398" s="69" t="n"/>
      <c r="AI398" s="69" t="n"/>
      <c r="AJ398" s="69" t="n"/>
      <c r="AK398" s="677" t="n"/>
      <c r="AL398" s="677" t="n"/>
      <c r="AM398" s="677" t="n"/>
      <c r="AN398" s="677" t="n"/>
      <c r="AO398" s="677" t="n"/>
      <c r="AP398" s="677" t="n"/>
      <c r="AQ398" s="677" t="n"/>
      <c r="AR398" s="677" t="n"/>
    </row>
    <row r="399" customFormat="1" s="2469">
      <c r="A399" s="1187" t="n"/>
      <c r="B399" s="133" t="n"/>
      <c r="D399" s="2472" t="n"/>
      <c r="V399" s="2465" t="n"/>
      <c r="X399" s="2481"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69">
      <c r="A400" s="105" t="n"/>
      <c r="B400" s="2580" t="n"/>
      <c r="C400" s="2463" t="n"/>
      <c r="D400" s="2472" t="n"/>
      <c r="G400" s="2465" t="n"/>
      <c r="H400" s="2465" t="n"/>
      <c r="I400" s="2465" t="n"/>
      <c r="J400" s="2465" t="n"/>
      <c r="P400" s="67" t="n"/>
      <c r="Q400" s="6" t="n"/>
      <c r="V400" s="246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69" thickBot="1">
      <c r="A401" s="517" t="inlineStr">
        <is>
          <t>Nouveau·lle conjoint·e</t>
        </is>
      </c>
      <c r="B401" s="2580" t="n"/>
      <c r="C401" s="22" t="n"/>
      <c r="D401" s="2481"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69" thickTop="1">
      <c r="A402" s="1592">
        <f>BIBLE!E216</f>
        <v/>
      </c>
      <c r="B402" s="133">
        <f>IF(P46&lt;&gt;1,BIBLE!F216,"")</f>
        <v/>
      </c>
      <c r="C402" s="2465">
        <f>BIBLE!O216</f>
        <v/>
      </c>
      <c r="D402" s="2481">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78" t="n"/>
      <c r="U402" s="2578" t="n"/>
      <c r="V402" s="6" t="n"/>
      <c r="W402" s="246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69" thickBot="1">
      <c r="A403" s="524" t="n"/>
      <c r="B403" s="2580" t="n"/>
      <c r="C403" s="2465" t="n"/>
      <c r="D403" s="2481"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78" t="n"/>
      <c r="U403" s="2578" t="n"/>
      <c r="V403" s="6" t="n"/>
      <c r="W403" s="2465" t="n"/>
      <c r="X403" s="6" t="n"/>
      <c r="Y403" s="6" t="n"/>
      <c r="Z403" s="6" t="n"/>
      <c r="AA403" s="6" t="n"/>
      <c r="AB403" s="6" t="n"/>
      <c r="AC403" s="6" t="n"/>
      <c r="AF403" s="38" t="n"/>
      <c r="AG403" s="38" t="n"/>
    </row>
    <row r="404" ht="75" customFormat="1" customHeight="1" s="2469" thickTop="1">
      <c r="A404" s="1592">
        <f>BIBLE!E217</f>
        <v/>
      </c>
      <c r="B404" s="133">
        <f>IF(AND(P46&lt;&gt;1,P402&gt;=R402),BIBLE!F217,"")</f>
        <v/>
      </c>
      <c r="C404" s="2499">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78" t="n"/>
      <c r="U404" s="2578" t="n"/>
      <c r="V404" s="6">
        <f>IF(P404&gt;=R404,IF(Q404&gt;Q405,Q404,Q405),Q404)</f>
        <v/>
      </c>
      <c r="W404" s="246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69">
      <c r="A405" s="1592">
        <f>BIBLE!E218</f>
        <v/>
      </c>
      <c r="B405" s="133">
        <f>IF(AND(P46&lt;&gt;1,P404&gt;=R404),BIBLE!F218,"")</f>
        <v/>
      </c>
      <c r="C405" s="2499">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78" t="n"/>
      <c r="U405" s="2578" t="n"/>
      <c r="V405" s="2520" t="n"/>
      <c r="W405" s="2578"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69">
      <c r="A406" s="1189">
        <f>BIBLE!E219</f>
        <v/>
      </c>
      <c r="B406" s="133">
        <f>IF(AND(P46&lt;&gt;1,P59&gt;=3),BIBLE!F219,"")</f>
        <v/>
      </c>
      <c r="C406" s="2499">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69">
      <c r="A407" s="1189">
        <f>BIBLE!E220</f>
        <v/>
      </c>
      <c r="B407" s="133">
        <f>IF(P46&lt;&gt;1,BIBLE!F220,"")</f>
        <v/>
      </c>
      <c r="C407" s="2499">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69">
      <c r="A408" s="1189">
        <f>BIBLE!E221</f>
        <v/>
      </c>
      <c r="B408" s="2500">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69">
      <c r="A409" s="1189" t="n"/>
      <c r="B409" s="2492"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69">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69">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69">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69">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1" t="inlineStr">
        <is>
          <t>Max Q et SQ</t>
        </is>
      </c>
      <c r="BL413" s="2501" t="inlineStr">
        <is>
          <t>Addition des sous-questions de même niveau</t>
        </is>
      </c>
    </row>
    <row r="414" ht="44" customFormat="1" customHeight="1" s="2469">
      <c r="A414" s="1189">
        <f>BIBLE!E222</f>
        <v/>
      </c>
      <c r="B414" s="133">
        <f>IF(P408&gt;=3,BIBLE!F222,"")</f>
        <v/>
      </c>
      <c r="C414" s="2499">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20"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69">
      <c r="A415" s="1189">
        <f>BIBLE!E223</f>
        <v/>
      </c>
      <c r="B415" s="133">
        <f>IF(P414&gt;=R414,BIBLE!F223,"")</f>
        <v/>
      </c>
      <c r="C415" s="2499">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20"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69">
      <c r="A416" s="1189">
        <f>BIBLE!E224</f>
        <v/>
      </c>
      <c r="B416" s="133">
        <f>IF(AND(P42&lt;&gt;1,P408&gt;=3),BIBLE!F224,"")</f>
        <v/>
      </c>
      <c r="C416" s="2499">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20" t="n"/>
      <c r="AU416" s="6">
        <f>IF($Q416&gt;0,X$109*$D416,0)</f>
        <v/>
      </c>
      <c r="AV416" s="6">
        <f>IF($Q416&gt;0,Y$109*$D416,0)</f>
        <v/>
      </c>
      <c r="AW416" s="6">
        <f>IF($Q416&gt;0,Z$109*$D416,0)</f>
        <v/>
      </c>
      <c r="AX416" s="6">
        <f>IF($Q416&gt;0,AA$109*$D416,0)</f>
        <v/>
      </c>
      <c r="AY416" s="6">
        <f>IF($Q416&gt;0,AB$109*$D416,0)</f>
        <v/>
      </c>
      <c r="AZ416" s="6">
        <f>IF($Q416&gt;0,AC$109*$D416,0)</f>
        <v/>
      </c>
    </row>
    <row r="417" ht="75" customFormat="1" customHeight="1" s="2469">
      <c r="A417" s="1189">
        <f>BIBLE!E225</f>
        <v/>
      </c>
      <c r="B417" s="133">
        <f>IF(P46&lt;&gt;1,BIBLE!F225,"")</f>
        <v/>
      </c>
      <c r="C417" s="2499">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65">
        <f>BIBLE!K225</f>
        <v/>
      </c>
      <c r="S417" s="41" t="n"/>
      <c r="T417" s="41" t="n"/>
      <c r="U417" s="41" t="n"/>
      <c r="V417" s="6">
        <f>IF(P417&gt;=R417,IF(Q417&gt;Q418,Q417,Q418),Q417)</f>
        <v/>
      </c>
      <c r="W417" s="246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69">
      <c r="A418" s="1189">
        <f>BIBLE!E226</f>
        <v/>
      </c>
      <c r="B418" s="134">
        <f>IF(P417&gt;=R417,BIBLE!F226,"")</f>
        <v/>
      </c>
      <c r="C418" s="2499">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6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69">
      <c r="A419" s="1189">
        <f>BIBLE!E227</f>
        <v/>
      </c>
      <c r="B419" s="133">
        <f>IF(P46&lt;&gt;1,BIBLE!F227,"")</f>
        <v/>
      </c>
      <c r="C419" s="2499">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69">
      <c r="A420" s="1189">
        <f>BIBLE!E228</f>
        <v/>
      </c>
      <c r="B420" s="133">
        <f>IF(P46&lt;&gt;1,BIBLE!F228,"")</f>
        <v/>
      </c>
      <c r="C420" s="2499">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6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69">
      <c r="A421" s="1189">
        <f>BIBLE!E229</f>
        <v/>
      </c>
      <c r="B421" s="133">
        <f>IF(P46&lt;&gt;1,BIBLE!F229,"")</f>
        <v/>
      </c>
      <c r="C421" s="2499">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6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69">
      <c r="A422" s="1189">
        <f>BIBLE!E230</f>
        <v/>
      </c>
      <c r="B422" s="133">
        <f>IF(AND(P46&lt;&gt;1,P59&gt;=3),BIBLE!F230,"")</f>
        <v/>
      </c>
      <c r="C422" s="2499">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6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1">
      <c r="A423" s="1189">
        <f>BIBLE!E231</f>
        <v/>
      </c>
      <c r="B423" s="133">
        <f>IF(P46&lt;&gt;1,BIBLE!F231,"")</f>
        <v/>
      </c>
      <c r="C423" s="2499">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6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1">
      <c r="A424" s="1189">
        <f>BIBLE!E232</f>
        <v/>
      </c>
      <c r="B424" s="133">
        <f>IF(P46&lt;&gt;1,BIBLE!F232,"")</f>
        <v/>
      </c>
      <c r="C424" s="2468">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1">
      <c r="A425" s="1189">
        <f>BIBLE!E233</f>
        <v/>
      </c>
      <c r="B425" s="133">
        <f>IF(AND(P46&lt;&gt;1,P59&gt;=3),BIBLE!F233,"")</f>
        <v/>
      </c>
      <c r="C425" s="2499">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65" t="n"/>
      <c r="S425" s="2469" t="n"/>
      <c r="T425" s="2469" t="n"/>
      <c r="U425" s="2469"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1">
      <c r="A426" s="1189">
        <f>BIBLE!E234</f>
        <v/>
      </c>
      <c r="B426" s="133">
        <f>IF(AND(P46&lt;&gt;1,P183&gt;=R183),BIBLE!F234,"")</f>
        <v/>
      </c>
      <c r="C426" s="2499">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6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69">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69">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5" t="inlineStr">
        <is>
          <t>Aucun</t>
        </is>
      </c>
      <c r="Z428" s="2465" t="inlineStr">
        <is>
          <t>Faible</t>
        </is>
      </c>
      <c r="AA428" s="2465" t="inlineStr">
        <is>
          <t>modéré</t>
        </is>
      </c>
      <c r="AB428" s="2465" t="inlineStr">
        <is>
          <t>sévère</t>
        </is>
      </c>
      <c r="AC428" s="246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69">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65" t="n"/>
      <c r="Y429" s="2465" t="n"/>
      <c r="Z429" s="2465" t="inlineStr">
        <is>
          <t>Min</t>
        </is>
      </c>
      <c r="AA429" s="63">
        <f>(AA427-Z427)/(AC427-Z427)</f>
        <v/>
      </c>
      <c r="AB429" s="63">
        <f>(AB427-AA427)/(AC427-Z427)</f>
        <v/>
      </c>
      <c r="AC429" s="2465" t="inlineStr">
        <is>
          <t>Max</t>
        </is>
      </c>
    </row>
    <row r="430" ht="18" customFormat="1" customHeight="1" s="2469">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5" t="n"/>
      <c r="Y430" s="2465" t="n"/>
      <c r="Z430" s="2465" t="n"/>
      <c r="AA430" s="2465" t="n"/>
      <c r="AB430" s="2465" t="n"/>
      <c r="AC430" s="2465" t="n"/>
      <c r="AH430" s="2493" t="inlineStr">
        <is>
          <t>Baromètres Parents</t>
        </is>
      </c>
      <c r="AI430" s="2490" t="n"/>
      <c r="AJ430" s="2490" t="n"/>
      <c r="AK430" s="2490" t="n"/>
      <c r="AL430" s="2490" t="n"/>
      <c r="AM430" s="2490" t="n"/>
      <c r="AN430" s="2490" t="n"/>
      <c r="AO430" s="2490" t="n"/>
      <c r="AP430" s="2490" t="n"/>
      <c r="AQ430" s="2490" t="n"/>
      <c r="AR430" s="2490" t="n"/>
    </row>
    <row r="431" ht="18" customFormat="1" customHeight="1" s="2469">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5" t="n"/>
      <c r="Y431" s="2465" t="n"/>
      <c r="Z431" s="2465" t="n"/>
      <c r="AA431" s="2465" t="n"/>
      <c r="AB431" s="2465" t="n"/>
      <c r="AC431" s="2465" t="n"/>
      <c r="AD431" s="53" t="n"/>
      <c r="AH431" s="2479" t="inlineStr">
        <is>
          <t>CEV</t>
        </is>
      </c>
      <c r="AI431" s="2480" t="n"/>
      <c r="AJ431" s="2480" t="n"/>
      <c r="AK431" s="2479" t="inlineStr">
        <is>
          <t>Catégorie</t>
        </is>
      </c>
      <c r="AL431" s="2480" t="n"/>
      <c r="AM431" s="2480" t="n"/>
      <c r="AN431" s="2480" t="n"/>
      <c r="AO431" s="2480" t="n"/>
      <c r="AP431" s="2480" t="n"/>
      <c r="AQ431" s="2480" t="n"/>
      <c r="AR431" s="2480" t="n"/>
    </row>
    <row r="432" ht="18" customFormat="1" customHeight="1" s="2469">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5" t="n"/>
      <c r="Y432" s="2465" t="n"/>
      <c r="Z432" s="2465" t="n"/>
      <c r="AA432" s="2465" t="n"/>
      <c r="AB432" s="2465" t="n"/>
      <c r="AC432" s="246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69">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5" t="n"/>
      <c r="Y433" s="2465" t="n"/>
      <c r="Z433" s="2465" t="n"/>
      <c r="AA433" s="2465" t="n"/>
      <c r="AB433" s="2465" t="n"/>
      <c r="AC433" s="246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69">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5" t="n"/>
      <c r="Y434" s="2465" t="n"/>
      <c r="Z434" s="2465" t="n"/>
      <c r="AA434" s="2465" t="n"/>
      <c r="AB434" s="2465" t="n"/>
      <c r="AC434" s="2465" t="n"/>
    </row>
    <row r="435" ht="18" customFormat="1" customHeight="1" s="2469">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5" t="n"/>
      <c r="Y435" s="2465" t="n"/>
      <c r="Z435" s="2465" t="n"/>
      <c r="AA435" s="2465" t="n"/>
      <c r="AB435" s="2465" t="n"/>
      <c r="AC435" s="2465" t="n"/>
    </row>
    <row r="436" ht="24" customFormat="1" customHeight="1" s="2469">
      <c r="A436" s="1191">
        <f>BIBLE!E241</f>
        <v/>
      </c>
      <c r="B436" s="2469">
        <f>BIBLE!F241</f>
        <v/>
      </c>
      <c r="D436" s="1646" t="n"/>
      <c r="F436" s="2472"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65" t="n"/>
      <c r="Z436" s="2465" t="n"/>
      <c r="AA436" s="2465" t="n"/>
      <c r="AB436" s="2465" t="n"/>
      <c r="AC436" s="2465" t="n"/>
    </row>
    <row r="437" customFormat="1" s="2469">
      <c r="A437" s="1191" t="n"/>
      <c r="B437" s="53" t="inlineStr">
        <is>
          <t>Non, Je ne le suis pas</t>
        </is>
      </c>
      <c r="D437" s="1646" t="n">
        <v>1</v>
      </c>
      <c r="E437" s="37">
        <f>IF(P$436=D437,1,"x")</f>
        <v/>
      </c>
      <c r="F437" s="2472" t="n"/>
      <c r="H437" s="41" t="n"/>
      <c r="I437" s="41" t="n"/>
      <c r="J437" s="41" t="n"/>
      <c r="K437" s="41" t="n"/>
      <c r="L437" s="41" t="n"/>
      <c r="M437" s="41" t="n"/>
      <c r="N437" s="41" t="n"/>
      <c r="O437" s="41" t="n"/>
      <c r="P437" s="41" t="n"/>
      <c r="Q437" s="41" t="n"/>
      <c r="R437" s="41" t="n"/>
      <c r="S437" s="41" t="n"/>
      <c r="T437" s="41" t="n"/>
      <c r="U437" s="41" t="n"/>
      <c r="V437" s="494" t="n"/>
      <c r="W437" s="41" t="n"/>
      <c r="X437" s="2465" t="n"/>
      <c r="Y437" s="2465" t="n"/>
      <c r="Z437" s="2465" t="n"/>
      <c r="AA437" s="2465" t="n"/>
      <c r="AB437" s="2465" t="n"/>
      <c r="AC437" s="2465" t="n"/>
    </row>
    <row r="438" customFormat="1" s="2469">
      <c r="A438" s="1191" t="n"/>
      <c r="B438" s="53" t="inlineStr">
        <is>
          <t>Oui, Médiation</t>
        </is>
      </c>
      <c r="D438" s="1646" t="n">
        <v>2</v>
      </c>
      <c r="E438" s="37">
        <f>IF(P$436=D438,1,"x")</f>
        <v/>
      </c>
      <c r="F438" s="2472" t="n"/>
      <c r="H438" s="41" t="n"/>
      <c r="I438" s="41" t="n"/>
      <c r="J438" s="41" t="n"/>
      <c r="K438" s="41" t="n"/>
      <c r="L438" s="41" t="n"/>
      <c r="M438" s="41" t="n"/>
      <c r="N438" s="41" t="n"/>
      <c r="O438" s="41" t="n"/>
      <c r="P438" s="41" t="n"/>
      <c r="Q438" s="41" t="n"/>
      <c r="R438" s="41" t="n"/>
      <c r="S438" s="41" t="n"/>
      <c r="T438" s="41" t="n"/>
      <c r="U438" s="41" t="n"/>
      <c r="V438" s="494" t="n"/>
      <c r="W438" s="41" t="n"/>
      <c r="X438" s="2465" t="n"/>
      <c r="Y438" s="2465" t="n"/>
      <c r="Z438" s="2465" t="n"/>
      <c r="AA438" s="2465" t="n"/>
      <c r="AB438" s="2465" t="n"/>
      <c r="AC438" s="2465" t="n"/>
    </row>
    <row r="439" customFormat="1" s="2469">
      <c r="A439" s="1191" t="n"/>
      <c r="B439" s="53" t="inlineStr">
        <is>
          <t>Oui, Tribunal droit de la famille  (ex.: Cour supérieure au Québec)</t>
        </is>
      </c>
      <c r="D439" s="1646" t="n">
        <v>3</v>
      </c>
      <c r="E439" s="37">
        <f>IF(P$436=D439,1,"x")</f>
        <v/>
      </c>
      <c r="F439" s="2472" t="n"/>
      <c r="H439" s="41" t="n"/>
      <c r="I439" s="41" t="n"/>
      <c r="J439" s="41" t="n"/>
      <c r="K439" s="41" t="n"/>
      <c r="L439" s="41" t="n"/>
      <c r="M439" s="41" t="n"/>
      <c r="N439" s="41" t="n"/>
      <c r="O439" s="41" t="n"/>
      <c r="P439" s="41" t="n"/>
      <c r="Q439" s="41" t="n"/>
      <c r="R439" s="41" t="n"/>
      <c r="S439" s="41" t="n"/>
      <c r="T439" s="41" t="n"/>
      <c r="U439" s="41" t="n"/>
      <c r="V439" s="494" t="n"/>
      <c r="W439" s="41" t="n"/>
      <c r="X439" s="2465" t="n"/>
      <c r="Y439" s="2465" t="n"/>
      <c r="Z439" s="2465" t="n"/>
      <c r="AA439" s="2465" t="n"/>
      <c r="AB439" s="2465" t="n"/>
      <c r="AC439" s="2465" t="n"/>
    </row>
    <row r="440" customFormat="1" s="2469">
      <c r="A440" s="1191" t="n"/>
      <c r="B440" s="53" t="inlineStr">
        <is>
          <t>Oui, Tribunal de la jeunesse (ex.: DPJ au Québec)</t>
        </is>
      </c>
      <c r="D440" s="1646" t="n">
        <v>4</v>
      </c>
      <c r="E440" s="37">
        <f>IF(P$436=D440,1,"x")</f>
        <v/>
      </c>
      <c r="F440" s="2472" t="n"/>
      <c r="H440" s="41" t="n"/>
      <c r="I440" s="41" t="n"/>
      <c r="J440" s="41" t="n"/>
      <c r="K440" s="41" t="n"/>
      <c r="L440" s="41" t="n"/>
      <c r="M440" s="41" t="n"/>
      <c r="N440" s="41" t="n"/>
      <c r="O440" s="41" t="n"/>
      <c r="P440" s="41" t="n"/>
      <c r="Q440" s="41" t="n"/>
      <c r="R440" s="41" t="n"/>
      <c r="S440" s="41" t="n"/>
      <c r="T440" s="41" t="n"/>
      <c r="U440" s="41" t="n"/>
      <c r="V440" s="494" t="n"/>
      <c r="W440" s="41" t="n"/>
      <c r="X440" s="2465" t="n"/>
      <c r="Y440" s="2465" t="n"/>
      <c r="Z440" s="2465" t="n"/>
      <c r="AA440" s="2465" t="n"/>
      <c r="AB440" s="2465" t="n"/>
      <c r="AC440" s="2465" t="n"/>
    </row>
    <row r="441" customFormat="1" s="2469">
      <c r="A441" s="1191" t="n"/>
      <c r="B441" s="53" t="inlineStr">
        <is>
          <t>Autre</t>
        </is>
      </c>
      <c r="D441" s="1646" t="n">
        <v>5</v>
      </c>
      <c r="E441" s="1542" t="inlineStr">
        <is>
          <t>Custom</t>
        </is>
      </c>
      <c r="F441" s="2472" t="n"/>
      <c r="H441" s="41" t="n"/>
      <c r="I441" s="41" t="n"/>
      <c r="J441" s="41" t="n"/>
      <c r="K441" s="41" t="n"/>
      <c r="L441" s="41" t="n"/>
      <c r="M441" s="41" t="n"/>
      <c r="N441" s="41" t="n"/>
      <c r="O441" s="41" t="n"/>
      <c r="P441" s="41" t="n"/>
      <c r="Q441" s="41" t="n"/>
      <c r="R441" s="41" t="n"/>
      <c r="S441" s="41" t="n"/>
      <c r="T441" s="41" t="n"/>
      <c r="U441" s="41" t="n"/>
      <c r="V441" s="494" t="n"/>
      <c r="W441" s="41" t="n"/>
      <c r="X441" s="2465" t="n"/>
      <c r="Y441" s="2465" t="n"/>
      <c r="Z441" s="2465" t="n"/>
      <c r="AA441" s="2465" t="n"/>
      <c r="AB441" s="2465" t="n"/>
      <c r="AC441" s="2465" t="n"/>
    </row>
    <row r="442" customFormat="1" s="2469">
      <c r="A442" s="1191">
        <f>BIBLE!E242</f>
        <v/>
      </c>
      <c r="B442" s="2469">
        <f>BIBLE!F242</f>
        <v/>
      </c>
      <c r="D442" s="1646" t="n"/>
      <c r="F442" s="2472"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65" t="n"/>
      <c r="Y442" s="2465" t="n"/>
      <c r="Z442" s="2465" t="n"/>
      <c r="AA442" s="2465" t="n"/>
      <c r="AB442" s="2465" t="n"/>
      <c r="AC442" s="2465" t="n"/>
    </row>
    <row r="443" customFormat="1" s="2469">
      <c r="A443" s="1191" t="n"/>
      <c r="B443" s="53" t="inlineStr">
        <is>
          <t xml:space="preserve">Garde partagée (ou garde dite alternée) </t>
        </is>
      </c>
      <c r="D443" s="1646" t="n">
        <v>1</v>
      </c>
      <c r="E443" s="37">
        <f>IF(P$442=D443,1,"x")</f>
        <v/>
      </c>
      <c r="F443" s="2472" t="n"/>
      <c r="H443" s="41" t="n"/>
      <c r="I443" s="41" t="n"/>
      <c r="J443" s="41" t="n"/>
      <c r="K443" s="41" t="n"/>
      <c r="L443" s="41" t="n"/>
      <c r="M443" s="41" t="n"/>
      <c r="N443" s="41" t="n"/>
      <c r="O443" s="41" t="n"/>
      <c r="P443" s="41" t="n"/>
      <c r="Q443" s="41" t="n"/>
      <c r="R443" s="41" t="n"/>
      <c r="S443" s="41" t="n"/>
      <c r="T443" s="41" t="n"/>
      <c r="U443" s="41" t="n"/>
      <c r="V443" s="494" t="n"/>
      <c r="W443" s="41" t="n"/>
      <c r="X443" s="2465" t="n"/>
      <c r="Y443" s="2465" t="n"/>
      <c r="Z443" s="2465" t="n"/>
      <c r="AA443" s="2465" t="n"/>
      <c r="AB443" s="2465" t="n"/>
      <c r="AC443" s="2465" t="n"/>
    </row>
    <row r="444" customFormat="1" s="2469">
      <c r="A444" s="1191" t="n"/>
      <c r="B444" s="53" t="inlineStr">
        <is>
          <t>Garde exclusive pour vous</t>
        </is>
      </c>
      <c r="D444" s="1646" t="n">
        <v>2</v>
      </c>
      <c r="E444" s="37">
        <f>IF(P$442=D444,1,"x")</f>
        <v/>
      </c>
      <c r="F444" s="2472" t="n"/>
      <c r="H444" s="41" t="n"/>
      <c r="I444" s="41" t="n"/>
      <c r="J444" s="41" t="n"/>
      <c r="K444" s="41" t="n"/>
      <c r="L444" s="41" t="n"/>
      <c r="M444" s="41" t="n"/>
      <c r="N444" s="41" t="n"/>
      <c r="O444" s="41" t="n"/>
      <c r="P444" s="41" t="n"/>
      <c r="Q444" s="41" t="n"/>
      <c r="R444" s="41" t="n"/>
      <c r="S444" s="41" t="n"/>
      <c r="T444" s="41" t="n"/>
      <c r="U444" s="41" t="n"/>
      <c r="V444" s="494" t="n"/>
      <c r="W444" s="41" t="n"/>
      <c r="X444" s="2465" t="n"/>
      <c r="Y444" s="2465" t="n"/>
      <c r="Z444" s="2465" t="n"/>
      <c r="AA444" s="2465" t="n"/>
      <c r="AB444" s="2465" t="n"/>
      <c r="AC444" s="2465" t="n"/>
    </row>
    <row r="445" customFormat="1" s="2469">
      <c r="A445" s="1191" t="n"/>
      <c r="B445" s="53" t="inlineStr">
        <is>
          <t xml:space="preserve">Garde exclusive pour l'autre parent </t>
        </is>
      </c>
      <c r="D445" s="1646" t="n">
        <v>3</v>
      </c>
      <c r="E445" s="37">
        <f>IF(P$442=D445,1,"x")</f>
        <v/>
      </c>
      <c r="F445" s="2472" t="n"/>
      <c r="H445" s="2580" t="n"/>
      <c r="I445" s="2580" t="n"/>
      <c r="J445" s="2580" t="n"/>
      <c r="K445" s="2580" t="n"/>
      <c r="L445" s="2580" t="n"/>
      <c r="M445" s="2580" t="n"/>
      <c r="N445" s="2580" t="n"/>
      <c r="O445" s="2580" t="n"/>
      <c r="P445" s="2580" t="n"/>
      <c r="Q445" s="2580" t="n"/>
      <c r="R445" s="2580" t="n"/>
      <c r="S445" s="2580" t="n"/>
      <c r="T445" s="2580" t="n"/>
      <c r="U445" s="2580" t="n"/>
      <c r="V445" s="2520" t="n"/>
      <c r="W445" s="2580" t="n"/>
      <c r="X445" s="2465" t="n"/>
      <c r="Y445" s="2465" t="n"/>
      <c r="Z445" s="2465" t="n"/>
      <c r="AA445" s="2465" t="n"/>
      <c r="AB445" s="2465" t="n"/>
      <c r="AC445" s="2465" t="n"/>
    </row>
    <row r="446" customFormat="1" s="2469">
      <c r="A446" s="1191" t="n"/>
      <c r="B446" s="53" t="inlineStr">
        <is>
          <t>Aucune garde établie</t>
        </is>
      </c>
      <c r="D446" s="1646" t="n">
        <v>4</v>
      </c>
      <c r="E446" s="37">
        <f>IF(P$442=D446,1,"x")</f>
        <v/>
      </c>
      <c r="F446" s="2472" t="n"/>
      <c r="V446" s="2465" t="n"/>
      <c r="X446" s="2465" t="n"/>
      <c r="Y446" s="2465" t="n"/>
      <c r="Z446" s="2465" t="n"/>
      <c r="AA446" s="2465" t="n"/>
      <c r="AB446" s="2465" t="n"/>
      <c r="AC446" s="2465" t="n"/>
    </row>
    <row r="447" customFormat="1" s="2469">
      <c r="A447" s="1191" t="n"/>
      <c r="B447" s="53" t="inlineStr">
        <is>
          <t>Accès supervisés pour vous</t>
        </is>
      </c>
      <c r="D447" s="1646" t="n">
        <v>5</v>
      </c>
      <c r="E447" s="37">
        <f>IF(P$442=D447,1,"x")</f>
        <v/>
      </c>
      <c r="F447" s="2472" t="n"/>
      <c r="V447" s="2465" t="n"/>
      <c r="X447" s="2465" t="n"/>
      <c r="Y447" s="2465" t="n"/>
      <c r="Z447" s="2465" t="n"/>
      <c r="AA447" s="2465" t="n"/>
      <c r="AB447" s="2465" t="n"/>
      <c r="AC447" s="2465" t="n"/>
    </row>
    <row r="448" customFormat="1" s="2469">
      <c r="A448" s="1191" t="n"/>
      <c r="B448" s="53" t="inlineStr">
        <is>
          <t xml:space="preserve">Accès supervisés pour l'autre parent </t>
        </is>
      </c>
      <c r="D448" s="1646" t="n">
        <v>6</v>
      </c>
      <c r="E448" s="37">
        <f>IF(P$442=D448,1,"x")</f>
        <v/>
      </c>
      <c r="F448" s="2472" t="n"/>
      <c r="V448" s="2465" t="n"/>
      <c r="X448" s="2465" t="n"/>
      <c r="Y448" s="2465" t="n"/>
      <c r="Z448" s="2465" t="n"/>
      <c r="AA448" s="2465" t="n"/>
      <c r="AB448" s="2465" t="n"/>
      <c r="AC448" s="2465" t="n"/>
    </row>
    <row r="449" ht="24" customFormat="1" customHeight="1" s="2469">
      <c r="A449" s="1191" t="n"/>
      <c r="B449" s="53" t="inlineStr">
        <is>
          <t>Jeune adulte autonome</t>
        </is>
      </c>
      <c r="D449" s="1646" t="n">
        <v>7</v>
      </c>
      <c r="E449" s="37">
        <f>IF(P$442=D449,1,"x")</f>
        <v/>
      </c>
      <c r="F449" s="2472" t="n"/>
      <c r="V449" s="2465" t="n"/>
      <c r="X449" s="2465" t="n"/>
      <c r="Y449" s="2465" t="n"/>
      <c r="Z449" s="2465" t="n"/>
      <c r="AA449" s="2465" t="n"/>
      <c r="AB449" s="2465" t="n"/>
      <c r="AC449" s="2465" t="n"/>
      <c r="AH449" s="2493" t="inlineStr">
        <is>
          <t>Baromètres Co-parent et nouveau conjoint.e (uniquement)</t>
        </is>
      </c>
      <c r="AI449" s="2490" t="n"/>
      <c r="AJ449" s="2490" t="n"/>
      <c r="AK449" s="2490" t="n"/>
      <c r="AL449" s="2490" t="n"/>
      <c r="AM449" s="2490" t="n"/>
      <c r="AN449" s="2490" t="n"/>
      <c r="AO449" s="2490" t="n"/>
      <c r="AP449" s="2490" t="n"/>
      <c r="AQ449" s="2490" t="n"/>
      <c r="AR449" s="2490" t="n"/>
    </row>
    <row r="450" customFormat="1" s="2469">
      <c r="A450" s="1191" t="n"/>
      <c r="B450" s="53" t="inlineStr">
        <is>
          <t>Autre</t>
        </is>
      </c>
      <c r="D450" s="1646" t="n">
        <v>8</v>
      </c>
      <c r="E450" s="1542" t="inlineStr">
        <is>
          <t>Custom</t>
        </is>
      </c>
      <c r="F450" s="2472" t="n"/>
      <c r="G450" s="277" t="inlineStr">
        <is>
          <t>!!! Pour Data seulement (fins d'études)</t>
        </is>
      </c>
      <c r="V450" s="2465" t="n"/>
      <c r="X450" s="2465" t="n"/>
      <c r="Y450" s="2465" t="n"/>
      <c r="Z450" s="2465" t="n"/>
      <c r="AA450" s="2465" t="n"/>
      <c r="AB450" s="2465" t="n"/>
      <c r="AC450" s="2465" t="n"/>
      <c r="AH450" s="2479" t="inlineStr">
        <is>
          <t>CEV</t>
        </is>
      </c>
      <c r="AI450" s="2480" t="n"/>
      <c r="AJ450" s="2480" t="n"/>
      <c r="AK450" s="2479" t="inlineStr">
        <is>
          <t>Catégorie</t>
        </is>
      </c>
      <c r="AL450" s="2480" t="n"/>
      <c r="AM450" s="2480" t="n"/>
      <c r="AN450" s="2480" t="n"/>
      <c r="AO450" s="2480" t="n"/>
      <c r="AP450" s="2480" t="n"/>
      <c r="AQ450" s="2480" t="n"/>
      <c r="AR450" s="2480" t="n"/>
    </row>
    <row r="451" customFormat="1" s="2469">
      <c r="A451" s="1191">
        <f>BIBLE!E243</f>
        <v/>
      </c>
      <c r="B451" s="21">
        <f>IF(P442=1,BIBLE!F243," ")</f>
        <v/>
      </c>
      <c r="D451" s="1646" t="n"/>
      <c r="E451" s="21" t="n"/>
      <c r="F451" s="271" t="n"/>
      <c r="G451" s="277" t="n"/>
      <c r="P451" s="1447">
        <f>'TEST_pour PROTOTYPE'!D401</f>
        <v/>
      </c>
      <c r="V451" s="2465" t="n"/>
      <c r="X451" s="2465" t="n"/>
      <c r="Y451" s="2465" t="n"/>
      <c r="Z451" s="2465" t="n"/>
      <c r="AA451" s="2465" t="n"/>
      <c r="AB451" s="2465" t="n"/>
      <c r="AC451" s="246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69">
      <c r="A452" s="1191" t="n"/>
      <c r="B452" s="102">
        <f>IF(P$442=1,"50% / 50%","")</f>
        <v/>
      </c>
      <c r="D452" s="1646" t="n">
        <v>1</v>
      </c>
      <c r="E452" s="37">
        <f>IF(P$451=D452,1,"x")</f>
        <v/>
      </c>
      <c r="F452" s="271" t="n"/>
      <c r="G452" s="277" t="n"/>
      <c r="V452" s="2465" t="n"/>
      <c r="X452" s="2465" t="n"/>
      <c r="Y452" s="2465" t="n"/>
      <c r="Z452" s="2465" t="n"/>
      <c r="AA452" s="2465" t="n"/>
      <c r="AB452" s="2465" t="n"/>
      <c r="AC452" s="246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69">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5" t="n"/>
      <c r="Y453" s="2465" t="n"/>
      <c r="Z453" s="2465" t="n"/>
      <c r="AA453" s="2465" t="n"/>
      <c r="AB453" s="2465" t="n"/>
      <c r="AC453" s="2465" t="n"/>
    </row>
    <row r="454" customFormat="1" s="2469">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5" t="n"/>
      <c r="Y454" s="2465" t="n"/>
      <c r="Z454" s="2465" t="n"/>
      <c r="AA454" s="2465" t="n"/>
      <c r="AB454" s="2465" t="n"/>
      <c r="AC454" s="2465" t="n"/>
    </row>
    <row r="455" ht="24" customFormat="1" customHeight="1" s="2469">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5" t="n"/>
      <c r="Y455" s="2465" t="n"/>
      <c r="Z455" s="2465" t="n"/>
      <c r="AA455" s="2465" t="n"/>
      <c r="AB455" s="2465" t="n"/>
      <c r="AC455" s="2465" t="n"/>
      <c r="AH455" s="2493" t="inlineStr">
        <is>
          <t>Baromètres Enfants</t>
        </is>
      </c>
      <c r="AI455" s="2490" t="n"/>
      <c r="AJ455" s="2490" t="n"/>
      <c r="AK455" s="2490" t="n"/>
      <c r="AL455" s="2490" t="n"/>
      <c r="AM455" s="2490" t="n"/>
      <c r="AN455" s="2490" t="n"/>
      <c r="AO455" s="2490" t="n"/>
      <c r="AP455" s="2490" t="n"/>
      <c r="AQ455" s="2490" t="n"/>
      <c r="AR455" s="2490" t="n"/>
    </row>
    <row r="456" customFormat="1" s="2469">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5" t="n"/>
      <c r="Y456" s="2465" t="n"/>
      <c r="Z456" s="2465" t="n"/>
      <c r="AA456" s="2465" t="n"/>
      <c r="AB456" s="2465" t="n"/>
      <c r="AC456" s="2465" t="n"/>
      <c r="AH456" s="2479" t="inlineStr">
        <is>
          <t>CEV</t>
        </is>
      </c>
      <c r="AI456" s="2480" t="n"/>
      <c r="AJ456" s="2480" t="n"/>
      <c r="AK456" s="2479" t="inlineStr">
        <is>
          <t>Catégorie</t>
        </is>
      </c>
      <c r="AL456" s="2480" t="n"/>
      <c r="AM456" s="2480" t="n"/>
      <c r="AN456" s="2480" t="n"/>
      <c r="AO456" s="2480" t="n"/>
      <c r="AP456" s="2480" t="n"/>
      <c r="AQ456" s="2480" t="n"/>
      <c r="AR456" s="2480" t="n"/>
    </row>
    <row r="457" ht="51" customFormat="1" customHeight="1" s="2469">
      <c r="A457" s="2503">
        <f>BIBLE!E244</f>
        <v/>
      </c>
      <c r="B457" s="2580">
        <f>BIBLE!F244</f>
        <v/>
      </c>
      <c r="D457" s="807" t="n"/>
      <c r="E457" s="41" t="n"/>
      <c r="F457" s="263" t="n"/>
      <c r="G457" s="41" t="n"/>
      <c r="H457" s="41" t="n"/>
      <c r="I457" s="41" t="n"/>
      <c r="J457" s="41" t="n"/>
      <c r="K457" s="41" t="n"/>
      <c r="L457" s="41" t="n"/>
      <c r="M457" s="41" t="n"/>
      <c r="N457" s="41" t="n"/>
      <c r="O457" s="1556" t="inlineStr">
        <is>
          <t>somme</t>
        </is>
      </c>
      <c r="P457" s="2457">
        <f>SUM(P458:P467)</f>
        <v/>
      </c>
      <c r="Q457" s="41" t="n"/>
      <c r="R457" s="41" t="n"/>
      <c r="S457" s="41" t="n"/>
      <c r="T457" s="41" t="n"/>
      <c r="U457" s="41" t="n"/>
      <c r="V457" s="494" t="n"/>
      <c r="W457" s="41" t="n"/>
      <c r="X457" s="2465" t="n"/>
      <c r="Y457" s="2465" t="n"/>
      <c r="Z457" s="2465" t="n"/>
      <c r="AA457" s="2465" t="n"/>
      <c r="AB457" s="2465" t="n"/>
      <c r="AC457" s="246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56">
      <c r="A458" s="2503"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56">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56">
      <c r="A460" s="2503"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56">
      <c r="A461" s="2503"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56">
      <c r="A462" s="2503"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56">
      <c r="A463" s="2503"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56">
      <c r="A464" s="2503"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56">
      <c r="A465" s="2503"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56">
      <c r="A466" s="2503"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56">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2"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567" zoomScale="50" workbookViewId="0">
      <selection activeCell="M574" sqref="M574"/>
    </sheetView>
  </sheetViews>
  <sheetFormatPr baseColWidth="10" defaultRowHeight="16"/>
  <cols>
    <col width="16.33203125" customWidth="1" style="2456" min="1" max="1"/>
    <col width="29.1640625" customWidth="1" style="2456" min="2" max="2"/>
    <col width="19.1640625" customWidth="1" style="2456" min="3" max="3"/>
    <col width="23" customWidth="1" style="2457" min="4" max="4"/>
    <col width="43.33203125" customWidth="1" style="2457" min="5" max="5"/>
    <col width="24" customWidth="1" style="2456" min="6" max="6"/>
    <col width="18.33203125" customWidth="1" style="2457" min="7" max="7"/>
    <col width="15.33203125" customWidth="1" style="2457" min="8" max="9"/>
    <col width="17.6640625" customWidth="1" style="2457" min="10" max="10"/>
    <col width="21.1640625" customWidth="1" style="2457" min="11" max="11"/>
    <col width="13.33203125" customWidth="1" style="2457" min="12" max="12"/>
    <col width="10.83203125" customWidth="1" style="2457"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36.1640625" customWidth="1" style="2457" min="38" max="38"/>
    <col width="36.1640625" customWidth="1" style="2456" min="39" max="40"/>
    <col width="15" bestFit="1" customWidth="1" style="2456" min="41" max="41"/>
  </cols>
  <sheetData>
    <row r="1" ht="116" customHeight="1" s="2456">
      <c r="B1" s="2470" t="inlineStr">
        <is>
          <t>Q s'active ou pas</t>
        </is>
      </c>
      <c r="D1" s="2520" t="inlineStr">
        <is>
          <t>Valeur de base que l'usager entre. Cette valeur se transporte dans le fichier TEST_Bible</t>
        </is>
      </c>
      <c r="E1" s="2520" t="inlineStr">
        <is>
          <t>Le résultat retourné par le Test_Bible EST ICI</t>
        </is>
      </c>
      <c r="F1" s="2520" t="inlineStr">
        <is>
          <t>Le résultat de chaque bloc parenté est ICI</t>
        </is>
      </c>
      <c r="G1" s="2520" t="inlineStr">
        <is>
          <t>Le résultat final qui représente l'indice AP par acteur</t>
        </is>
      </c>
      <c r="J1" s="2520" t="n"/>
    </row>
    <row r="2" ht="139" customHeight="1" s="2456">
      <c r="A2" s="2559" t="inlineStr">
        <is>
          <t>Intervalle des entrées de données</t>
        </is>
      </c>
      <c r="B2" s="2559" t="inlineStr">
        <is>
          <t>Si la Q devient inactive, l'entrée de données doit être nécessairement 0.</t>
        </is>
      </c>
      <c r="G2" s="1484" t="n"/>
    </row>
    <row r="3">
      <c r="C3" t="inlineStr">
        <is>
          <t>Identifiant</t>
        </is>
      </c>
      <c r="D3" s="2457" t="inlineStr">
        <is>
          <t>Valeur entrée</t>
        </is>
      </c>
      <c r="E3" s="2457" t="inlineStr">
        <is>
          <t>Résultat intermédiaire par question</t>
        </is>
      </c>
      <c r="F3" t="inlineStr">
        <is>
          <t>Résultat du bloc parenté</t>
        </is>
      </c>
      <c r="G3" s="2457" t="inlineStr">
        <is>
          <t>Résultat de l'indice AP de l'acteur</t>
        </is>
      </c>
      <c r="H3" s="2457" t="inlineStr">
        <is>
          <t>Intervalle du gradiant d'AP par acteur</t>
        </is>
      </c>
    </row>
    <row r="4">
      <c r="A4" t="inlineStr">
        <is>
          <t>1 à 5</t>
        </is>
      </c>
      <c r="B4">
        <f>IF(Test_Bible!B3&lt;&gt;"","O","N")</f>
        <v/>
      </c>
      <c r="C4">
        <f>BIBLE!E20</f>
        <v/>
      </c>
      <c r="D4" s="2457"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57" t="n">
        <v>1</v>
      </c>
      <c r="F6" s="1453" t="n"/>
      <c r="G6" s="1454" t="n"/>
      <c r="H6" s="1454" t="n"/>
      <c r="I6" s="1454" t="n"/>
      <c r="J6" s="1454" t="n"/>
      <c r="K6" s="1454" t="n"/>
      <c r="L6" s="1454" t="n"/>
      <c r="M6" s="1454" t="n"/>
    </row>
    <row r="7">
      <c r="A7" t="inlineStr">
        <is>
          <t>1 à 5</t>
        </is>
      </c>
      <c r="B7">
        <f>IF(Test_Bible!B21&lt;&gt;"","O","N")</f>
        <v/>
      </c>
      <c r="C7">
        <f>BIBLE!E23</f>
        <v/>
      </c>
      <c r="D7" s="2457" t="n">
        <v>1</v>
      </c>
      <c r="F7" s="1453" t="n"/>
      <c r="G7" s="1454" t="n"/>
      <c r="H7" s="1454" t="n"/>
      <c r="I7" s="1454" t="n"/>
      <c r="J7" s="1454" t="n"/>
      <c r="K7" s="1454" t="n"/>
      <c r="L7" s="1454" t="n"/>
      <c r="M7" s="1454" t="n"/>
    </row>
    <row r="8">
      <c r="A8" t="inlineStr">
        <is>
          <t>1 à 5</t>
        </is>
      </c>
      <c r="B8">
        <f>IF(Test_Bible!B27&lt;&gt;"","O","N")</f>
        <v/>
      </c>
      <c r="C8">
        <f>BIBLE!E24</f>
        <v/>
      </c>
      <c r="D8" s="2457" t="n">
        <v>2</v>
      </c>
      <c r="F8" s="1453" t="n"/>
      <c r="G8" s="1454" t="n"/>
      <c r="H8" s="1454" t="n"/>
      <c r="I8" s="1454" t="n"/>
      <c r="J8" s="1454" t="n"/>
      <c r="K8" s="1454" t="n"/>
      <c r="L8" s="1454" t="n"/>
      <c r="M8" s="1454" t="n"/>
    </row>
    <row r="9">
      <c r="A9" t="inlineStr">
        <is>
          <t>1 à 4</t>
        </is>
      </c>
      <c r="B9">
        <f>IF(Test_Bible!B34&lt;&gt;"","O","N")</f>
        <v/>
      </c>
      <c r="C9">
        <f>BIBLE!E25</f>
        <v/>
      </c>
      <c r="D9" s="2457" t="n">
        <v>2</v>
      </c>
      <c r="F9" s="1453" t="n"/>
      <c r="G9" s="1454" t="n"/>
      <c r="H9" s="1454" t="n"/>
      <c r="I9" s="1454" t="n"/>
      <c r="J9" s="1454" t="n"/>
      <c r="K9" s="1454" t="n"/>
      <c r="L9" s="1454" t="n"/>
      <c r="M9" s="1454" t="n"/>
    </row>
    <row r="10">
      <c r="A10" t="inlineStr">
        <is>
          <t>chiffre (âge)</t>
        </is>
      </c>
      <c r="B10">
        <f>IF(Test_Bible!B40&lt;&gt;"","O","N")</f>
        <v/>
      </c>
      <c r="C10">
        <f>BIBLE!E26</f>
        <v/>
      </c>
      <c r="D10" s="2457" t="n">
        <v>9</v>
      </c>
      <c r="F10" s="1453" t="n"/>
      <c r="G10" s="1454" t="n"/>
      <c r="H10" s="1454" t="n"/>
      <c r="I10" s="1454" t="n"/>
      <c r="J10" s="1454" t="n"/>
      <c r="K10" s="1454" t="n"/>
      <c r="L10" s="1454" t="n"/>
      <c r="M10" s="1454" t="n"/>
    </row>
    <row r="11">
      <c r="A11" t="inlineStr">
        <is>
          <t>1 à 3</t>
        </is>
      </c>
      <c r="B11">
        <f>IF(Test_Bible!B42&lt;&gt;"","O","N")</f>
        <v/>
      </c>
      <c r="C11">
        <f>BIBLE!E27</f>
        <v/>
      </c>
      <c r="D11" s="2457" t="n">
        <v>1</v>
      </c>
      <c r="F11" s="1453" t="n"/>
      <c r="G11" s="1454" t="n"/>
      <c r="H11" s="1454" t="n"/>
      <c r="I11" s="1454" t="n"/>
      <c r="J11" s="1454" t="n"/>
      <c r="K11" s="1454" t="n"/>
      <c r="L11" s="1454" t="n"/>
      <c r="M11" s="1454" t="n"/>
    </row>
    <row r="12">
      <c r="A12" t="inlineStr">
        <is>
          <t>1 à 3</t>
        </is>
      </c>
      <c r="B12">
        <f>IF(Test_Bible!B46&lt;&gt;"","O","N")</f>
        <v/>
      </c>
      <c r="C12">
        <f>BIBLE!E28</f>
        <v/>
      </c>
      <c r="D12" s="2457"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57">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57">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57"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57">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5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5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57" t="n">
        <v>3</v>
      </c>
    </row>
    <row r="399">
      <c r="A399" t="inlineStr">
        <is>
          <t>1 à 4</t>
        </is>
      </c>
      <c r="B399">
        <f>IF(Test_Bible!B446&lt;&gt;"","O","N")</f>
        <v/>
      </c>
      <c r="C399">
        <f>BIBLE!E241</f>
        <v/>
      </c>
      <c r="D399" s="2457" t="n">
        <v>3</v>
      </c>
    </row>
    <row r="400">
      <c r="A400" t="inlineStr">
        <is>
          <t>1 à 7</t>
        </is>
      </c>
      <c r="B400">
        <f>IF(Test_Bible!B447&lt;&gt;"","O","N")</f>
        <v/>
      </c>
      <c r="C400">
        <f>BIBLE!E242</f>
        <v/>
      </c>
      <c r="D400" s="2457" t="n">
        <v>7</v>
      </c>
    </row>
    <row r="401">
      <c r="A401" t="inlineStr">
        <is>
          <t>1 à 4</t>
        </is>
      </c>
      <c r="B401">
        <f>IF(Test_Bible!B451&lt;&gt;" ","O","N")</f>
        <v/>
      </c>
      <c r="C401">
        <f>BIBLE!E243</f>
        <v/>
      </c>
    </row>
    <row r="402">
      <c r="A402" t="inlineStr">
        <is>
          <t>0 ou 1</t>
        </is>
      </c>
      <c r="B402">
        <f>IF(Test_Bible!B458&lt;&gt;"","O","N")</f>
        <v/>
      </c>
      <c r="C402">
        <f>BIBLE!E244</f>
        <v/>
      </c>
      <c r="D402" s="2457" t="n">
        <v>0</v>
      </c>
      <c r="E402" s="2457">
        <f>Test_Bible!P457</f>
        <v/>
      </c>
    </row>
    <row r="403">
      <c r="A403" t="inlineStr">
        <is>
          <t>0 ou 1</t>
        </is>
      </c>
      <c r="B403">
        <f>IF(Test_Bible!B459&lt;&gt;"","O","N")</f>
        <v/>
      </c>
      <c r="C403">
        <f>C402</f>
        <v/>
      </c>
      <c r="D403" s="2457" t="n">
        <v>0</v>
      </c>
    </row>
    <row r="404">
      <c r="A404" t="inlineStr">
        <is>
          <t>0 ou 1</t>
        </is>
      </c>
      <c r="B404">
        <f>IF(Test_Bible!B460&lt;&gt;"","O","N")</f>
        <v/>
      </c>
      <c r="C404">
        <f>C403</f>
        <v/>
      </c>
      <c r="D404" s="2457" t="n">
        <v>0</v>
      </c>
    </row>
    <row r="405">
      <c r="A405" t="inlineStr">
        <is>
          <t>0 ou 1</t>
        </is>
      </c>
      <c r="B405">
        <f>IF(Test_Bible!B461&lt;&gt;"","O","N")</f>
        <v/>
      </c>
      <c r="C405">
        <f>C404</f>
        <v/>
      </c>
      <c r="D405" s="2457" t="n">
        <v>0</v>
      </c>
    </row>
    <row r="406">
      <c r="A406" t="inlineStr">
        <is>
          <t>0 ou 1</t>
        </is>
      </c>
      <c r="B406">
        <f>IF(Test_Bible!B462&lt;&gt;"","O","N")</f>
        <v/>
      </c>
      <c r="C406">
        <f>C405</f>
        <v/>
      </c>
      <c r="D406" s="2457" t="n">
        <v>0</v>
      </c>
    </row>
    <row r="407">
      <c r="A407" t="inlineStr">
        <is>
          <t>0 ou 1</t>
        </is>
      </c>
      <c r="B407">
        <f>IF(Test_Bible!B463&lt;&gt;"","O","N")</f>
        <v/>
      </c>
      <c r="C407">
        <f>C406</f>
        <v/>
      </c>
      <c r="D407" s="2457" t="n">
        <v>0</v>
      </c>
    </row>
    <row r="408">
      <c r="A408" t="inlineStr">
        <is>
          <t>0 ou 1</t>
        </is>
      </c>
      <c r="B408">
        <f>IF(Test_Bible!B464&lt;&gt;"","O","N")</f>
        <v/>
      </c>
      <c r="C408">
        <f>C407</f>
        <v/>
      </c>
      <c r="D408" s="2457" t="n">
        <v>0</v>
      </c>
    </row>
    <row r="409">
      <c r="A409" t="inlineStr">
        <is>
          <t>0 ou 1</t>
        </is>
      </c>
      <c r="B409">
        <f>IF(Test_Bible!B465&lt;&gt;"","O","N")</f>
        <v/>
      </c>
      <c r="C409">
        <f>C408</f>
        <v/>
      </c>
      <c r="D409" s="2457" t="n">
        <v>0</v>
      </c>
    </row>
    <row r="410">
      <c r="A410" t="inlineStr">
        <is>
          <t>0 ou 1</t>
        </is>
      </c>
      <c r="B410">
        <f>IF(Test_Bible!B466&lt;&gt;"","O","N")</f>
        <v/>
      </c>
      <c r="C410">
        <f>C409</f>
        <v/>
      </c>
      <c r="D410" s="2457" t="n">
        <v>1</v>
      </c>
    </row>
    <row r="416" ht="26" customHeight="1" s="2456">
      <c r="B416" s="731" t="inlineStr">
        <is>
          <t>Résultats des baromètres</t>
        </is>
      </c>
      <c r="C416" s="88" t="n"/>
      <c r="D416" s="2516" t="n"/>
      <c r="E416" s="2516" t="n"/>
      <c r="F416" s="88" t="n"/>
      <c r="G416" s="1670" t="inlineStr">
        <is>
          <t>Type de baromètre</t>
        </is>
      </c>
      <c r="H416" s="2516" t="n"/>
      <c r="I416" s="2516" t="n"/>
      <c r="J416" s="2516" t="n"/>
      <c r="K416" s="2516" t="n"/>
      <c r="L416" s="2516" t="n"/>
      <c r="M416" s="2516" t="n"/>
      <c r="N416" s="2516" t="n"/>
      <c r="O416" s="2536" t="inlineStr">
        <is>
          <t>Zone d'interprétation</t>
        </is>
      </c>
    </row>
    <row r="417" ht="22" customHeight="1" s="2456">
      <c r="B417" s="2531" t="inlineStr">
        <is>
          <t>Données</t>
        </is>
      </c>
      <c r="I417" s="2147" t="n"/>
      <c r="J417" s="2147" t="n"/>
      <c r="K417" s="2512" t="inlineStr">
        <is>
          <t>Représentation graphique</t>
        </is>
      </c>
      <c r="R417" s="2457" t="n"/>
      <c r="S417" s="2457" t="n"/>
      <c r="T417" s="2457" t="n"/>
      <c r="U417" s="2457" t="n"/>
      <c r="V417" s="2457" t="n"/>
      <c r="W417" s="2457" t="n"/>
      <c r="X417" s="2457" t="n"/>
      <c r="Y417" s="2457" t="n"/>
      <c r="Z417" s="2457" t="n"/>
      <c r="AA417" s="2457" t="n"/>
    </row>
    <row r="418" ht="44" customHeight="1" s="2456">
      <c r="B418" s="1748" t="inlineStr">
        <is>
          <t>La dynamique de coparentalité</t>
        </is>
      </c>
      <c r="G418" s="1721" t="n"/>
      <c r="O418" s="2457" t="n"/>
      <c r="P418" s="2457" t="n"/>
      <c r="Q418" s="2457" t="n"/>
      <c r="R418" s="2457" t="n"/>
      <c r="S418" s="2457" t="n"/>
      <c r="T418" s="2457" t="n"/>
      <c r="U418" s="2457" t="n"/>
      <c r="V418" s="2457" t="n"/>
      <c r="W418" s="2457" t="n"/>
      <c r="X418" s="2457" t="n"/>
      <c r="Y418" s="2457" t="n"/>
      <c r="Z418" s="2457" t="n"/>
      <c r="AA418" s="2457" t="n"/>
    </row>
    <row r="419" ht="22" customHeight="1" s="2456">
      <c r="B419" s="407" t="inlineStr">
        <is>
          <t xml:space="preserve">Quelle est la dynamique de coparentalité ? </t>
        </is>
      </c>
      <c r="F419" s="1680" t="inlineStr">
        <is>
          <t>3 x gradients-accélérateur pour chacun des concepts</t>
        </is>
      </c>
      <c r="O419" s="2457" t="n"/>
      <c r="P419" s="2457" t="n"/>
      <c r="Q419" s="2457" t="n"/>
      <c r="R419" s="2457" t="n"/>
      <c r="S419" s="2457" t="n"/>
      <c r="T419" s="2457" t="n"/>
      <c r="U419" s="2457" t="n"/>
      <c r="V419" s="2457" t="n"/>
      <c r="W419" s="2457" t="n"/>
      <c r="X419" s="2457" t="n"/>
      <c r="Y419" s="2457" t="n"/>
      <c r="Z419" s="2457" t="n"/>
      <c r="AA419" s="2457" t="n"/>
    </row>
    <row r="420" ht="22" customHeight="1" s="2456">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57" t="n"/>
      <c r="P420" s="2457" t="n"/>
      <c r="Q420" s="2457" t="n"/>
      <c r="R420" s="2457" t="n"/>
      <c r="S420" s="2457" t="n"/>
      <c r="T420" s="2457" t="n"/>
      <c r="U420" s="2457" t="n"/>
      <c r="V420" s="2457" t="n"/>
      <c r="W420" s="2457" t="n"/>
      <c r="X420" s="2457" t="n"/>
      <c r="Y420" s="2457" t="n"/>
      <c r="Z420" s="2457" t="n"/>
      <c r="AA420" s="2457" t="n"/>
    </row>
    <row r="421" ht="22" customHeight="1" s="2456">
      <c r="G421" s="1680" t="n"/>
      <c r="O421" s="2457" t="n"/>
      <c r="P421" s="2457" t="n"/>
      <c r="Q421" s="2457" t="n"/>
      <c r="R421" s="1799" t="inlineStr">
        <is>
          <t>À réévaluer, il se peut que ce type d'interprétation ne soit pas utile</t>
        </is>
      </c>
      <c r="S421" s="2457" t="n"/>
      <c r="T421" s="2457" t="n"/>
      <c r="U421" s="2457" t="n"/>
      <c r="V421" s="2457" t="n"/>
      <c r="W421" s="2457" t="n"/>
      <c r="X421" s="2457" t="n"/>
      <c r="Y421" s="2457" t="n"/>
      <c r="Z421" s="2457" t="n"/>
      <c r="AA421" s="2457" t="n"/>
    </row>
    <row r="423" ht="29" customHeight="1" s="2456">
      <c r="B423" s="2457" t="n"/>
      <c r="C423" s="2457" t="n"/>
      <c r="E423" s="2516" t="inlineStr">
        <is>
          <t>Échelle</t>
        </is>
      </c>
      <c r="O423" s="2457" t="n"/>
      <c r="P423" s="2457" t="n"/>
      <c r="Q423" s="2457" t="n"/>
      <c r="R423" s="2457" t="n"/>
      <c r="S423" s="2457" t="n"/>
      <c r="T423" s="2532" t="inlineStr">
        <is>
          <t>Interprétation</t>
        </is>
      </c>
      <c r="Y423" s="2532" t="n"/>
      <c r="Z423" s="2533" t="inlineStr">
        <is>
          <t>Seuil | Intervalle de la condition (stade avant&lt;= résultat&lt;=stade)</t>
        </is>
      </c>
    </row>
    <row r="424" ht="14" customHeight="1" s="2456">
      <c r="B424" s="2457" t="n"/>
      <c r="C424" s="2457" t="n"/>
      <c r="E424" s="2516" t="n"/>
      <c r="F424" s="2516" t="n"/>
      <c r="G424" s="2516" t="n"/>
      <c r="O424" s="2457" t="n"/>
      <c r="P424" s="2457" t="n"/>
      <c r="Q424" s="2457" t="n"/>
      <c r="R424" s="2457" t="n"/>
      <c r="S424" s="2457" t="n"/>
      <c r="T424" s="2532" t="n"/>
      <c r="U424" s="2532" t="n"/>
      <c r="V424" s="2532" t="n"/>
      <c r="W424" s="2532" t="n"/>
      <c r="X424" s="2532" t="n"/>
      <c r="Y424" s="2532" t="n"/>
      <c r="Z424" s="2533" t="n"/>
      <c r="AA424" s="1798" t="n">
        <v>0.25</v>
      </c>
      <c r="AB424" s="1798" t="n">
        <v>0.38</v>
      </c>
      <c r="AC424" s="1798">
        <f>1-AA424-AB424</f>
        <v/>
      </c>
      <c r="AD424" s="2533" t="n"/>
    </row>
    <row r="425" ht="31" customHeight="1" s="2456">
      <c r="C425" s="2457" t="n"/>
      <c r="D425" s="2588" t="inlineStr">
        <is>
          <t>Résultat</t>
        </is>
      </c>
      <c r="E425" s="2517" t="inlineStr">
        <is>
          <t>Début gradient</t>
        </is>
      </c>
      <c r="F425" s="2517" t="inlineStr">
        <is>
          <t>Min où débute un signe</t>
        </is>
      </c>
      <c r="I425" s="2517" t="inlineStr">
        <is>
          <t>Max gradient</t>
        </is>
      </c>
      <c r="N425" s="2457" t="n"/>
      <c r="O425" s="2457" t="n"/>
      <c r="P425" s="2457" t="n"/>
      <c r="Q425" s="2457" t="n"/>
      <c r="R425" s="2457" t="n"/>
      <c r="S425" s="2457" t="n"/>
      <c r="T425" s="2514" t="inlineStr">
        <is>
          <t>Sous le minimum</t>
        </is>
      </c>
      <c r="U425" s="2514" t="inlineStr">
        <is>
          <t>Léger</t>
        </is>
      </c>
      <c r="V425" s="2514" t="inlineStr">
        <is>
          <t>Modéré</t>
        </is>
      </c>
      <c r="W425" s="2514" t="inlineStr">
        <is>
          <t>Sévère</t>
        </is>
      </c>
      <c r="X425" s="2514" t="inlineStr">
        <is>
          <t>En rupture de lien</t>
        </is>
      </c>
      <c r="Y425" s="2514" t="n"/>
      <c r="Z425" s="2514" t="inlineStr">
        <is>
          <t>Minimum</t>
        </is>
      </c>
      <c r="AA425" s="2514" t="inlineStr">
        <is>
          <t>Léger</t>
        </is>
      </c>
      <c r="AB425" s="2514" t="inlineStr">
        <is>
          <t>Modéré</t>
        </is>
      </c>
      <c r="AC425" s="2514" t="inlineStr">
        <is>
          <t>Sévère</t>
        </is>
      </c>
      <c r="AD425" s="2514" t="inlineStr">
        <is>
          <t>En rupture de lien</t>
        </is>
      </c>
    </row>
    <row r="426" ht="20" customHeight="1" s="2456">
      <c r="C426" s="2457" t="n"/>
      <c r="D426" s="2588" t="n"/>
      <c r="E426" s="2517" t="inlineStr">
        <is>
          <t>Vert=&gt;</t>
        </is>
      </c>
      <c r="F426" s="2517" t="inlineStr">
        <is>
          <t>jaune=&gt;</t>
        </is>
      </c>
      <c r="G426" s="2457" t="inlineStr">
        <is>
          <t>orange=&gt;</t>
        </is>
      </c>
      <c r="H426" s="2457" t="inlineStr">
        <is>
          <t>rouge=&gt;</t>
        </is>
      </c>
      <c r="I426" s="2517" t="n"/>
      <c r="N426" s="2457" t="n"/>
      <c r="O426" s="2457" t="n"/>
      <c r="P426" s="2457" t="n"/>
      <c r="Q426" s="2457" t="n"/>
      <c r="R426" s="2457" t="n"/>
      <c r="S426" s="2457" t="n"/>
      <c r="T426" s="2514" t="n"/>
      <c r="U426" s="2514" t="n"/>
      <c r="V426" s="2514" t="n"/>
      <c r="W426" s="2514" t="n"/>
      <c r="X426" s="2514" t="n"/>
      <c r="Y426" s="2514" t="n"/>
      <c r="Z426" s="2514" t="n"/>
      <c r="AA426" s="2514" t="n"/>
      <c r="AB426" s="2514" t="n"/>
      <c r="AC426" s="2514" t="n"/>
      <c r="AD426" s="2514" t="n"/>
    </row>
    <row r="427" ht="73" customHeight="1" s="2456">
      <c r="C427" s="2" t="inlineStr">
        <is>
          <t>Conflit de loyauté</t>
        </is>
      </c>
      <c r="D427" s="1124">
        <f>'Modèle Calcul A-R + Sommaire'!AH20</f>
        <v/>
      </c>
      <c r="E427" s="2457" t="n">
        <v>0</v>
      </c>
      <c r="F427" s="90">
        <f>'Modèle Calcul A-R + Sommaire'!AL20</f>
        <v/>
      </c>
      <c r="G427" s="90">
        <f>AB427</f>
        <v/>
      </c>
      <c r="H427" s="90">
        <f>AC427</f>
        <v/>
      </c>
      <c r="I427" s="90">
        <f>'Modèle Calcul A-R + Sommaire'!AM20</f>
        <v/>
      </c>
      <c r="N427" s="2457" t="n"/>
      <c r="O427" s="2457" t="n"/>
      <c r="P427" s="2457" t="n"/>
      <c r="Q427" s="2457" t="n"/>
      <c r="R427" s="2457" t="n"/>
      <c r="S427" s="2" t="inlineStr">
        <is>
          <t>Conflit de loyauté</t>
        </is>
      </c>
      <c r="T427" s="2517" t="inlineStr">
        <is>
          <t xml:space="preserve">Il semble que la situation va bien. </t>
        </is>
      </c>
      <c r="U427" s="2517" t="inlineStr">
        <is>
          <t>Surveillance sur certains cpts : voir autre baromètre, penser à refaire l'exercie ultérieurement</t>
        </is>
      </c>
      <c r="V427" s="2517" t="n"/>
      <c r="W427" s="2517" t="n"/>
      <c r="X427" s="2517" t="n"/>
      <c r="Y427" s="2457"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56">
      <c r="C428" s="2" t="inlineStr">
        <is>
          <t>Conflit sévère de séparation</t>
        </is>
      </c>
      <c r="D428" s="1124">
        <f>'Modèle Calcul A-R + Sommaire'!AI20</f>
        <v/>
      </c>
      <c r="E428" s="2457" t="n">
        <v>0</v>
      </c>
      <c r="F428" s="90">
        <f>'Modèle Calcul A-R + Sommaire'!AN20</f>
        <v/>
      </c>
      <c r="G428" s="90">
        <f>AB428</f>
        <v/>
      </c>
      <c r="H428" s="90">
        <f>AC428</f>
        <v/>
      </c>
      <c r="I428" s="90">
        <f>'Modèle Calcul A-R + Sommaire'!AO20</f>
        <v/>
      </c>
      <c r="N428" s="2457" t="n"/>
      <c r="O428" s="2457" t="n"/>
      <c r="P428" s="2457" t="n"/>
      <c r="Q428" s="2457" t="n"/>
      <c r="R428" s="2457" t="n"/>
      <c r="S428" s="2" t="inlineStr">
        <is>
          <t>Conflit sévère de séparation</t>
        </is>
      </c>
      <c r="T428" s="2517" t="n"/>
      <c r="U428" s="2517" t="n"/>
      <c r="V428" s="2517" t="n"/>
      <c r="W428" s="2517" t="n"/>
      <c r="X428" s="2517" t="n"/>
      <c r="Y428" s="2457"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56">
      <c r="C429" s="2" t="inlineStr">
        <is>
          <t>Aliénation parentale</t>
        </is>
      </c>
      <c r="D429" s="1124">
        <f>'Modèle Calcul A-R + Sommaire'!AG20</f>
        <v/>
      </c>
      <c r="E429" s="2457" t="n">
        <v>0</v>
      </c>
      <c r="F429" s="90">
        <f>'Modèle Calcul A-R + Sommaire'!AJ20</f>
        <v/>
      </c>
      <c r="G429" s="90">
        <f>AB429</f>
        <v/>
      </c>
      <c r="H429" s="90">
        <f>AC429</f>
        <v/>
      </c>
      <c r="I429" s="90">
        <f>'Modèle Calcul A-R + Sommaire'!AK20</f>
        <v/>
      </c>
      <c r="N429" s="2457" t="n"/>
      <c r="O429" s="2457" t="n"/>
      <c r="P429" s="2457" t="n"/>
      <c r="Q429" s="2457" t="n"/>
      <c r="R429" s="2457" t="n"/>
      <c r="S429" s="2" t="inlineStr">
        <is>
          <t>Aliénation parentale</t>
        </is>
      </c>
      <c r="T429" s="2517" t="n"/>
      <c r="U429" s="2517" t="n"/>
      <c r="V429" s="2457" t="n"/>
      <c r="W429" s="2457" t="n"/>
      <c r="X429" s="2457" t="n"/>
      <c r="Y429" s="2457"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56">
      <c r="C430" s="2" t="n"/>
      <c r="D430" s="90" t="n"/>
      <c r="F430" s="2457" t="n"/>
      <c r="G430" s="90" t="n"/>
      <c r="H430" s="90" t="n"/>
      <c r="N430" s="2457" t="n"/>
      <c r="O430" s="2457" t="n"/>
      <c r="P430" s="2457" t="n"/>
      <c r="Q430" s="2457" t="n"/>
      <c r="R430" s="2457" t="n"/>
      <c r="S430" s="2135">
        <f>'Indice VC'!I30</f>
        <v/>
      </c>
      <c r="T430" s="291">
        <f>'Indice VC'!J30</f>
        <v/>
      </c>
      <c r="U430" s="2457" t="n"/>
      <c r="V430" s="2457" t="n"/>
      <c r="W430" s="2457" t="n"/>
      <c r="X430" s="2457" t="n"/>
      <c r="Y430" s="2457" t="n"/>
      <c r="Z430" s="90" t="n"/>
      <c r="AA430" s="90" t="n"/>
      <c r="AB430" s="90" t="n"/>
      <c r="AC430" s="90" t="n"/>
    </row>
    <row r="431" ht="22" customHeight="1" s="2456">
      <c r="B431" s="600" t="n"/>
      <c r="D431" s="2514" t="inlineStr">
        <is>
          <t>En rupture de lien</t>
        </is>
      </c>
      <c r="G431" s="1723" t="n"/>
      <c r="N431" s="2457" t="n"/>
      <c r="O431" s="2457" t="n"/>
      <c r="P431" s="2457" t="n"/>
      <c r="Q431" s="2457" t="n"/>
      <c r="R431" s="2457" t="n"/>
      <c r="S431" s="2135">
        <f>'Indice VC'!I31</f>
        <v/>
      </c>
      <c r="T431" s="291">
        <f>'Indice VC'!J31</f>
        <v/>
      </c>
      <c r="U431" s="2457" t="n"/>
      <c r="V431" s="2457" t="n"/>
      <c r="W431" s="2457" t="n"/>
      <c r="X431" s="2457" t="n"/>
      <c r="Y431" s="2457" t="n"/>
      <c r="Z431" s="2457" t="n"/>
      <c r="AA431" s="90" t="n"/>
      <c r="AO431" s="3" t="n"/>
      <c r="AP431" s="3" t="n"/>
      <c r="AQ431" s="3" t="n"/>
      <c r="AR431" s="3" t="n"/>
      <c r="AS431" s="3" t="n"/>
      <c r="AT431" s="3" t="n"/>
    </row>
    <row r="432" ht="22" customHeight="1" s="2456">
      <c r="B432" s="600" t="n"/>
      <c r="D432" s="1757" t="inlineStr">
        <is>
          <t>A réflechir : Quelque soit le résulats, Si Q-B12 en rupture de lien, notion de "rejet actif, rejet passif, explicable, etc)</t>
        </is>
      </c>
      <c r="G432" s="1723" t="n"/>
      <c r="N432" s="2457" t="n"/>
      <c r="O432" s="2457" t="n"/>
      <c r="P432" s="2457" t="n"/>
      <c r="Q432" s="2457" t="n"/>
      <c r="R432" s="2457" t="n"/>
      <c r="S432" s="2135" t="n"/>
      <c r="T432" s="291" t="n"/>
      <c r="U432" s="2457" t="n"/>
      <c r="V432" s="2457" t="n"/>
      <c r="W432" s="2457" t="n"/>
      <c r="X432" s="2457" t="n"/>
      <c r="Y432" s="2457" t="n"/>
      <c r="Z432" s="2457" t="n"/>
      <c r="AA432" s="90" t="n"/>
      <c r="AO432" s="3" t="n"/>
      <c r="AP432" s="3" t="n"/>
      <c r="AQ432" s="3" t="n"/>
      <c r="AR432" s="3" t="n"/>
      <c r="AS432" s="3" t="n"/>
      <c r="AT432" s="3" t="n"/>
    </row>
    <row r="433" ht="23" customHeight="1" s="2456">
      <c r="G433" s="1680" t="n"/>
      <c r="J433" s="2580" t="n"/>
      <c r="K433" s="2580" t="n"/>
      <c r="M433" s="291" t="n"/>
    </row>
    <row r="434" ht="53" customHeight="1" s="2456">
      <c r="A434" s="2470" t="n"/>
      <c r="B434" s="34">
        <f>'Contexte | CSS'!D1</f>
        <v/>
      </c>
      <c r="I434" s="1680" t="inlineStr">
        <is>
          <t>Gradient linéaire horizontal</t>
        </is>
      </c>
      <c r="M434" s="3" t="n"/>
      <c r="O434" s="2457" t="n"/>
      <c r="P434" s="2457" t="n"/>
      <c r="Q434" s="2457" t="n"/>
      <c r="R434" s="2457" t="n"/>
      <c r="S434" s="2457" t="n"/>
      <c r="T434" s="2457" t="n"/>
      <c r="U434" s="2457" t="n"/>
      <c r="V434" s="2457" t="n"/>
      <c r="W434" s="2457" t="n"/>
      <c r="X434" s="2457" t="n"/>
      <c r="Y434" s="2457" t="n"/>
      <c r="Z434" s="2457" t="n"/>
      <c r="AA434" s="2457" t="n"/>
    </row>
    <row r="435" ht="21" customHeight="1" s="2456">
      <c r="B435" s="1745" t="n"/>
      <c r="E435" s="1758" t="n"/>
      <c r="O435" s="2457" t="n"/>
      <c r="P435" s="2457" t="n"/>
      <c r="Q435" s="2457" t="n"/>
      <c r="R435" s="2457" t="n"/>
      <c r="S435" s="2457" t="n"/>
      <c r="T435" s="2457" t="n"/>
      <c r="U435" s="2515" t="n"/>
      <c r="Z435" s="2515" t="n"/>
      <c r="AA435" s="2457" t="n"/>
    </row>
    <row r="436" ht="17" customHeight="1" s="2456">
      <c r="B436" s="2524" t="n"/>
      <c r="D436" s="3" t="n"/>
      <c r="E436" s="3" t="n"/>
      <c r="F436" s="3" t="n"/>
      <c r="G436" s="3" t="n"/>
      <c r="J436" s="1759" t="inlineStr">
        <is>
          <t>https://plotly.com/python/v3/linear-gauge-chart/</t>
        </is>
      </c>
      <c r="O436" s="2457" t="n"/>
      <c r="P436" s="2457" t="n"/>
      <c r="Q436" s="2457" t="n"/>
      <c r="R436" s="2457" t="n"/>
      <c r="S436" s="2457" t="n"/>
      <c r="T436" s="2457" t="n"/>
      <c r="U436" s="2515" t="n"/>
      <c r="V436" s="2515" t="n"/>
      <c r="W436" s="2515" t="n"/>
      <c r="X436" s="2515" t="n"/>
      <c r="Y436" s="2515" t="n"/>
      <c r="Z436" s="2515" t="n"/>
      <c r="AA436" s="2457" t="n"/>
      <c r="AB436" s="66" t="n"/>
      <c r="AC436" s="66" t="n"/>
      <c r="AD436" s="66" t="n"/>
      <c r="AE436" s="2457" t="n"/>
      <c r="AF436" s="2457" t="n"/>
    </row>
    <row r="437">
      <c r="B437" s="2457" t="n"/>
      <c r="C437" s="2588" t="inlineStr">
        <is>
          <t>Résultat</t>
        </is>
      </c>
      <c r="D437" s="1757" t="inlineStr">
        <is>
          <t>Drapeau rouge possible,</t>
        </is>
      </c>
      <c r="N437" s="2457" t="n"/>
      <c r="O437" s="2457" t="n"/>
      <c r="P437" s="2457" t="n"/>
      <c r="Q437" s="2457" t="n"/>
      <c r="U437" s="2514" t="n"/>
      <c r="V437" s="2514" t="n"/>
      <c r="W437" s="2514" t="n"/>
      <c r="X437" s="2514" t="n"/>
      <c r="Y437" s="2514" t="n"/>
      <c r="Z437" s="2514" t="n"/>
      <c r="AA437" s="2514" t="n"/>
      <c r="AB437" s="2514" t="n"/>
      <c r="AC437" s="2514" t="n"/>
      <c r="AD437" s="2514" t="n"/>
      <c r="AE437" s="2514" t="n"/>
      <c r="AF437" s="2514" t="n"/>
    </row>
    <row r="438">
      <c r="B438" s="2" t="inlineStr">
        <is>
          <t>Risque de conflit du contexte de coparentalité</t>
        </is>
      </c>
      <c r="C438" s="1747">
        <f>'Contexte | CSS'!H37</f>
        <v/>
      </c>
      <c r="D438" s="1359" t="n"/>
      <c r="H438" s="2457" t="inlineStr">
        <is>
          <t>Absent</t>
        </is>
      </c>
      <c r="I438" s="2457" t="inlineStr">
        <is>
          <t>Faible</t>
        </is>
      </c>
      <c r="J438" s="2457" t="inlineStr">
        <is>
          <t>Modéré</t>
        </is>
      </c>
      <c r="K438" s="2457" t="inlineStr">
        <is>
          <t>Élevé</t>
        </is>
      </c>
      <c r="N438" s="2457" t="n"/>
      <c r="O438" s="2457" t="n"/>
      <c r="P438" s="2457" t="n"/>
      <c r="Q438" s="2457" t="n"/>
      <c r="R438" s="2060" t="n"/>
      <c r="S438" s="2060" t="n"/>
      <c r="T438" s="2060" t="n"/>
      <c r="U438" s="2060" t="n"/>
      <c r="V438" s="2060" t="n"/>
      <c r="W438" s="2529" t="n"/>
      <c r="X438" s="2060" t="n"/>
      <c r="Y438" s="2529" t="n"/>
      <c r="Z438" s="2060" t="n"/>
      <c r="AA438" s="2060" t="n"/>
      <c r="AB438" s="2060" t="n"/>
      <c r="AC438" s="2529" t="n"/>
      <c r="AD438" s="2529" t="n"/>
      <c r="AE438" s="2529" t="n"/>
      <c r="AF438" s="2529" t="n"/>
    </row>
    <row r="439">
      <c r="C439" s="2524">
        <f>'Contexte | CSS'!H38</f>
        <v/>
      </c>
      <c r="F439" s="2457" t="n"/>
      <c r="N439" s="2457" t="n"/>
      <c r="O439" s="2457" t="n"/>
      <c r="P439" s="2457" t="n"/>
      <c r="Q439" s="2457" t="n"/>
      <c r="R439" s="2060" t="n"/>
      <c r="S439" s="2529" t="n"/>
      <c r="T439" s="2529" t="n"/>
      <c r="U439" s="2060" t="n"/>
      <c r="V439" s="2060" t="n"/>
      <c r="W439" s="2060" t="n"/>
      <c r="X439" s="2060" t="n"/>
      <c r="Y439" s="2365" t="n"/>
      <c r="Z439" s="2365" t="n"/>
      <c r="AA439" s="2365" t="n"/>
      <c r="AB439" s="2365" t="n"/>
      <c r="AC439" s="2365" t="n"/>
      <c r="AD439" s="2365" t="n"/>
      <c r="AE439" s="2365" t="n"/>
      <c r="AF439" s="2060" t="n"/>
    </row>
    <row r="440">
      <c r="D440" s="2514" t="inlineStr">
        <is>
          <t>Risque de  conflit du contexte de coparentalité</t>
        </is>
      </c>
      <c r="G440" s="291" t="n"/>
      <c r="S440" s="2457" t="n"/>
      <c r="T440" s="2" t="n"/>
      <c r="U440" s="2517" t="n"/>
      <c r="V440" s="2517" t="n"/>
      <c r="W440" s="2517" t="n"/>
      <c r="X440" s="2517" t="n"/>
      <c r="Y440" s="2517" t="n"/>
      <c r="Z440" s="2517" t="n"/>
      <c r="AA440" s="90" t="n"/>
      <c r="AB440" s="90" t="n"/>
      <c r="AC440" s="90" t="n"/>
      <c r="AD440" s="90" t="n"/>
      <c r="AE440" s="90" t="n"/>
      <c r="AF440" s="90" t="n"/>
    </row>
    <row r="441" ht="19" customHeight="1" s="2456">
      <c r="C441" s="2457">
        <f>'Contexte | CSS'!I8</f>
        <v/>
      </c>
      <c r="D441" s="2457">
        <f>'Contexte | CSS'!$AK$11&amp;" à "&amp;'Contexte | CSS'!$AL$11</f>
        <v/>
      </c>
      <c r="G441" s="291" t="n"/>
      <c r="AA441" s="2457" t="n"/>
      <c r="AB441" s="2457" t="n"/>
      <c r="AC441" s="2457" t="n"/>
      <c r="AD441" s="2457" t="n"/>
      <c r="AE441" s="2457" t="n"/>
      <c r="AF441" s="2457" t="n"/>
    </row>
    <row r="442">
      <c r="C442" s="2457">
        <f>'Contexte | CSS'!J8</f>
        <v/>
      </c>
      <c r="D442" s="2457">
        <f>'Contexte | CSS'!AK12&amp;" à "&amp;'Contexte | CSS'!AL12</f>
        <v/>
      </c>
      <c r="G442" s="291" t="n"/>
      <c r="W442" s="2517" t="n"/>
      <c r="AA442" s="2457" t="n"/>
      <c r="AB442" s="2457" t="n"/>
      <c r="AC442" s="2457" t="n"/>
      <c r="AD442" s="2457" t="n"/>
      <c r="AE442" s="2457" t="n"/>
      <c r="AF442" s="2457" t="n"/>
    </row>
    <row r="443">
      <c r="C443" s="2457">
        <f>'Contexte | CSS'!K8</f>
        <v/>
      </c>
      <c r="D443" s="2457">
        <f>'Contexte | CSS'!AK13&amp;" à "&amp;'Contexte | CSS'!AL13</f>
        <v/>
      </c>
      <c r="G443" s="291" t="n"/>
      <c r="W443" s="2517" t="n"/>
      <c r="AA443" s="2457" t="n"/>
      <c r="AB443" s="2457" t="n"/>
      <c r="AC443" s="2457" t="n"/>
      <c r="AD443" s="2457" t="n"/>
      <c r="AE443" s="2457" t="n"/>
      <c r="AF443" s="2457" t="n"/>
    </row>
    <row r="444">
      <c r="C444" s="2457">
        <f>'Contexte | CSS'!L8</f>
        <v/>
      </c>
      <c r="D444" s="2457">
        <f>'Contexte | CSS'!AK14&amp;" à "&amp;'Contexte | CSS'!AL14</f>
        <v/>
      </c>
      <c r="G444" s="291" t="n"/>
      <c r="W444" s="2517" t="n"/>
      <c r="AA444" s="2457" t="n"/>
      <c r="AB444" s="2457" t="n"/>
      <c r="AC444" s="2457" t="n"/>
      <c r="AD444" s="2457" t="n"/>
      <c r="AE444" s="2457" t="n"/>
      <c r="AF444" s="2457" t="n"/>
    </row>
    <row r="445">
      <c r="C445" s="2457" t="n"/>
      <c r="G445" s="291" t="n"/>
      <c r="W445" s="2517" t="n"/>
      <c r="AA445" s="2457" t="n"/>
      <c r="AB445" s="2457" t="n"/>
      <c r="AC445" s="2457" t="n"/>
      <c r="AD445" s="2457" t="n"/>
      <c r="AE445" s="2457" t="n"/>
      <c r="AF445" s="2457" t="n"/>
    </row>
    <row r="446">
      <c r="G446" s="291" t="n"/>
      <c r="AA446" s="2457" t="n"/>
      <c r="AB446" s="2457" t="n"/>
      <c r="AC446" s="2457" t="n"/>
      <c r="AD446" s="2457" t="n"/>
      <c r="AE446" s="2457" t="n"/>
      <c r="AF446" s="2457" t="n"/>
    </row>
    <row r="447">
      <c r="G447" s="291" t="n"/>
      <c r="AA447" s="2457" t="n"/>
      <c r="AB447" s="2457" t="n"/>
      <c r="AC447" s="2457" t="n"/>
      <c r="AD447" s="2457" t="n"/>
      <c r="AE447" s="2457" t="n"/>
      <c r="AF447" s="2457" t="n"/>
    </row>
    <row r="448" ht="57" customHeight="1" s="2456">
      <c r="G448" s="2271" t="inlineStr">
        <is>
          <t xml:space="preserve">À propos : </t>
        </is>
      </c>
      <c r="H448" s="2521">
        <f>'Contexte | CSS'!D4</f>
        <v/>
      </c>
      <c r="AA448" s="2457" t="n"/>
      <c r="AB448" s="2457" t="n"/>
      <c r="AC448" s="2457" t="n"/>
      <c r="AD448" s="2457" t="n"/>
      <c r="AE448" s="2457" t="n"/>
      <c r="AF448" s="2457" t="n"/>
    </row>
    <row r="449" ht="22" customHeight="1" s="2456">
      <c r="B449" s="600" t="n"/>
      <c r="G449" s="1723" t="n"/>
      <c r="N449" s="2457" t="n"/>
      <c r="O449" s="2457" t="n"/>
      <c r="P449" s="2457" t="n"/>
      <c r="Q449" s="2457" t="n"/>
      <c r="R449" s="2457" t="n"/>
      <c r="S449" s="2135" t="n"/>
      <c r="T449" s="291" t="n"/>
      <c r="U449" s="2457" t="n"/>
      <c r="V449" s="2457" t="n"/>
      <c r="W449" s="2457" t="n"/>
      <c r="X449" s="2457" t="n"/>
      <c r="Y449" s="2457" t="n"/>
      <c r="Z449" s="2457" t="n"/>
      <c r="AA449" s="90" t="n"/>
      <c r="AO449" s="3" t="n"/>
      <c r="AP449" s="3" t="n"/>
      <c r="AQ449" s="3" t="n"/>
      <c r="AR449" s="3" t="n"/>
      <c r="AS449" s="3" t="n"/>
      <c r="AT449" s="3" t="n"/>
    </row>
    <row r="450" ht="52" customHeight="1" s="2456">
      <c r="A450" s="2511" t="n"/>
      <c r="B450" s="2272">
        <f>'Cpts miroirs des parents'!D5</f>
        <v/>
      </c>
      <c r="C450" s="2457" t="n"/>
      <c r="G450" s="1680" t="inlineStr">
        <is>
          <t>Tableaux comparatifs entre le parent répondant et le coparent</t>
        </is>
      </c>
      <c r="L450" s="1742" t="n"/>
      <c r="M450" s="291" t="n"/>
      <c r="Q450" s="2457" t="n"/>
      <c r="R450" s="2457" t="n"/>
      <c r="T450" s="2457" t="n"/>
      <c r="U450" s="2457" t="n"/>
      <c r="V450" s="2457" t="n"/>
      <c r="W450" s="2457" t="n"/>
      <c r="X450" s="2457" t="n"/>
      <c r="Y450" s="2457" t="n"/>
      <c r="Z450" s="2457" t="n"/>
      <c r="AA450" s="2457" t="n"/>
      <c r="AO450" s="2148" t="n"/>
      <c r="AP450" s="2148" t="n"/>
      <c r="AQ450" s="2148" t="n"/>
      <c r="AR450" s="2148" t="n"/>
      <c r="AS450" s="2148" t="n"/>
      <c r="AT450" s="2148" t="n"/>
    </row>
    <row r="451" ht="21" customHeight="1" s="2456">
      <c r="C451" s="2457" t="n"/>
      <c r="F451" s="1680" t="n"/>
      <c r="H451" s="1769" t="inlineStr">
        <is>
          <t>https://www.highcharts.com/demo/bar-negative-stack</t>
        </is>
      </c>
      <c r="L451" s="291" t="n"/>
      <c r="Q451" s="2457" t="n"/>
      <c r="S451" s="2457" t="n"/>
      <c r="T451" s="49" t="n"/>
      <c r="U451" s="49" t="n"/>
      <c r="V451" s="49" t="n"/>
      <c r="W451" s="49" t="n"/>
      <c r="X451" s="49" t="n"/>
      <c r="Y451" s="49" t="n"/>
      <c r="Z451" s="2457" t="n"/>
      <c r="AO451" s="2148" t="n"/>
      <c r="AP451" s="2148" t="n"/>
      <c r="AQ451" s="2148" t="n"/>
      <c r="AR451" s="2148" t="n"/>
      <c r="AS451" s="2148" t="n"/>
      <c r="AT451" s="2148" t="n"/>
    </row>
    <row r="452" ht="21" customHeight="1" s="2456">
      <c r="C452" s="2457" t="n"/>
      <c r="F452" s="1359" t="n"/>
      <c r="P452" s="2517" t="n"/>
      <c r="S452" s="2559" t="n"/>
      <c r="T452" s="3" t="n"/>
      <c r="U452" s="2514" t="n"/>
      <c r="X452" s="3" t="n"/>
      <c r="Y452" s="3" t="n"/>
      <c r="Z452" s="2514" t="n"/>
      <c r="AB452" s="2514" t="n"/>
      <c r="AD452" s="2514" t="n"/>
      <c r="AJ452" s="291" t="inlineStr">
        <is>
          <t>Exemple d'infographie pour bloc conseils _ À évaluer</t>
        </is>
      </c>
    </row>
    <row r="453" ht="17" customHeight="1" s="2456">
      <c r="C453" s="2516" t="n"/>
      <c r="D453" s="1253" t="inlineStr">
        <is>
          <t>Coparent</t>
        </is>
      </c>
      <c r="E453" s="1682" t="inlineStr">
        <is>
          <t>Parent répondant</t>
        </is>
      </c>
      <c r="F453" s="2457" t="n"/>
      <c r="H453" s="1771" t="n"/>
      <c r="I453" s="1770" t="n"/>
      <c r="S453" s="2517" t="n"/>
      <c r="T453" s="2525" t="n"/>
      <c r="U453" s="2525" t="n"/>
      <c r="V453" s="2525" t="n"/>
      <c r="X453" s="2148" t="n"/>
      <c r="Y453" s="2148" t="n"/>
      <c r="Z453" s="2457" t="n"/>
      <c r="AA453" s="2457" t="n"/>
      <c r="AB453" s="2457" t="n"/>
      <c r="AC453" s="2366" t="n"/>
      <c r="AD453" s="2457" t="n"/>
      <c r="AE453" s="2366" t="n"/>
    </row>
    <row r="454" ht="17" customHeight="1" s="2456">
      <c r="A454" s="2301" t="n"/>
      <c r="C454" s="2516" t="n"/>
      <c r="D454" s="1253" t="n"/>
      <c r="E454" s="1682" t="n"/>
      <c r="F454" s="2457" t="n"/>
      <c r="H454" s="1771" t="n"/>
      <c r="I454" s="1770" t="n"/>
      <c r="Q454" s="2457" t="n"/>
      <c r="R454" s="2149" t="n"/>
      <c r="S454" s="2559" t="n"/>
      <c r="T454" s="2517" t="n"/>
      <c r="X454" s="2148" t="n"/>
      <c r="Y454" s="2148" t="n"/>
      <c r="Z454" s="2457" t="n"/>
      <c r="AA454" s="2457" t="n"/>
      <c r="AB454" s="2457" t="n"/>
      <c r="AC454" s="2366" t="n"/>
      <c r="AD454" s="2457" t="n"/>
      <c r="AE454" s="2366" t="n"/>
    </row>
    <row r="455" ht="27" customHeight="1" s="2456">
      <c r="A455" s="2520">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57" t="n"/>
      <c r="R455" s="2" t="n"/>
      <c r="T455" s="2457" t="n"/>
      <c r="U455" s="2457" t="n"/>
      <c r="V455" s="2457" t="n"/>
      <c r="X455" s="2457" t="n"/>
      <c r="Y455" s="2457" t="n"/>
      <c r="Z455" s="291" t="n"/>
      <c r="AB455" s="90" t="n"/>
      <c r="AC455" s="90" t="n"/>
      <c r="AD455" s="1757" t="n"/>
      <c r="AE455" s="1757" t="n"/>
    </row>
    <row r="456" ht="27" customHeight="1" s="2456">
      <c r="C456" s="2">
        <f>IF(OR('Cpts miroirs des parents'!AC20="",'Cpts miroirs des parents'!AD20=""),"",'Cpts miroirs des parents'!AB20)</f>
        <v/>
      </c>
      <c r="D456" s="1671">
        <f>IF(C456="","",'Cpts miroirs des parents'!AC20)</f>
        <v/>
      </c>
      <c r="E456" s="1671">
        <f>IF(C456="","",'Cpts miroirs des parents'!AD20)</f>
        <v/>
      </c>
      <c r="F456" s="291" t="n"/>
      <c r="H456" s="1374" t="n"/>
      <c r="Q456" s="2457" t="n"/>
      <c r="R456" s="2" t="n"/>
      <c r="U456" s="2457" t="n"/>
      <c r="V456" s="2457" t="n"/>
      <c r="X456" s="2457" t="n"/>
      <c r="Y456" s="2457" t="n"/>
      <c r="AA456" s="90" t="n"/>
      <c r="AB456" s="90" t="n"/>
      <c r="AC456" s="90" t="n"/>
      <c r="AD456" s="1757" t="n"/>
      <c r="AE456" s="90" t="n"/>
    </row>
    <row r="457" ht="27" customHeight="1" s="2456">
      <c r="C457" s="2">
        <f>IF(OR('Cpts miroirs des parents'!AC21="",'Cpts miroirs des parents'!AD21=""),"",'Cpts miroirs des parents'!AB21)</f>
        <v/>
      </c>
      <c r="D457" s="1671">
        <f>IF(C457="","",'Cpts miroirs des parents'!AC21)</f>
        <v/>
      </c>
      <c r="E457" s="1671">
        <f>IF(C457="","",'Cpts miroirs des parents'!AD21)</f>
        <v/>
      </c>
      <c r="F457" s="291" t="n"/>
      <c r="H457" s="1374" t="n"/>
      <c r="Q457" s="2457" t="n"/>
      <c r="R457" s="2" t="n"/>
      <c r="T457" s="2457" t="n"/>
      <c r="U457" s="2457" t="n"/>
      <c r="V457" s="2457" t="n"/>
      <c r="X457" s="2457" t="n"/>
      <c r="Y457" s="2457" t="n"/>
      <c r="AB457" s="90" t="n"/>
      <c r="AC457" s="90" t="n"/>
      <c r="AD457" s="1757" t="n"/>
    </row>
    <row r="458" ht="27" customHeight="1" s="2456">
      <c r="C458" s="2">
        <f>IF(OR('Cpts miroirs des parents'!AC22="",'Cpts miroirs des parents'!AD22=""),"",'Cpts miroirs des parents'!AB22)</f>
        <v/>
      </c>
      <c r="D458" s="1671">
        <f>IF(C458="","",'Cpts miroirs des parents'!AC22)</f>
        <v/>
      </c>
      <c r="E458" s="1671">
        <f>IF(C458="","",'Cpts miroirs des parents'!AD22)</f>
        <v/>
      </c>
      <c r="F458" s="291" t="n"/>
      <c r="Q458" s="2457" t="n"/>
      <c r="R458" s="2" t="n"/>
      <c r="T458" s="2457" t="n"/>
      <c r="U458" s="2457" t="n"/>
      <c r="V458" s="2457" t="n"/>
      <c r="X458" s="2457" t="n"/>
      <c r="Y458" s="2457" t="n"/>
      <c r="AA458" s="1757" t="n"/>
    </row>
    <row r="459" ht="27" customHeight="1" s="2456">
      <c r="C459" s="2">
        <f>IF(OR('Cpts miroirs des parents'!AC23="",'Cpts miroirs des parents'!AD23=""),"",'Cpts miroirs des parents'!AB23)</f>
        <v/>
      </c>
      <c r="D459" s="1671">
        <f>IF(C459="","",'Cpts miroirs des parents'!AC23)</f>
        <v/>
      </c>
      <c r="E459" s="1671">
        <f>IF(C459="","",'Cpts miroirs des parents'!AD23)</f>
        <v/>
      </c>
      <c r="F459" s="291" t="n"/>
      <c r="Q459" s="2457" t="n"/>
      <c r="R459" s="2" t="n"/>
      <c r="T459" s="2457" t="n"/>
      <c r="U459" s="2457" t="n"/>
      <c r="V459" s="2457" t="n"/>
      <c r="X459" s="2457" t="n"/>
      <c r="Y459" s="2457" t="n"/>
    </row>
    <row r="460" ht="27" customHeight="1" s="2456">
      <c r="C460" s="2">
        <f>IF(OR('Cpts miroirs des parents'!AC24="",'Cpts miroirs des parents'!AD24=""),"",'Cpts miroirs des parents'!AB24)</f>
        <v/>
      </c>
      <c r="D460" s="1671">
        <f>IF(C460="","",'Cpts miroirs des parents'!AC24)</f>
        <v/>
      </c>
      <c r="E460" s="1671">
        <f>IF(C460="","",'Cpts miroirs des parents'!AD24)</f>
        <v/>
      </c>
      <c r="F460" s="291" t="n"/>
      <c r="Q460" s="2457" t="n"/>
      <c r="R460" s="2" t="n"/>
      <c r="T460" s="2457" t="n"/>
      <c r="U460" s="2457" t="n"/>
      <c r="V460" s="2457" t="n"/>
      <c r="X460" s="2457" t="n"/>
      <c r="Y460" s="2457" t="n"/>
      <c r="Z460" s="3" t="n"/>
    </row>
    <row r="461" ht="27" customHeight="1" s="2456">
      <c r="C461" s="2">
        <f>IF(OR('Cpts miroirs des parents'!AC25="",'Cpts miroirs des parents'!AD25=""),"",'Cpts miroirs des parents'!AB25)</f>
        <v/>
      </c>
      <c r="D461" s="1671">
        <f>IF(C461="","",'Cpts miroirs des parents'!AC25)</f>
        <v/>
      </c>
      <c r="E461" s="1671">
        <f>IF(C461="","",'Cpts miroirs des parents'!AD25)</f>
        <v/>
      </c>
      <c r="F461" s="291" t="n"/>
      <c r="Q461" s="2457" t="n"/>
      <c r="R461" s="2" t="n"/>
      <c r="T461" s="2457" t="n"/>
      <c r="U461" s="2457" t="n"/>
      <c r="V461" s="2457" t="n"/>
      <c r="X461" s="2457" t="n"/>
      <c r="Y461" s="2457" t="n"/>
      <c r="Z461" s="3" t="n"/>
    </row>
    <row r="462" ht="27" customHeight="1" s="2456">
      <c r="C462" s="2">
        <f>IF(OR('Cpts miroirs des parents'!AC26="",'Cpts miroirs des parents'!AD26=""),"",'Cpts miroirs des parents'!AB26)</f>
        <v/>
      </c>
      <c r="D462" s="1671">
        <f>IF(C462="","",'Cpts miroirs des parents'!AC26)</f>
        <v/>
      </c>
      <c r="E462" s="1671">
        <f>IF(C462="","",'Cpts miroirs des parents'!AD26)</f>
        <v/>
      </c>
      <c r="F462" s="291" t="n"/>
      <c r="Q462" s="2457" t="n"/>
      <c r="R462" s="2" t="n"/>
      <c r="T462" s="2457" t="n"/>
      <c r="U462" s="2457" t="n"/>
      <c r="V462" s="2457" t="n"/>
      <c r="X462" s="2457" t="n"/>
      <c r="Y462" s="2457" t="n"/>
      <c r="Z462" s="3" t="n"/>
    </row>
    <row r="463" ht="131" customHeight="1" s="2456">
      <c r="B463" s="34">
        <f>'Cpts miroirs des parents'!D11</f>
        <v/>
      </c>
      <c r="C463" s="2" t="n"/>
      <c r="D463" s="90" t="n"/>
      <c r="E463" s="90" t="n"/>
      <c r="F463" s="291" t="n"/>
      <c r="G463" s="2271" t="inlineStr">
        <is>
          <t xml:space="preserve">À propos : </t>
        </is>
      </c>
      <c r="H463" s="2520">
        <f>'Cpts miroirs des parents'!D7</f>
        <v/>
      </c>
      <c r="Q463" s="2457" t="n"/>
      <c r="R463" s="2149" t="n"/>
      <c r="S463" s="2457" t="n"/>
      <c r="T463" s="2457" t="n"/>
      <c r="U463" s="2457" t="n"/>
      <c r="V463" s="2457" t="n"/>
      <c r="X463" s="2457" t="n"/>
      <c r="Y463" s="2457" t="n"/>
    </row>
    <row r="464" ht="27" customHeight="1" s="2456">
      <c r="A464" s="2520">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57" t="n"/>
      <c r="R464" s="2" t="n"/>
      <c r="T464" s="2457" t="n"/>
      <c r="U464" s="2457" t="n"/>
      <c r="V464" s="2457" t="n"/>
      <c r="X464" s="2457" t="n"/>
      <c r="Y464" s="2457" t="n"/>
      <c r="AA464" s="2457" t="n"/>
    </row>
    <row r="465" ht="27" customHeight="1" s="2456">
      <c r="C465" s="2">
        <f>IF(OR('Cpts miroirs des parents'!AC33="",'Cpts miroirs des parents'!AD33=""),"",'Cpts miroirs des parents'!AB33)</f>
        <v/>
      </c>
      <c r="D465" s="1671">
        <f>IF(C465="","",'Cpts miroirs des parents'!AC33)</f>
        <v/>
      </c>
      <c r="E465" s="1671">
        <f>IF(C465="","",'Cpts miroirs des parents'!AD33)</f>
        <v/>
      </c>
      <c r="F465" s="291" t="n"/>
      <c r="Q465" s="2457" t="n"/>
      <c r="R465" s="2" t="n"/>
      <c r="T465" s="2457" t="n"/>
      <c r="U465" s="2457" t="n"/>
      <c r="V465" s="2457" t="n"/>
      <c r="X465" s="2457" t="n"/>
      <c r="Y465" s="2457" t="n"/>
      <c r="AA465" s="2366" t="n"/>
    </row>
    <row r="466" ht="27" customHeight="1" s="2456">
      <c r="C466" s="2">
        <f>IF(OR('Cpts miroirs des parents'!AC34="",'Cpts miroirs des parents'!AD34=""),"",'Cpts miroirs des parents'!AB34)</f>
        <v/>
      </c>
      <c r="D466" s="1671">
        <f>IF(C466="","",'Cpts miroirs des parents'!AC34)</f>
        <v/>
      </c>
      <c r="E466" s="1671">
        <f>IF(C466="","",'Cpts miroirs des parents'!AD34)</f>
        <v/>
      </c>
      <c r="F466" s="291" t="n"/>
      <c r="Q466" s="2457" t="n"/>
      <c r="R466" s="2" t="n"/>
      <c r="T466" s="2457" t="n"/>
      <c r="U466" s="2457" t="n"/>
      <c r="V466" s="2457" t="n"/>
      <c r="X466" s="2457" t="n"/>
      <c r="Y466" s="2457" t="n"/>
      <c r="Z466" s="2457" t="n"/>
      <c r="AA466" s="2457" t="n"/>
    </row>
    <row r="467" ht="27" customHeight="1" s="2456">
      <c r="C467" s="2">
        <f>IF(OR('Cpts miroirs des parents'!AC35="",'Cpts miroirs des parents'!AD35=""),"",'Cpts miroirs des parents'!AB35)</f>
        <v/>
      </c>
      <c r="D467" s="1671">
        <f>IF(C467="","",'Cpts miroirs des parents'!AC35)</f>
        <v/>
      </c>
      <c r="E467" s="1671">
        <f>IF(C467="","",'Cpts miroirs des parents'!AD35)</f>
        <v/>
      </c>
      <c r="F467" s="291" t="n"/>
      <c r="Q467" s="2457" t="n"/>
      <c r="R467" s="2" t="n"/>
      <c r="T467" s="2457" t="n"/>
      <c r="U467" s="2457" t="n"/>
      <c r="V467" s="2457" t="n"/>
      <c r="X467" s="2457" t="n"/>
      <c r="Y467" s="2457" t="n"/>
      <c r="Z467" s="2457" t="n"/>
      <c r="AA467" s="2457" t="n"/>
    </row>
    <row r="468" ht="27" customHeight="1" s="2456">
      <c r="C468" s="2">
        <f>IF(OR('Cpts miroirs des parents'!AC36="",'Cpts miroirs des parents'!AD36=""),"",'Cpts miroirs des parents'!AB36)</f>
        <v/>
      </c>
      <c r="D468" s="1671">
        <f>IF(C468="","",'Cpts miroirs des parents'!AC36)</f>
        <v/>
      </c>
      <c r="E468" s="1671">
        <f>IF(C468="","",'Cpts miroirs des parents'!AD36)</f>
        <v/>
      </c>
      <c r="F468" s="291" t="n"/>
      <c r="G468" s="1723" t="n"/>
      <c r="N468" s="2457" t="n"/>
      <c r="P468" s="2457" t="n"/>
      <c r="Q468" s="2457" t="n"/>
      <c r="R468" s="2" t="n"/>
      <c r="T468" s="2457" t="n"/>
      <c r="U468" s="2457" t="n"/>
      <c r="V468" s="2457" t="n"/>
      <c r="X468" s="2457" t="n"/>
      <c r="Y468" s="2457" t="n"/>
      <c r="Z468" s="2457" t="n"/>
      <c r="AA468" s="2457" t="n"/>
    </row>
    <row r="469" ht="27" customHeight="1" s="2456">
      <c r="C469" s="2">
        <f>IF(OR('Cpts miroirs des parents'!AC37="",'Cpts miroirs des parents'!AD37=""),"",'Cpts miroirs des parents'!AB37)</f>
        <v/>
      </c>
      <c r="D469" s="1671">
        <f>IF(C469="","",'Cpts miroirs des parents'!AC37)</f>
        <v/>
      </c>
      <c r="E469" s="1671">
        <f>IF(C469="","",'Cpts miroirs des parents'!AD37)</f>
        <v/>
      </c>
      <c r="F469" s="291" t="n"/>
      <c r="G469" s="1723" t="n"/>
      <c r="N469" s="2457" t="n"/>
      <c r="O469" s="2457" t="n"/>
      <c r="P469" s="2457" t="n"/>
      <c r="Q469" s="2457" t="n"/>
      <c r="R469" s="2" t="n"/>
      <c r="T469" s="2457" t="n"/>
      <c r="U469" s="2457" t="n"/>
      <c r="V469" s="2457" t="n"/>
      <c r="X469" s="2457" t="n"/>
      <c r="Y469" s="2457" t="n"/>
      <c r="Z469" s="2457" t="n"/>
      <c r="AA469" s="2457" t="n"/>
      <c r="AK469" s="2279" t="inlineStr">
        <is>
          <t>Les comportements repérés préjudiciables sont :</t>
        </is>
      </c>
    </row>
    <row r="470" ht="27" customHeight="1" s="2456">
      <c r="A470" s="89" t="n"/>
      <c r="C470" s="2" t="n"/>
      <c r="F470" s="291" t="n"/>
      <c r="G470" s="1723" t="n"/>
      <c r="N470" s="2457" t="n"/>
      <c r="O470" s="2457" t="n"/>
      <c r="P470" s="2457" t="n"/>
      <c r="Q470" s="2457" t="n"/>
      <c r="R470" s="2" t="n"/>
      <c r="T470" s="2457" t="n"/>
      <c r="U470" s="2457" t="n"/>
      <c r="V470" s="2457" t="n"/>
      <c r="X470" s="2457" t="n"/>
      <c r="Y470" s="2457" t="n"/>
      <c r="Z470" s="2457" t="n"/>
      <c r="AA470" s="2457" t="n"/>
      <c r="AI470" t="inlineStr"/>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s="2456">
      <c r="A471" s="89" t="n"/>
      <c r="C471" s="2" t="n"/>
      <c r="F471" s="291" t="n"/>
      <c r="G471" s="1723" t="n"/>
      <c r="N471" s="2457" t="n"/>
      <c r="O471" s="2457" t="n"/>
      <c r="P471" s="2457" t="n"/>
      <c r="Q471" s="2457" t="n"/>
      <c r="R471" s="2" t="n"/>
      <c r="T471" s="2457" t="n"/>
      <c r="U471" s="2457" t="n"/>
      <c r="V471" s="2457" t="n"/>
      <c r="X471" s="2457" t="n"/>
      <c r="Y471" s="2457" t="n"/>
      <c r="Z471" s="2457" t="n"/>
      <c r="AA471" s="245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s="2456">
      <c r="C472" s="2" t="n"/>
      <c r="D472" s="90" t="n"/>
      <c r="E472" s="90" t="n"/>
      <c r="F472" s="291" t="n"/>
      <c r="G472" s="1723" t="n"/>
      <c r="N472" s="2457" t="n"/>
      <c r="O472" s="2457" t="n"/>
      <c r="P472" s="2457" t="n"/>
      <c r="Q472" s="2457" t="n"/>
      <c r="R472" s="2" t="n"/>
      <c r="S472" s="2457" t="n"/>
      <c r="T472" s="2457" t="n"/>
      <c r="U472" s="2457" t="n"/>
      <c r="V472" s="2457" t="n"/>
      <c r="W472" s="2457" t="n"/>
      <c r="X472" s="2457" t="n"/>
      <c r="Y472" s="2457" t="n"/>
      <c r="Z472" s="2457" t="n"/>
      <c r="AA472" s="245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s="2456">
      <c r="C473" s="2" t="n"/>
      <c r="D473" s="90" t="n"/>
      <c r="E473" s="90" t="n"/>
      <c r="F473" s="291" t="n"/>
      <c r="G473" s="2271" t="inlineStr">
        <is>
          <t xml:space="preserve">À propos : </t>
        </is>
      </c>
      <c r="H473" s="2517">
        <f>'Cpts miroirs des parents'!D15</f>
        <v/>
      </c>
      <c r="N473" s="2457" t="n"/>
      <c r="O473" s="2457" t="n"/>
      <c r="P473" s="2457" t="n"/>
      <c r="Q473" s="2457" t="n"/>
      <c r="R473" s="2" t="n"/>
      <c r="S473" s="2457" t="n"/>
      <c r="T473" s="2457" t="n"/>
      <c r="U473" s="2457" t="n"/>
      <c r="V473" s="2457" t="n"/>
      <c r="W473" s="2457" t="n"/>
      <c r="X473" s="2457" t="n"/>
      <c r="Y473" s="2457" t="n"/>
      <c r="Z473" s="2457" t="n"/>
      <c r="AA473" s="245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s="2456">
      <c r="C474" s="2" t="n"/>
      <c r="D474" s="90" t="n"/>
      <c r="E474" s="90" t="n"/>
      <c r="F474" s="291" t="n"/>
      <c r="G474" s="1723" t="n"/>
      <c r="N474" s="2457" t="n"/>
      <c r="O474" s="2457" t="n"/>
      <c r="P474" s="2457" t="n"/>
      <c r="Q474" s="2457" t="n"/>
      <c r="R474" s="2" t="n"/>
      <c r="S474" s="2457" t="n"/>
      <c r="T474" s="2457" t="n"/>
      <c r="U474" s="2457" t="n"/>
      <c r="V474" s="2457" t="n"/>
      <c r="W474" s="2457" t="n"/>
      <c r="X474" s="2457" t="n"/>
      <c r="Y474" s="2457" t="n"/>
      <c r="Z474" s="2457" t="n"/>
      <c r="AA474" s="245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20"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80">
        <f>'Cpts préjudiciables parents'!G15</f>
        <v/>
      </c>
      <c r="AM476" s="55" t="n"/>
    </row>
    <row r="477" ht="21" customHeight="1" s="2456">
      <c r="B477" s="34">
        <f>'Cpts préjudiciables parents'!C2</f>
        <v/>
      </c>
      <c r="F477" s="1680" t="n"/>
      <c r="H477" s="2524"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61"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57" t="n"/>
      <c r="D480" s="1751"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s="2456">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s="2456">
      <c r="C483" s="1683" t="inlineStr">
        <is>
          <t>Catégorie</t>
        </is>
      </c>
      <c r="D483" s="2358" t="inlineStr">
        <is>
          <t>Comportements</t>
        </is>
      </c>
      <c r="E483" s="2524" t="n"/>
      <c r="F483" s="2457" t="n"/>
      <c r="N483" t="inlineStr">
        <is>
          <t>Ce seront les résultats de chaque catégorie qui seront mis en graphique</t>
        </is>
      </c>
      <c r="T483" s="2515" t="n"/>
      <c r="Y483" s="2515" t="n"/>
      <c r="AL483" s="2280">
        <f>'Cpts préjudiciables parents'!G22</f>
        <v/>
      </c>
      <c r="AM483" s="55" t="n"/>
    </row>
    <row r="484" ht="21" customHeight="1" s="2456">
      <c r="C484" s="2278" t="n"/>
      <c r="E484" s="1743" t="n"/>
      <c r="F484" s="2457" t="n"/>
      <c r="T484" s="2515" t="n"/>
      <c r="U484" s="2515" t="n"/>
      <c r="V484" s="2515" t="n"/>
      <c r="W484" s="2515" t="n"/>
      <c r="X484" s="2515" t="n"/>
      <c r="Y484" s="2515"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7">
        <f>'Cpts préjudiciables parents'!B9</f>
        <v/>
      </c>
      <c r="D485" s="291" t="n"/>
      <c r="E485" s="2" t="n"/>
      <c r="F485" s="245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57">
        <f>IF(AP470="à inclure",AN470,"")</f>
        <v/>
      </c>
      <c r="E486" s="2" t="n"/>
      <c r="F486" s="245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row>
    <row r="489">
      <c r="C489" s="2513">
        <f>'Cpts préjudiciables parents'!B16</f>
        <v/>
      </c>
      <c r="D489" s="2359" t="n"/>
      <c r="F489" s="2457" t="n"/>
      <c r="M489" s="2559" t="n"/>
      <c r="N489" s="55">
        <f>'Cpts préjudiciables parents'!R23</f>
        <v/>
      </c>
      <c r="O489" s="55">
        <f>'Cpts préjudiciables parents'!S23</f>
        <v/>
      </c>
      <c r="P489" s="2559"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57">
        <f>IF(AP477="à inclure",AN477,"")</f>
        <v/>
      </c>
      <c r="E490" s="1743" t="n"/>
      <c r="F490" s="2457" t="n"/>
      <c r="M490" s="2559" t="n"/>
      <c r="N490" s="55">
        <f>'Cpts préjudiciables parents'!R24</f>
        <v/>
      </c>
      <c r="O490" s="55">
        <f>'Cpts préjudiciables parents'!S24</f>
        <v/>
      </c>
      <c r="P490" s="2559"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57">
        <f>IF(AP478="à inclure",AN478,"")</f>
        <v/>
      </c>
      <c r="F491" s="245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57">
        <f>IF(AP479="à inclure",AN479,"")</f>
        <v/>
      </c>
      <c r="F492" s="245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5">
        <f>'Cpts préjudiciables parents'!B23</f>
        <v/>
      </c>
      <c r="D493" s="2360" t="n"/>
      <c r="E493" s="1743" t="n"/>
      <c r="F493" s="245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57">
        <f>IF(AP484="à inclure",AN484,"")</f>
        <v/>
      </c>
      <c r="F494" s="245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57">
        <f>IF(AP485="à inclure",AN485,"")</f>
        <v/>
      </c>
      <c r="E495" s="2" t="n"/>
      <c r="F495" s="245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57">
        <f>IF(AP486="à inclure",AN486,"")</f>
        <v/>
      </c>
      <c r="E496" s="1743" t="n"/>
      <c r="F496" s="245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30">
        <f>'Cpts préjudiciables parents'!B28</f>
        <v/>
      </c>
      <c r="D497" s="2360" t="n"/>
      <c r="F497" s="245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57">
        <f>IF(AP489="à inclure",AN489,"")</f>
        <v/>
      </c>
      <c r="F498" s="2457" t="n"/>
      <c r="AL498" s="2280">
        <f>'Cpts préjudiciables parents'!G37</f>
        <v/>
      </c>
      <c r="AM498" s="55" t="n"/>
    </row>
    <row r="499">
      <c r="D499" s="1757">
        <f>IF(AP490="à inclure",AN490,"")</f>
        <v/>
      </c>
      <c r="E499" s="1743" t="n"/>
      <c r="F499" s="245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7">
        <f>IF(AP491="à inclure",AN491,"")</f>
        <v/>
      </c>
      <c r="F500" s="245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19">
        <f>'Cpts préjudiciables parents'!B38</f>
        <v/>
      </c>
      <c r="D501" s="2360" t="n"/>
      <c r="F501" s="245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57">
        <f>IF(AP499="à inclure",AN499,"")</f>
        <v/>
      </c>
      <c r="E502" s="1743" t="n"/>
      <c r="F502" s="245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57">
        <f>IF(AP500="à inclure",AN500,"")</f>
        <v/>
      </c>
      <c r="E503" s="2" t="n"/>
      <c r="F503" s="245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57">
        <f>IF(AP501="à inclure",AN501,"")</f>
        <v/>
      </c>
      <c r="E504" s="2" t="n"/>
      <c r="F504" s="2457" t="n"/>
      <c r="AL504" s="2280">
        <f>'Cpts préjudiciables parents'!G43</f>
        <v/>
      </c>
      <c r="AM504" s="55" t="n"/>
    </row>
    <row r="505">
      <c r="C505" s="2361">
        <f>'Cpts préjudiciables parents'!$B$44</f>
        <v/>
      </c>
      <c r="D505" s="2360" t="n"/>
      <c r="E505" s="2" t="n"/>
      <c r="F505" s="245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62" t="n"/>
      <c r="D506" s="1757">
        <f>IF(AP505="à inclure",AN505,"")</f>
        <v/>
      </c>
      <c r="E506" s="2" t="n"/>
      <c r="F506" s="245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63" t="n"/>
      <c r="D507" s="1757">
        <f>IF(AP506="à inclure",AN506,"")</f>
        <v/>
      </c>
      <c r="E507" s="2" t="n"/>
      <c r="F507" s="245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57" t="n"/>
      <c r="D508" s="1757">
        <f>IF(AP507="à inclure",AN507,"")</f>
        <v/>
      </c>
      <c r="E508" s="2" t="n"/>
      <c r="F508" s="245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22">
        <f>'Cpts préjudiciables parents'!B49</f>
        <v/>
      </c>
      <c r="D509" s="2360" t="n"/>
      <c r="E509" s="2" t="n"/>
      <c r="F509" s="2457" t="n"/>
      <c r="AL509" s="2280">
        <f>'Cpts préjudiciables parents'!G48</f>
        <v/>
      </c>
      <c r="AM509" s="55" t="n"/>
    </row>
    <row r="510">
      <c r="D510" s="1757">
        <f>IF(AP510="à inclure",AN510,"")</f>
        <v/>
      </c>
      <c r="E510" s="2" t="n"/>
      <c r="F510" s="245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7">
        <f>IF(AP511="à inclure",AN511,"")</f>
        <v/>
      </c>
      <c r="E511" s="2" t="n"/>
      <c r="F511" s="245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57">
        <f>IF(AP512="à inclure",AN512,"")</f>
        <v/>
      </c>
      <c r="E512" s="2" t="n"/>
      <c r="F512" s="245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57">
        <f>IF(AP513="à inclure",AN513,"")</f>
        <v/>
      </c>
      <c r="E513" s="2" t="n"/>
      <c r="F513" s="245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57" t="n"/>
      <c r="E514" s="2" t="n"/>
      <c r="F514" s="2457" t="n"/>
      <c r="AL514" s="2280">
        <f>'Cpts préjudiciables parents'!G53</f>
        <v/>
      </c>
    </row>
    <row r="515" ht="143" customHeight="1" s="2456">
      <c r="B515" s="2271" t="inlineStr">
        <is>
          <t xml:space="preserve">À propos : </t>
        </is>
      </c>
      <c r="C515" s="2521">
        <f>'Cpts préjudiciables parents'!C4</f>
        <v/>
      </c>
    </row>
    <row r="516">
      <c r="E516" s="2" t="n"/>
      <c r="F516" s="2457" t="n"/>
    </row>
    <row r="517" ht="13" customHeight="1" s="2456">
      <c r="E517" s="2" t="n"/>
      <c r="F517" s="2457" t="n"/>
    </row>
    <row r="518">
      <c r="C518" s="291" t="n"/>
      <c r="D518" s="2" t="n"/>
      <c r="E518" s="2" t="n"/>
      <c r="F518" s="2457" t="n"/>
    </row>
    <row r="519" ht="21" customHeight="1" s="2456">
      <c r="A519" s="2470" t="n"/>
      <c r="B519" s="2273" t="inlineStr">
        <is>
          <t xml:space="preserve">Indice d'exclusion parentale </t>
        </is>
      </c>
      <c r="G519" s="1680" t="n"/>
      <c r="H519" s="2" t="n"/>
      <c r="R519" s="2457" t="n"/>
      <c r="S519" s="2457" t="n"/>
      <c r="T519" s="2457" t="n"/>
      <c r="U519" s="2515" t="n"/>
      <c r="Z519" s="2515" t="n"/>
      <c r="AA519" s="2457" t="n"/>
    </row>
    <row r="520" ht="21" customHeight="1" s="2456">
      <c r="B520" s="1745" t="n"/>
      <c r="G520" s="1680" t="n"/>
      <c r="R520" s="2457" t="n"/>
      <c r="S520" s="2457" t="n"/>
      <c r="T520" s="2457" t="n"/>
      <c r="U520" s="2515" t="n"/>
      <c r="V520" s="2515" t="n"/>
      <c r="W520" s="2515" t="n"/>
      <c r="X520" s="2515" t="n"/>
      <c r="Y520" s="2515" t="n"/>
      <c r="Z520" s="2515" t="n"/>
      <c r="AA520" s="2457" t="n"/>
      <c r="AB520" s="66" t="n"/>
      <c r="AC520" s="66" t="n"/>
      <c r="AD520" s="66" t="n"/>
      <c r="AE520" s="2457" t="n"/>
      <c r="AF520" s="2457" t="n"/>
    </row>
    <row r="521" ht="19" customHeight="1" s="2456">
      <c r="B521" s="1745" t="n"/>
      <c r="F521" s="1759" t="n"/>
      <c r="G521" s="1680" t="inlineStr">
        <is>
          <t>Gradient linéaire horizontal</t>
        </is>
      </c>
      <c r="H521" s="1758" t="n"/>
      <c r="I521" s="1723" t="n"/>
      <c r="U521" s="2514" t="n"/>
      <c r="V521" s="2514" t="n"/>
      <c r="W521" s="2514" t="n"/>
      <c r="X521" s="2514" t="n"/>
      <c r="Y521" s="2514" t="n"/>
      <c r="Z521" s="2514" t="n"/>
      <c r="AA521" s="2514" t="n"/>
      <c r="AB521" s="2514" t="n"/>
      <c r="AC521" s="2514" t="n"/>
      <c r="AD521" s="2514" t="n"/>
      <c r="AE521" s="2514" t="n"/>
      <c r="AF521" s="2514" t="n"/>
    </row>
    <row r="522" ht="19" customHeight="1" s="2456">
      <c r="C522" s="407" t="n"/>
      <c r="L522" s="1746" t="n"/>
      <c r="M522" s="1359" t="n"/>
      <c r="R522" s="2060" t="n"/>
      <c r="S522" s="2060" t="n"/>
      <c r="T522" s="2060" t="n"/>
      <c r="U522" s="2060" t="n"/>
      <c r="V522" s="2060" t="n"/>
      <c r="W522" s="2060" t="n"/>
      <c r="X522" s="2060" t="n"/>
      <c r="Y522" s="2060" t="n"/>
      <c r="Z522" s="2060" t="n"/>
      <c r="AA522" s="2060" t="n"/>
      <c r="AB522" s="2060" t="n"/>
      <c r="AC522" s="2529" t="n"/>
      <c r="AD522" s="2529" t="n"/>
      <c r="AE522" s="2529" t="n"/>
      <c r="AF522" s="2529" t="n"/>
    </row>
    <row r="523">
      <c r="C523" s="2588" t="inlineStr">
        <is>
          <t>Résultat</t>
        </is>
      </c>
      <c r="D523" s="57" t="n"/>
      <c r="E523" s="3" t="n"/>
      <c r="F523" s="3" t="n"/>
      <c r="G523" s="3" t="n"/>
      <c r="H523" s="3" t="n"/>
      <c r="J523" s="2" t="n"/>
      <c r="K523" s="1743" t="n"/>
      <c r="R523" s="2060" t="n"/>
      <c r="S523" s="2529" t="n"/>
      <c r="T523" s="2529" t="n"/>
      <c r="U523" s="2060" t="n"/>
      <c r="V523" s="2060" t="n"/>
      <c r="W523" s="2060" t="n"/>
      <c r="X523" s="2060" t="n"/>
      <c r="Y523" s="2365" t="n"/>
      <c r="Z523" s="2365" t="n"/>
      <c r="AA523" s="2365" t="n"/>
      <c r="AB523" s="2365" t="n"/>
      <c r="AC523" s="2365" t="n"/>
      <c r="AD523" s="2365" t="n"/>
      <c r="AE523" s="2365" t="n"/>
      <c r="AF523" s="2060" t="n"/>
    </row>
    <row r="524">
      <c r="C524" s="1747">
        <f>'Indice D''exclusion'!H37</f>
        <v/>
      </c>
      <c r="F524" s="2457" t="inlineStr">
        <is>
          <t>Aucune</t>
        </is>
      </c>
      <c r="G524" s="2457" t="inlineStr">
        <is>
          <t>Faible</t>
        </is>
      </c>
      <c r="H524" s="2457" t="inlineStr">
        <is>
          <t>Possible</t>
        </is>
      </c>
      <c r="I524" s="2457" t="inlineStr">
        <is>
          <t>Probable</t>
        </is>
      </c>
      <c r="L524" s="2514" t="n"/>
      <c r="O524" s="2457" t="n"/>
      <c r="P524" s="2457" t="n"/>
      <c r="S524" s="2457" t="n"/>
      <c r="T524" s="2" t="n"/>
      <c r="U524" s="2517" t="n"/>
      <c r="V524" s="2457" t="n"/>
      <c r="W524" s="2457" t="n"/>
      <c r="X524" s="2457" t="n"/>
      <c r="Y524" s="2457" t="n"/>
      <c r="Z524" s="2457" t="n"/>
      <c r="AA524" s="90" t="n"/>
      <c r="AB524" s="90" t="n"/>
      <c r="AC524" s="90" t="n"/>
      <c r="AD524" s="90" t="n"/>
      <c r="AE524" s="90" t="n"/>
      <c r="AF524" s="90" t="n"/>
    </row>
    <row r="525">
      <c r="C525" s="57">
        <f>'Indice D''exclusion'!H38</f>
        <v/>
      </c>
    </row>
    <row r="528">
      <c r="D528" s="64" t="inlineStr">
        <is>
          <t>Indice d'exclusion parentale</t>
        </is>
      </c>
    </row>
    <row r="529">
      <c r="C529" s="2457">
        <f>'Indice D''exclusion'!I10</f>
        <v/>
      </c>
      <c r="D529" s="2457">
        <f>'Indice D''exclusion'!I38</f>
        <v/>
      </c>
    </row>
    <row r="530">
      <c r="C530" s="2457">
        <f>'Indice D''exclusion'!J10</f>
        <v/>
      </c>
      <c r="D530" s="2457">
        <f>'Indice D''exclusion'!J38</f>
        <v/>
      </c>
    </row>
    <row r="531">
      <c r="C531" s="2457">
        <f>'Indice D''exclusion'!K10</f>
        <v/>
      </c>
      <c r="D531" s="2457">
        <f>'Indice D''exclusion'!K38</f>
        <v/>
      </c>
    </row>
    <row r="532">
      <c r="C532" s="2457">
        <f>'Indice D''exclusion'!L10</f>
        <v/>
      </c>
      <c r="D532" s="2457">
        <f>'Indice D''exclusion'!L38</f>
        <v/>
      </c>
    </row>
    <row r="537">
      <c r="G537" s="1680" t="n"/>
    </row>
    <row r="538" ht="44" customHeight="1" s="2456">
      <c r="C538" s="2" t="n"/>
      <c r="E538" s="2271" t="inlineStr">
        <is>
          <t xml:space="preserve">À propos : </t>
        </is>
      </c>
      <c r="F538" s="2518">
        <f>'Indice D''exclusion'!D6</f>
        <v/>
      </c>
      <c r="N538" s="2457" t="n"/>
      <c r="O538" s="2457" t="n"/>
      <c r="P538" s="2457" t="n"/>
      <c r="Q538" s="2457" t="n"/>
      <c r="R538" s="2457" t="n"/>
      <c r="S538" s="2" t="n"/>
      <c r="T538" s="2457" t="n"/>
      <c r="U538" s="2457" t="n"/>
      <c r="V538" s="2457" t="n"/>
      <c r="W538" s="2457" t="n"/>
      <c r="X538" s="2457" t="n"/>
      <c r="Y538" s="2266" t="n"/>
      <c r="Z538" s="2457" t="n"/>
      <c r="AA538" s="2457" t="n"/>
    </row>
    <row r="539" ht="30" customHeight="1" s="2456">
      <c r="G539" s="291" t="n"/>
      <c r="S539" s="2" t="n"/>
    </row>
    <row r="540" ht="21" customHeight="1" s="2456">
      <c r="A540" s="2511" t="n"/>
      <c r="B540" s="2300" t="inlineStr">
        <is>
          <t>Y a-t-il une contribution du nouveau ou la nouvelle conjoint·e à la dynamique conflictuelle de coparentalité?</t>
        </is>
      </c>
    </row>
    <row r="541" ht="23" customHeight="1" s="2456">
      <c r="B541" s="1745" t="n"/>
      <c r="G541" s="1680" t="n"/>
      <c r="I541" s="1680" t="inlineStr">
        <is>
          <t>Gradient  accélérateur</t>
        </is>
      </c>
      <c r="J541" s="1759" t="n"/>
    </row>
    <row r="542" ht="24" customHeight="1" s="2456">
      <c r="C542" s="589" t="inlineStr">
        <is>
          <t>Résultat</t>
        </is>
      </c>
      <c r="D542" s="2514" t="inlineStr">
        <is>
          <t>Échelle (du minimum au maximum)</t>
        </is>
      </c>
      <c r="J542" s="1754" t="n"/>
      <c r="T542" s="2457" t="n"/>
      <c r="U542" s="2515" t="n"/>
      <c r="Z542" s="2515" t="n"/>
      <c r="AA542" s="2457" t="n"/>
    </row>
    <row r="543" ht="29" customHeight="1" s="2456">
      <c r="C543" s="589" t="n"/>
      <c r="D543" s="2517" t="inlineStr">
        <is>
          <t>Début gradient</t>
        </is>
      </c>
      <c r="E543" s="2517" t="inlineStr">
        <is>
          <t>Min où débute un signe</t>
        </is>
      </c>
      <c r="F543" s="2457" t="n"/>
      <c r="H543" s="2457" t="inlineStr">
        <is>
          <t>Max</t>
        </is>
      </c>
      <c r="J543" s="11" t="n"/>
      <c r="T543" s="2457" t="n"/>
      <c r="U543" s="2515" t="n"/>
      <c r="V543" s="2515" t="n"/>
      <c r="W543" s="2515" t="n"/>
      <c r="X543" s="2515" t="n"/>
      <c r="Y543" s="2515" t="n"/>
      <c r="Z543" s="2515" t="n"/>
      <c r="AA543" s="2457" t="n"/>
      <c r="AB543" s="66" t="n"/>
      <c r="AC543" s="66" t="n"/>
      <c r="AD543" s="66" t="n"/>
      <c r="AE543" s="2457" t="n"/>
    </row>
    <row r="544" ht="24" customHeight="1" s="2456">
      <c r="C544" s="1672" t="n"/>
      <c r="D544" s="2517" t="inlineStr">
        <is>
          <t>Vert=&gt;</t>
        </is>
      </c>
      <c r="E544" s="2517" t="inlineStr">
        <is>
          <t>jaune=&gt;</t>
        </is>
      </c>
      <c r="F544" s="2457" t="inlineStr">
        <is>
          <t>orange=&gt;</t>
        </is>
      </c>
      <c r="G544" s="2457" t="inlineStr">
        <is>
          <t>rouge=&gt;</t>
        </is>
      </c>
      <c r="H544" s="90" t="n"/>
      <c r="I544" s="90" t="n"/>
      <c r="T544" s="2457" t="n"/>
      <c r="U544" s="2514" t="n"/>
      <c r="V544" s="2514" t="n"/>
      <c r="W544" s="2514" t="n"/>
      <c r="X544" s="2514" t="n"/>
      <c r="Y544" s="2514" t="n"/>
      <c r="Z544" s="2514" t="n"/>
      <c r="AB544" s="2514" t="n"/>
      <c r="AC544" s="2514" t="n"/>
      <c r="AD544" s="2514" t="n"/>
      <c r="AE544" s="2514" t="n"/>
    </row>
    <row r="545" ht="22" customHeight="1" s="2456">
      <c r="A545" s="2528"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57" t="n"/>
      <c r="V545" s="2457" t="n"/>
      <c r="W545" s="2457" t="n"/>
      <c r="X545" s="2457" t="n"/>
      <c r="Y545" s="2457" t="n"/>
      <c r="Z545" s="2457" t="n"/>
      <c r="AB545" s="90" t="n"/>
      <c r="AC545" s="90" t="n"/>
      <c r="AD545" s="90" t="n"/>
    </row>
    <row r="546" ht="27" customHeight="1" s="2456">
      <c r="B546" s="407" t="n"/>
    </row>
    <row r="547" ht="72" customHeight="1" s="2456">
      <c r="G547" s="1680" t="n"/>
      <c r="J547" s="2580" t="n"/>
      <c r="K547" s="2580" t="n"/>
    </row>
    <row r="548" ht="39" customHeight="1" s="2456">
      <c r="G548" s="1680" t="n"/>
      <c r="J548" s="2580" t="n"/>
      <c r="K548" s="2580" t="n"/>
    </row>
    <row r="549" ht="39" customHeight="1" s="2456">
      <c r="E549" s="2271" t="inlineStr">
        <is>
          <t xml:space="preserve">À propos : </t>
        </is>
      </c>
      <c r="F549" s="2534">
        <f>'Contribution NC'!C10</f>
        <v/>
      </c>
      <c r="K549" s="2580" t="n"/>
    </row>
    <row r="550" ht="28" customHeight="1" s="2456">
      <c r="G550" s="1680" t="n"/>
    </row>
    <row r="552" ht="24" customHeight="1" s="2456">
      <c r="B552" s="1748" t="inlineStr">
        <is>
          <t>La réaction de l'enfant face à la dynamique</t>
        </is>
      </c>
      <c r="T552" s="2515" t="n"/>
    </row>
    <row r="553" ht="21" customHeight="1" s="2456">
      <c r="B553" s="1716" t="n"/>
      <c r="G553" s="291" t="n"/>
    </row>
    <row r="554" ht="19" customHeight="1" s="2456">
      <c r="B554" s="1744" t="inlineStr">
        <is>
          <t xml:space="preserve">Indice de sévérité des comportements de l'enfant sur le continuum de l'AP  </t>
        </is>
      </c>
      <c r="F554" s="1680" t="inlineStr">
        <is>
          <t>Gradient linéaire ou accélérateur (à tester)</t>
        </is>
      </c>
      <c r="G554" s="1680" t="n"/>
    </row>
    <row r="555" ht="31" customHeight="1" s="2456">
      <c r="E555" s="1758" t="n"/>
      <c r="F555" s="1759" t="inlineStr">
        <is>
          <t>https://github.com/lflores/linear-gauge</t>
        </is>
      </c>
      <c r="G555" s="1760" t="n"/>
      <c r="H555" s="1758" t="n"/>
      <c r="I555" s="1758" t="n"/>
    </row>
    <row r="556" ht="31" customHeight="1" s="2456">
      <c r="G556" s="1680" t="n"/>
    </row>
    <row r="557" ht="31" customHeight="1" s="2456">
      <c r="C557" s="1681" t="inlineStr">
        <is>
          <t>Résultat</t>
        </is>
      </c>
      <c r="D557" s="2514" t="inlineStr">
        <is>
          <t>Échelle (du minimum au maximum)</t>
        </is>
      </c>
    </row>
    <row r="558" ht="31" customHeight="1" s="2456">
      <c r="C558" s="2516" t="n"/>
      <c r="D558" s="2517" t="inlineStr">
        <is>
          <t>Début gradient</t>
        </is>
      </c>
      <c r="E558" s="2517" t="inlineStr">
        <is>
          <t>Min où débute un signe</t>
        </is>
      </c>
      <c r="F558" s="2457" t="n"/>
      <c r="H558" s="2457" t="inlineStr">
        <is>
          <t>Max</t>
        </is>
      </c>
    </row>
    <row r="559" ht="31" customHeight="1" s="2456">
      <c r="C559" s="2516" t="n"/>
      <c r="D559" s="2517" t="inlineStr">
        <is>
          <t>Vert=&gt;</t>
        </is>
      </c>
      <c r="E559" s="2517" t="inlineStr">
        <is>
          <t>jaune=&gt;</t>
        </is>
      </c>
      <c r="F559" s="2457" t="inlineStr">
        <is>
          <t>orange=&gt;</t>
        </is>
      </c>
      <c r="G559" s="2457" t="inlineStr">
        <is>
          <t>rouge=&gt;</t>
        </is>
      </c>
    </row>
    <row r="560" ht="31" customHeight="1" s="2456">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72" t="n"/>
      <c r="D561" s="1359" t="n"/>
    </row>
    <row r="562" ht="31" customHeight="1" s="2456">
      <c r="C562" s="1743" t="n"/>
      <c r="D562" s="1359" t="n"/>
    </row>
    <row r="563" ht="31" customHeight="1" s="2456">
      <c r="C563" s="1743" t="n"/>
      <c r="D563" s="1359" t="n"/>
    </row>
    <row r="564" ht="31" customHeight="1" s="2456">
      <c r="J564" s="2" t="n"/>
    </row>
    <row r="565" ht="29" customHeight="1" s="2456">
      <c r="E565" s="2271" t="inlineStr">
        <is>
          <t xml:space="preserve">À propos : </t>
        </is>
      </c>
      <c r="F565" s="2299" t="inlineStr">
        <is>
          <t>Cette indice révèle la sévérité de la réponse de l'enfant exposé à la dynamique familiale</t>
        </is>
      </c>
      <c r="G565" s="1765" t="n"/>
    </row>
    <row r="566" ht="65" customHeight="1" s="2456">
      <c r="B566" s="407" t="inlineStr">
        <is>
          <t>À quels comportements aliénants, l'enfant répond t-il?</t>
        </is>
      </c>
      <c r="J566" s="1680" t="inlineStr">
        <is>
          <t>baromètre funnel</t>
        </is>
      </c>
      <c r="T566" s="2515" t="n"/>
      <c r="U566" s="2515" t="n"/>
      <c r="V566" s="2515" t="n"/>
      <c r="W566" s="2515" t="n"/>
    </row>
    <row r="567">
      <c r="B567" s="1745" t="n"/>
      <c r="G567" s="1680" t="n"/>
    </row>
    <row r="568">
      <c r="G568" s="1753" t="n"/>
    </row>
    <row r="569" ht="21" customHeight="1" s="2456">
      <c r="AI569" s="2532" t="n"/>
      <c r="AJ569" s="2443">
        <f>'Modèle Calcul A-R + Sommaire'!BC8</f>
        <v/>
      </c>
      <c r="AK569" t="inlineStr">
        <is>
          <t>Constat</t>
        </is>
      </c>
      <c r="AL569" s="2457" t="inlineStr">
        <is>
          <t>Conseil</t>
        </is>
      </c>
      <c r="AM569" t="inlineStr">
        <is>
          <t>Drapeau jaune</t>
        </is>
      </c>
      <c r="AN569" t="inlineStr">
        <is>
          <t>Drapeau rouge</t>
        </is>
      </c>
    </row>
    <row r="570">
      <c r="C570" s="2457" t="n"/>
      <c r="E570" s="2457" t="inlineStr">
        <is>
          <t>Résultats</t>
        </is>
      </c>
      <c r="F570" t="inlineStr">
        <is>
          <t>Constat</t>
        </is>
      </c>
      <c r="G570" s="1680" t="inlineStr">
        <is>
          <t>Conseils</t>
        </is>
      </c>
      <c r="H570" s="2457" t="inlineStr">
        <is>
          <t>Drapeau jaune</t>
        </is>
      </c>
      <c r="I570" s="2457" t="inlineStr">
        <is>
          <t>Drapeau rouge</t>
        </is>
      </c>
      <c r="AH570" t="n">
        <v>1</v>
      </c>
      <c r="AI570" s="1679">
        <f>'Modèle Calcul A-R + Sommaire'!AY10</f>
        <v/>
      </c>
      <c r="AJ570" s="2516">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1679">
        <f>'Modèle Calcul A-R + Sommaire'!AY10</f>
        <v/>
      </c>
      <c r="E571" s="2516">
        <f>IF('Modèle Calcul A-R + Sommaire'!BC11&lt;&gt;"",'Modèle Calcul A-R + Sommaire'!BB11,"")</f>
        <v/>
      </c>
      <c r="F571">
        <f>IF($AJ571="","",VLOOKUP($AH571,'Modèle Calcul A-R + Sommaire'!$AX$10:$BO$39,15))</f>
        <v/>
      </c>
      <c r="G571">
        <f>IF($AJ571="","",VLOOKUP($AH571,'Modèle Calcul A-R + Sommaire'!$AX$10:$BO$39,16))</f>
        <v/>
      </c>
      <c r="H571">
        <f>IF($AJ571="","",VLOOKUP($AH571,'Modèle Calcul A-R + Sommaire'!$AX$10:$BO$39,17))</f>
        <v/>
      </c>
      <c r="I571">
        <f>IF($AJ571="","",VLOOKUP($AH571,'Modèle Calcul A-R + Sommaire'!$AX$10:$BO$39,18))</f>
        <v/>
      </c>
      <c r="S571" s="2" t="n"/>
      <c r="AH571" t="n">
        <v>2</v>
      </c>
      <c r="AI571" s="1679">
        <f>'Modèle Calcul A-R + Sommaire'!AY11</f>
        <v/>
      </c>
      <c r="AJ571" s="2516">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69">
      <c r="D572" s="1679">
        <f>'Modèle Calcul A-R + Sommaire'!AY11</f>
        <v/>
      </c>
      <c r="E572" s="2516">
        <f>IF('Modèle Calcul A-R + Sommaire'!BC12&lt;&gt;"",'Modèle Calcul A-R + Sommaire'!BB12,"")</f>
        <v/>
      </c>
      <c r="F572">
        <f>IF($AJ572="","",VLOOKUP($AH572,'Modèle Calcul A-R + Sommaire'!$AX$10:$BO$39,15))</f>
        <v/>
      </c>
      <c r="G572">
        <f>IF($AJ572="","",VLOOKUP($AH572,'Modèle Calcul A-R + Sommaire'!$AX$10:$BO$39,16))</f>
        <v/>
      </c>
      <c r="H572">
        <f>IF($AJ572="","",VLOOKUP($AH572,'Modèle Calcul A-R + Sommaire'!$AX$10:$BO$39,17))</f>
        <v/>
      </c>
      <c r="I572">
        <f>IF($AJ572="","",VLOOKUP($AH572,'Modèle Calcul A-R + Sommaire'!$AX$10:$BO$39,18))</f>
        <v/>
      </c>
      <c r="J572" s="2116" t="n"/>
      <c r="K572" s="2465" t="n"/>
      <c r="L572" s="2465" t="n"/>
      <c r="M572" s="2465" t="n"/>
      <c r="S572" s="2" t="n"/>
      <c r="AH572" t="n">
        <v>3</v>
      </c>
      <c r="AI572" s="1679">
        <f>'Modèle Calcul A-R + Sommaire'!AY12</f>
        <v/>
      </c>
      <c r="AJ572" s="2516">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56">
      <c r="D573" s="1679">
        <f>'Modèle Calcul A-R + Sommaire'!AY12</f>
        <v/>
      </c>
      <c r="E573" s="2516">
        <f>IF('Modèle Calcul A-R + Sommaire'!BC13&lt;&gt;"",'Modèle Calcul A-R + Sommaire'!BB13,"")</f>
        <v/>
      </c>
      <c r="F573">
        <f>IF($AJ573="","",VLOOKUP($AH573,'Modèle Calcul A-R + Sommaire'!$AX$10:$BO$39,15))</f>
        <v/>
      </c>
      <c r="G573">
        <f>IF($AJ573="","",VLOOKUP($AH573,'Modèle Calcul A-R + Sommaire'!$AX$10:$BO$39,16))</f>
        <v/>
      </c>
      <c r="H573">
        <f>IF($AJ573="","",VLOOKUP($AH573,'Modèle Calcul A-R + Sommaire'!$AX$10:$BO$39,17))</f>
        <v/>
      </c>
      <c r="I573">
        <f>IF($AJ573="","",VLOOKUP($AH573,'Modèle Calcul A-R + Sommaire'!$AX$10:$BO$39,18))</f>
        <v/>
      </c>
      <c r="J573" s="825" t="n"/>
      <c r="S573" s="2" t="n"/>
      <c r="AH573" t="n">
        <v>4</v>
      </c>
      <c r="AI573" s="1679">
        <f>'Modèle Calcul A-R + Sommaire'!AY13</f>
        <v/>
      </c>
      <c r="AJ573" s="2516">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1679">
        <f>'Modèle Calcul A-R + Sommaire'!AY13</f>
        <v/>
      </c>
      <c r="E574" s="2516">
        <f>IF('Modèle Calcul A-R + Sommaire'!BC14&lt;&gt;"",'Modèle Calcul A-R + Sommaire'!BB14,"")</f>
        <v/>
      </c>
      <c r="F574">
        <f>IF($AJ574="","",VLOOKUP($AH574,'Modèle Calcul A-R + Sommaire'!$AX$10:$BO$39,15))</f>
        <v/>
      </c>
      <c r="G574">
        <f>IF($AJ574="","",VLOOKUP($AH574,'Modèle Calcul A-R + Sommaire'!$AX$10:$BO$39,16))</f>
        <v/>
      </c>
      <c r="H574">
        <f>IF($AJ574="","",VLOOKUP($AH574,'Modèle Calcul A-R + Sommaire'!$AX$10:$BO$39,17))</f>
        <v/>
      </c>
      <c r="I574">
        <f>IF($AJ574="","",VLOOKUP($AH574,'Modèle Calcul A-R + Sommaire'!$AX$10:$BO$39,18))</f>
        <v/>
      </c>
      <c r="S574" s="2" t="n"/>
      <c r="AH574" t="n">
        <v>5</v>
      </c>
      <c r="AI574" s="1679">
        <f>'Modèle Calcul A-R + Sommaire'!AY14</f>
        <v/>
      </c>
      <c r="AJ574" s="2516">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1679">
        <f>'Modèle Calcul A-R + Sommaire'!AY14</f>
        <v/>
      </c>
      <c r="E575" s="2516">
        <f>IF('Modèle Calcul A-R + Sommaire'!BC15&lt;&gt;"",'Modèle Calcul A-R + Sommaire'!BB15,"")</f>
        <v/>
      </c>
      <c r="F575">
        <f>IF($AJ575="","",VLOOKUP($AH575,'Modèle Calcul A-R + Sommaire'!$AX$10:$BO$39,15))</f>
        <v/>
      </c>
      <c r="G575">
        <f>IF($AJ575="","",VLOOKUP($AH575,'Modèle Calcul A-R + Sommaire'!$AX$10:$BO$39,16))</f>
        <v/>
      </c>
      <c r="H575">
        <f>IF($AJ575="","",VLOOKUP($AH575,'Modèle Calcul A-R + Sommaire'!$AX$10:$BO$39,17))</f>
        <v/>
      </c>
      <c r="I575">
        <f>IF($AJ575="","",VLOOKUP($AH575,'Modèle Calcul A-R + Sommaire'!$AX$10:$BO$39,18))</f>
        <v/>
      </c>
      <c r="S575" s="2" t="n"/>
      <c r="AH575" t="n">
        <v>6</v>
      </c>
      <c r="AI575" s="1719">
        <f>'Modèle Calcul A-R + Sommaire'!AY15</f>
        <v/>
      </c>
      <c r="AJ575" s="2481">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1679">
        <f>'Modèle Calcul A-R + Sommaire'!AY15</f>
        <v/>
      </c>
      <c r="E576" s="2516">
        <f>IF('Modèle Calcul A-R + Sommaire'!BC16&lt;&gt;"",'Modèle Calcul A-R + Sommaire'!BB16,"")</f>
        <v/>
      </c>
      <c r="F576">
        <f>IF($AJ576="","",VLOOKUP($AH576,'Modèle Calcul A-R + Sommaire'!$AX$10:$BO$39,15))</f>
        <v/>
      </c>
      <c r="G576">
        <f>IF($AJ576="","",VLOOKUP($AH576,'Modèle Calcul A-R + Sommaire'!$AX$10:$BO$39,16))</f>
        <v/>
      </c>
      <c r="H576">
        <f>IF($AJ576="","",VLOOKUP($AH576,'Modèle Calcul A-R + Sommaire'!$AX$10:$BO$39,17))</f>
        <v/>
      </c>
      <c r="I576">
        <f>IF($AJ576="","",VLOOKUP($AH576,'Modèle Calcul A-R + Sommaire'!$AX$10:$BO$39,18))</f>
        <v/>
      </c>
      <c r="S576" s="2" t="n"/>
      <c r="AH576" t="n">
        <v>7</v>
      </c>
      <c r="AI576" s="1679">
        <f>'Modèle Calcul A-R + Sommaire'!AY16</f>
        <v/>
      </c>
      <c r="AJ576" s="2516">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1679">
        <f>'Modèle Calcul A-R + Sommaire'!AY16</f>
        <v/>
      </c>
      <c r="E577" s="2516">
        <f>IF('Modèle Calcul A-R + Sommaire'!BC17&lt;&gt;"",'Modèle Calcul A-R + Sommaire'!BB17,"")</f>
        <v/>
      </c>
      <c r="F577">
        <f>IF($AJ577="","",VLOOKUP($AH577,'Modèle Calcul A-R + Sommaire'!$AX$10:$BO$39,15))</f>
        <v/>
      </c>
      <c r="G577">
        <f>IF($AJ577="","",VLOOKUP($AH577,'Modèle Calcul A-R + Sommaire'!$AX$10:$BO$39,16))</f>
        <v/>
      </c>
      <c r="H577">
        <f>IF($AJ577="","",VLOOKUP($AH577,'Modèle Calcul A-R + Sommaire'!$AX$10:$BO$39,17))</f>
        <v/>
      </c>
      <c r="I577">
        <f>IF($AJ577="","",VLOOKUP($AH577,'Modèle Calcul A-R + Sommaire'!$AX$10:$BO$39,18))</f>
        <v/>
      </c>
      <c r="S577" s="2" t="n"/>
      <c r="AH577" t="n">
        <v>8</v>
      </c>
      <c r="AI577" s="1679">
        <f>'Modèle Calcul A-R + Sommaire'!AY17</f>
        <v/>
      </c>
      <c r="AJ577" s="2516">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1679">
        <f>'Modèle Calcul A-R + Sommaire'!AY17</f>
        <v/>
      </c>
      <c r="E578" s="2516">
        <f>IF('Modèle Calcul A-R + Sommaire'!BC18&lt;&gt;"",'Modèle Calcul A-R + Sommaire'!BB18,"")</f>
        <v/>
      </c>
      <c r="F578">
        <f>IF($AJ578="","",VLOOKUP($AH578,'Modèle Calcul A-R + Sommaire'!$AX$10:$BO$39,15))</f>
        <v/>
      </c>
      <c r="G578">
        <f>IF($AJ578="","",VLOOKUP($AH578,'Modèle Calcul A-R + Sommaire'!$AX$10:$BO$39,16))</f>
        <v/>
      </c>
      <c r="H578">
        <f>IF($AJ578="","",VLOOKUP($AH578,'Modèle Calcul A-R + Sommaire'!$AX$10:$BO$39,17))</f>
        <v/>
      </c>
      <c r="I578">
        <f>IF($AJ578="","",VLOOKUP($AH578,'Modèle Calcul A-R + Sommaire'!$AX$10:$BO$39,18))</f>
        <v/>
      </c>
      <c r="S578" s="2" t="n"/>
      <c r="AH578" t="n">
        <v>9</v>
      </c>
      <c r="AI578" s="1679">
        <f>'Modèle Calcul A-R + Sommaire'!AY18</f>
        <v/>
      </c>
      <c r="AJ578" s="2516">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1679">
        <f>'Modèle Calcul A-R + Sommaire'!AY18</f>
        <v/>
      </c>
      <c r="E579" s="2516">
        <f>IF('Modèle Calcul A-R + Sommaire'!BC19&lt;&gt;"",'Modèle Calcul A-R + Sommaire'!BB19,"")</f>
        <v/>
      </c>
      <c r="F579">
        <f>IF($AJ579="","",VLOOKUP($AH579,'Modèle Calcul A-R + Sommaire'!$AX$10:$BO$39,15))</f>
        <v/>
      </c>
      <c r="G579">
        <f>IF($AJ579="","",VLOOKUP($AH579,'Modèle Calcul A-R + Sommaire'!$AX$10:$BO$39,16))</f>
        <v/>
      </c>
      <c r="H579">
        <f>IF($AJ579="","",VLOOKUP($AH579,'Modèle Calcul A-R + Sommaire'!$AX$10:$BO$39,17))</f>
        <v/>
      </c>
      <c r="I579">
        <f>IF($AJ579="","",VLOOKUP($AH579,'Modèle Calcul A-R + Sommaire'!$AX$10:$BO$39,18))</f>
        <v/>
      </c>
      <c r="S579" s="2" t="n"/>
      <c r="AH579" t="n">
        <v>10</v>
      </c>
      <c r="AI579" s="1679">
        <f>'Modèle Calcul A-R + Sommaire'!AY19</f>
        <v/>
      </c>
      <c r="AJ579" s="2516">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1679">
        <f>'Modèle Calcul A-R + Sommaire'!AY19</f>
        <v/>
      </c>
      <c r="E580" s="2516">
        <f>IF('Modèle Calcul A-R + Sommaire'!BC20&lt;&gt;"",'Modèle Calcul A-R + Sommaire'!BB20,"")</f>
        <v/>
      </c>
      <c r="F580">
        <f>IF($AJ580="","",VLOOKUP($AH580,'Modèle Calcul A-R + Sommaire'!$AX$10:$BO$39,15))</f>
        <v/>
      </c>
      <c r="G580">
        <f>IF($AJ580="","",VLOOKUP($AH580,'Modèle Calcul A-R + Sommaire'!$AX$10:$BO$39,16))</f>
        <v/>
      </c>
      <c r="H580">
        <f>IF($AJ580="","",VLOOKUP($AH580,'Modèle Calcul A-R + Sommaire'!$AX$10:$BO$39,17))</f>
        <v/>
      </c>
      <c r="I580">
        <f>IF($AJ580="","",VLOOKUP($AH580,'Modèle Calcul A-R + Sommaire'!$AX$10:$BO$39,18))</f>
        <v/>
      </c>
      <c r="S580" s="2" t="n"/>
      <c r="AH580" t="n">
        <v>11</v>
      </c>
      <c r="AI580" s="1679">
        <f>'Modèle Calcul A-R + Sommaire'!AY20</f>
        <v/>
      </c>
      <c r="AJ580" s="2516">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1679">
        <f>'Modèle Calcul A-R + Sommaire'!AY20</f>
        <v/>
      </c>
      <c r="E581" s="2516">
        <f>IF('Modèle Calcul A-R + Sommaire'!BC21&lt;&gt;"",'Modèle Calcul A-R + Sommaire'!BB21,"")</f>
        <v/>
      </c>
      <c r="F581">
        <f>IF($AJ581="","",VLOOKUP($AH581,'Modèle Calcul A-R + Sommaire'!$AX$10:$BO$39,15))</f>
        <v/>
      </c>
      <c r="G581">
        <f>IF($AJ581="","",VLOOKUP($AH581,'Modèle Calcul A-R + Sommaire'!$AX$10:$BO$39,16))</f>
        <v/>
      </c>
      <c r="H581">
        <f>IF($AJ581="","",VLOOKUP($AH581,'Modèle Calcul A-R + Sommaire'!$AX$10:$BO$39,17))</f>
        <v/>
      </c>
      <c r="I581">
        <f>IF($AJ581="","",VLOOKUP($AH581,'Modèle Calcul A-R + Sommaire'!$AX$10:$BO$39,18))</f>
        <v/>
      </c>
      <c r="S581" s="2" t="n"/>
      <c r="AH581" t="n">
        <v>12</v>
      </c>
      <c r="AI581" s="1679">
        <f>'Modèle Calcul A-R + Sommaire'!AY21</f>
        <v/>
      </c>
      <c r="AJ581" s="2516">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1679">
        <f>'Modèle Calcul A-R + Sommaire'!AY21</f>
        <v/>
      </c>
      <c r="E582" s="2516">
        <f>IF('Modèle Calcul A-R + Sommaire'!BC22&lt;&gt;"",'Modèle Calcul A-R + Sommaire'!BB22,"")</f>
        <v/>
      </c>
      <c r="F582">
        <f>IF($AJ582="","",VLOOKUP($AH582,'Modèle Calcul A-R + Sommaire'!$AX$10:$BO$39,15))</f>
        <v/>
      </c>
      <c r="G582">
        <f>IF($AJ582="","",VLOOKUP($AH582,'Modèle Calcul A-R + Sommaire'!$AX$10:$BO$39,16))</f>
        <v/>
      </c>
      <c r="H582">
        <f>IF($AJ582="","",VLOOKUP($AH582,'Modèle Calcul A-R + Sommaire'!$AX$10:$BO$39,17))</f>
        <v/>
      </c>
      <c r="I582">
        <f>IF($AJ582="","",VLOOKUP($AH582,'Modèle Calcul A-R + Sommaire'!$AX$10:$BO$39,18))</f>
        <v/>
      </c>
      <c r="S582" s="2" t="n"/>
      <c r="AH582" t="n">
        <v>13</v>
      </c>
      <c r="AI582" s="1679">
        <f>'Modèle Calcul A-R + Sommaire'!AY22</f>
        <v/>
      </c>
      <c r="AJ582" s="2516">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1679">
        <f>'Modèle Calcul A-R + Sommaire'!AY22</f>
        <v/>
      </c>
      <c r="E583" s="2516">
        <f>IF('Modèle Calcul A-R + Sommaire'!BC23&lt;&gt;"",'Modèle Calcul A-R + Sommaire'!BB23,"")</f>
        <v/>
      </c>
      <c r="F583">
        <f>IF($AJ583="","",VLOOKUP($AH583,'Modèle Calcul A-R + Sommaire'!$AX$10:$BO$39,15))</f>
        <v/>
      </c>
      <c r="G583">
        <f>IF($AJ583="","",VLOOKUP($AH583,'Modèle Calcul A-R + Sommaire'!$AX$10:$BO$39,16))</f>
        <v/>
      </c>
      <c r="H583">
        <f>IF($AJ583="","",VLOOKUP($AH583,'Modèle Calcul A-R + Sommaire'!$AX$10:$BO$39,17))</f>
        <v/>
      </c>
      <c r="I583">
        <f>IF($AJ583="","",VLOOKUP($AH583,'Modèle Calcul A-R + Sommaire'!$AX$10:$BO$39,18))</f>
        <v/>
      </c>
      <c r="S583" s="2" t="n"/>
      <c r="AH583" t="n">
        <v>14</v>
      </c>
      <c r="AI583" s="1679">
        <f>'Modèle Calcul A-R + Sommaire'!AY23</f>
        <v/>
      </c>
      <c r="AJ583" s="2516">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1679">
        <f>'Modèle Calcul A-R + Sommaire'!AY23</f>
        <v/>
      </c>
      <c r="E584" s="2516">
        <f>IF('Modèle Calcul A-R + Sommaire'!BC24&lt;&gt;"",'Modèle Calcul A-R + Sommaire'!BB24,"")</f>
        <v/>
      </c>
      <c r="F584">
        <f>IF($AJ584="","",VLOOKUP($AH584,'Modèle Calcul A-R + Sommaire'!$AX$10:$BO$39,15))</f>
        <v/>
      </c>
      <c r="G584">
        <f>IF($AJ584="","",VLOOKUP($AH584,'Modèle Calcul A-R + Sommaire'!$AX$10:$BO$39,16))</f>
        <v/>
      </c>
      <c r="H584">
        <f>IF($AJ584="","",VLOOKUP($AH584,'Modèle Calcul A-R + Sommaire'!$AX$10:$BO$39,17))</f>
        <v/>
      </c>
      <c r="I584">
        <f>IF($AJ584="","",VLOOKUP($AH584,'Modèle Calcul A-R + Sommaire'!$AX$10:$BO$39,18))</f>
        <v/>
      </c>
      <c r="S584" s="2" t="n"/>
      <c r="AH584" t="n">
        <v>15</v>
      </c>
      <c r="AI584" s="1679">
        <f>'Modèle Calcul A-R + Sommaire'!AY24</f>
        <v/>
      </c>
      <c r="AJ584" s="2516">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1679">
        <f>'Modèle Calcul A-R + Sommaire'!AY24</f>
        <v/>
      </c>
      <c r="E585" s="2516">
        <f>IF('Modèle Calcul A-R + Sommaire'!BC25&lt;&gt;"",'Modèle Calcul A-R + Sommaire'!BB25,"")</f>
        <v/>
      </c>
      <c r="F585">
        <f>IF($AJ585="","",VLOOKUP($AH585,'Modèle Calcul A-R + Sommaire'!$AX$10:$BO$39,15))</f>
        <v/>
      </c>
      <c r="G585">
        <f>IF($AJ585="","",VLOOKUP($AH585,'Modèle Calcul A-R + Sommaire'!$AX$10:$BO$39,16))</f>
        <v/>
      </c>
      <c r="H585">
        <f>IF($AJ585="","",VLOOKUP($AH585,'Modèle Calcul A-R + Sommaire'!$AX$10:$BO$39,17))</f>
        <v/>
      </c>
      <c r="I585">
        <f>IF($AJ585="","",VLOOKUP($AH585,'Modèle Calcul A-R + Sommaire'!$AX$10:$BO$39,18))</f>
        <v/>
      </c>
      <c r="S585" s="2" t="n"/>
      <c r="AH585" t="n">
        <v>16</v>
      </c>
      <c r="AI585" s="1679">
        <f>'Modèle Calcul A-R + Sommaire'!AY25</f>
        <v/>
      </c>
      <c r="AJ585" s="2516">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1679">
        <f>'Modèle Calcul A-R + Sommaire'!AY25</f>
        <v/>
      </c>
      <c r="E586" s="2516">
        <f>IF('Modèle Calcul A-R + Sommaire'!BC26&lt;&gt;"",'Modèle Calcul A-R + Sommaire'!BB26,"")</f>
        <v/>
      </c>
      <c r="F586">
        <f>IF($AJ586="","",VLOOKUP($AH586,'Modèle Calcul A-R + Sommaire'!$AX$10:$BO$39,15))</f>
        <v/>
      </c>
      <c r="G586">
        <f>IF($AJ586="","",VLOOKUP($AH586,'Modèle Calcul A-R + Sommaire'!$AX$10:$BO$39,16))</f>
        <v/>
      </c>
      <c r="H586">
        <f>IF($AJ586="","",VLOOKUP($AH586,'Modèle Calcul A-R + Sommaire'!$AX$10:$BO$39,17))</f>
        <v/>
      </c>
      <c r="I586">
        <f>IF($AJ586="","",VLOOKUP($AH586,'Modèle Calcul A-R + Sommaire'!$AX$10:$BO$39,18))</f>
        <v/>
      </c>
      <c r="S586" s="2" t="n"/>
      <c r="AH586" t="n">
        <v>17</v>
      </c>
      <c r="AI586" s="1679">
        <f>'Modèle Calcul A-R + Sommaire'!AY26</f>
        <v/>
      </c>
      <c r="AJ586" s="2516">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1679">
        <f>'Modèle Calcul A-R + Sommaire'!AY26</f>
        <v/>
      </c>
      <c r="E587" s="2516">
        <f>IF('Modèle Calcul A-R + Sommaire'!BC27&lt;&gt;"",'Modèle Calcul A-R + Sommaire'!BB27,"")</f>
        <v/>
      </c>
      <c r="F587">
        <f>IF($AJ587="","",VLOOKUP($AH587,'Modèle Calcul A-R + Sommaire'!$AX$10:$BO$39,15))</f>
        <v/>
      </c>
      <c r="G587">
        <f>IF($AJ587="","",VLOOKUP($AH587,'Modèle Calcul A-R + Sommaire'!$AX$10:$BO$39,16))</f>
        <v/>
      </c>
      <c r="H587">
        <f>IF($AJ587="","",VLOOKUP($AH587,'Modèle Calcul A-R + Sommaire'!$AX$10:$BO$39,17))</f>
        <v/>
      </c>
      <c r="I587">
        <f>IF($AJ587="","",VLOOKUP($AH587,'Modèle Calcul A-R + Sommaire'!$AX$10:$BO$39,18))</f>
        <v/>
      </c>
      <c r="S587" s="2" t="n"/>
      <c r="AH587" t="n">
        <v>18</v>
      </c>
      <c r="AI587" s="1679">
        <f>'Modèle Calcul A-R + Sommaire'!AY27</f>
        <v/>
      </c>
      <c r="AJ587" s="2516">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1679">
        <f>'Modèle Calcul A-R + Sommaire'!AY27</f>
        <v/>
      </c>
      <c r="E588" s="2516">
        <f>IF('Modèle Calcul A-R + Sommaire'!BC28&lt;&gt;"",'Modèle Calcul A-R + Sommaire'!BB28,"")</f>
        <v/>
      </c>
      <c r="F588">
        <f>IF($AJ588="","",VLOOKUP($AH588,'Modèle Calcul A-R + Sommaire'!$AX$10:$BO$39,15))</f>
        <v/>
      </c>
      <c r="G588">
        <f>IF($AJ588="","",VLOOKUP($AH588,'Modèle Calcul A-R + Sommaire'!$AX$10:$BO$39,16))</f>
        <v/>
      </c>
      <c r="H588">
        <f>IF($AJ588="","",VLOOKUP($AH588,'Modèle Calcul A-R + Sommaire'!$AX$10:$BO$39,17))</f>
        <v/>
      </c>
      <c r="I588">
        <f>IF($AJ588="","",VLOOKUP($AH588,'Modèle Calcul A-R + Sommaire'!$AX$10:$BO$39,18))</f>
        <v/>
      </c>
      <c r="S588" s="2" t="n"/>
      <c r="AH588" t="n">
        <v>19</v>
      </c>
      <c r="AI588" s="1679">
        <f>'Modèle Calcul A-R + Sommaire'!AY28</f>
        <v/>
      </c>
      <c r="AJ588" s="2516">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56">
      <c r="D589" s="1679">
        <f>'Modèle Calcul A-R + Sommaire'!AY28</f>
        <v/>
      </c>
      <c r="E589" s="2516">
        <f>IF('Modèle Calcul A-R + Sommaire'!BC29&lt;&gt;"",'Modèle Calcul A-R + Sommaire'!BB29,"")</f>
        <v/>
      </c>
      <c r="F589">
        <f>IF($AJ589="","",VLOOKUP($AH589,'Modèle Calcul A-R + Sommaire'!$AX$10:$BO$39,15))</f>
        <v/>
      </c>
      <c r="G589">
        <f>IF($AJ589="","",VLOOKUP($AH589,'Modèle Calcul A-R + Sommaire'!$AX$10:$BO$39,16))</f>
        <v/>
      </c>
      <c r="H589">
        <f>IF($AJ589="","",VLOOKUP($AH589,'Modèle Calcul A-R + Sommaire'!$AX$10:$BO$39,17))</f>
        <v/>
      </c>
      <c r="I589">
        <f>IF($AJ589="","",VLOOKUP($AH589,'Modèle Calcul A-R + Sommaire'!$AX$10:$BO$39,18))</f>
        <v/>
      </c>
      <c r="L589" s="2271" t="inlineStr">
        <is>
          <t xml:space="preserve">À propos : </t>
        </is>
      </c>
      <c r="M589" s="80">
        <f>'Modèle Calcul A-R + Sommaire'!BD3</f>
        <v/>
      </c>
      <c r="S589" s="2" t="n"/>
      <c r="AH589" t="n">
        <v>20</v>
      </c>
      <c r="AI589" s="1679">
        <f>'Modèle Calcul A-R + Sommaire'!AY29</f>
        <v/>
      </c>
      <c r="AJ589" s="2516">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56">
      <c r="D590" s="1679">
        <f>'Modèle Calcul A-R + Sommaire'!AY29</f>
        <v/>
      </c>
      <c r="E590" s="2516">
        <f>IF('Modèle Calcul A-R + Sommaire'!BC30&lt;&gt;"",'Modèle Calcul A-R + Sommaire'!BB30,"")</f>
        <v/>
      </c>
      <c r="F590">
        <f>IF($AJ590="","",VLOOKUP($AH590,'Modèle Calcul A-R + Sommaire'!$AX$10:$BO$39,15))</f>
        <v/>
      </c>
      <c r="G590">
        <f>IF($AJ590="","",VLOOKUP($AH590,'Modèle Calcul A-R + Sommaire'!$AX$10:$BO$39,16))</f>
        <v/>
      </c>
      <c r="H590">
        <f>IF($AJ590="","",VLOOKUP($AH590,'Modèle Calcul A-R + Sommaire'!$AX$10:$BO$39,17))</f>
        <v/>
      </c>
      <c r="I590">
        <f>IF($AJ590="","",VLOOKUP($AH590,'Modèle Calcul A-R + Sommaire'!$AX$10:$BO$39,18))</f>
        <v/>
      </c>
      <c r="J590" s="2268" t="n"/>
      <c r="K590" s="2268" t="n"/>
      <c r="L590" s="2268" t="n"/>
      <c r="O590" s="2268" t="n"/>
      <c r="S590" s="2" t="n"/>
      <c r="AH590" t="n">
        <v>21</v>
      </c>
      <c r="AI590" s="1679">
        <f>'Modèle Calcul A-R + Sommaire'!AY30</f>
        <v/>
      </c>
      <c r="AJ590" s="2516">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1679">
        <f>'Modèle Calcul A-R + Sommaire'!AY30</f>
        <v/>
      </c>
      <c r="E591" s="2516">
        <f>IF('Modèle Calcul A-R + Sommaire'!BC31&lt;&gt;"",'Modèle Calcul A-R + Sommaire'!BB31,"")</f>
        <v/>
      </c>
      <c r="F591">
        <f>IF($AJ591="","",VLOOKUP($AH591,'Modèle Calcul A-R + Sommaire'!$AX$10:$BO$39,15))</f>
        <v/>
      </c>
      <c r="G591">
        <f>IF($AJ591="","",VLOOKUP($AH591,'Modèle Calcul A-R + Sommaire'!$AX$10:$BO$39,16))</f>
        <v/>
      </c>
      <c r="H591">
        <f>IF($AJ591="","",VLOOKUP($AH591,'Modèle Calcul A-R + Sommaire'!$AX$10:$BO$39,17))</f>
        <v/>
      </c>
      <c r="I591">
        <f>IF($AJ591="","",VLOOKUP($AH591,'Modèle Calcul A-R + Sommaire'!$AX$10:$BO$39,18))</f>
        <v/>
      </c>
      <c r="S591" s="2" t="n"/>
      <c r="AH591" t="n">
        <v>22</v>
      </c>
      <c r="AI591" s="1679">
        <f>'Modèle Calcul A-R + Sommaire'!AY31</f>
        <v/>
      </c>
      <c r="AJ591" s="2516">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1679">
        <f>'Modèle Calcul A-R + Sommaire'!AY31</f>
        <v/>
      </c>
      <c r="E592" s="2516">
        <f>IF('Modèle Calcul A-R + Sommaire'!BC32&lt;&gt;"",'Modèle Calcul A-R + Sommaire'!BB32,"")</f>
        <v/>
      </c>
      <c r="F592">
        <f>IF($AJ592="","",VLOOKUP($AH592,'Modèle Calcul A-R + Sommaire'!$AX$10:$BO$39,15))</f>
        <v/>
      </c>
      <c r="G592">
        <f>IF($AJ592="","",VLOOKUP($AH592,'Modèle Calcul A-R + Sommaire'!$AX$10:$BO$39,16))</f>
        <v/>
      </c>
      <c r="H592">
        <f>IF($AJ592="","",VLOOKUP($AH592,'Modèle Calcul A-R + Sommaire'!$AX$10:$BO$39,17))</f>
        <v/>
      </c>
      <c r="I592">
        <f>IF($AJ592="","",VLOOKUP($AH592,'Modèle Calcul A-R + Sommaire'!$AX$10:$BO$39,18))</f>
        <v/>
      </c>
      <c r="S592" s="2" t="n"/>
      <c r="AH592" t="n">
        <v>23</v>
      </c>
      <c r="AI592" s="1679">
        <f>'Modèle Calcul A-R + Sommaire'!AY32</f>
        <v/>
      </c>
      <c r="AJ592" s="2516">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1679">
        <f>'Modèle Calcul A-R + Sommaire'!AY32</f>
        <v/>
      </c>
      <c r="E593" s="2516">
        <f>IF('Modèle Calcul A-R + Sommaire'!BC33&lt;&gt;"",'Modèle Calcul A-R + Sommaire'!BB33,"")</f>
        <v/>
      </c>
      <c r="F593">
        <f>IF($AJ593="","",VLOOKUP($AH593,'Modèle Calcul A-R + Sommaire'!$AX$10:$BO$39,15))</f>
        <v/>
      </c>
      <c r="G593">
        <f>IF($AJ593="","",VLOOKUP($AH593,'Modèle Calcul A-R + Sommaire'!$AX$10:$BO$39,16))</f>
        <v/>
      </c>
      <c r="H593">
        <f>IF($AJ593="","",VLOOKUP($AH593,'Modèle Calcul A-R + Sommaire'!$AX$10:$BO$39,17))</f>
        <v/>
      </c>
      <c r="I593">
        <f>IF($AJ593="","",VLOOKUP($AH593,'Modèle Calcul A-R + Sommaire'!$AX$10:$BO$39,18))</f>
        <v/>
      </c>
      <c r="S593" s="2" t="n"/>
      <c r="AH593" t="n">
        <v>24</v>
      </c>
      <c r="AI593" s="1679">
        <f>'Modèle Calcul A-R + Sommaire'!AY33</f>
        <v/>
      </c>
      <c r="AJ593" s="2516">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1679">
        <f>'Modèle Calcul A-R + Sommaire'!AY33</f>
        <v/>
      </c>
      <c r="E594" s="2516">
        <f>IF('Modèle Calcul A-R + Sommaire'!BC34&lt;&gt;"",'Modèle Calcul A-R + Sommaire'!BB34,"")</f>
        <v/>
      </c>
      <c r="F594">
        <f>IF($AJ594="","",VLOOKUP($AH594,'Modèle Calcul A-R + Sommaire'!$AX$10:$BO$39,15))</f>
        <v/>
      </c>
      <c r="G594">
        <f>IF($AJ594="","",VLOOKUP($AH594,'Modèle Calcul A-R + Sommaire'!$AX$10:$BO$39,16))</f>
        <v/>
      </c>
      <c r="H594">
        <f>IF($AJ594="","",VLOOKUP($AH594,'Modèle Calcul A-R + Sommaire'!$AX$10:$BO$39,17))</f>
        <v/>
      </c>
      <c r="I594">
        <f>IF($AJ594="","",VLOOKUP($AH594,'Modèle Calcul A-R + Sommaire'!$AX$10:$BO$39,18))</f>
        <v/>
      </c>
      <c r="S594" s="2" t="n"/>
      <c r="AH594" t="n">
        <v>25</v>
      </c>
      <c r="AI594" s="1679">
        <f>'Modèle Calcul A-R + Sommaire'!AY34</f>
        <v/>
      </c>
      <c r="AJ594" s="2516">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1679">
        <f>'Modèle Calcul A-R + Sommaire'!AY34</f>
        <v/>
      </c>
      <c r="E595" s="2516">
        <f>IF('Modèle Calcul A-R + Sommaire'!BC35&lt;&gt;"",'Modèle Calcul A-R + Sommaire'!BB35,"")</f>
        <v/>
      </c>
      <c r="F595">
        <f>IF($AJ595="","",VLOOKUP($AH595,'Modèle Calcul A-R + Sommaire'!$AX$10:$BO$39,15))</f>
        <v/>
      </c>
      <c r="G595">
        <f>IF($AJ595="","",VLOOKUP($AH595,'Modèle Calcul A-R + Sommaire'!$AX$10:$BO$39,16))</f>
        <v/>
      </c>
      <c r="H595">
        <f>IF($AJ595="","",VLOOKUP($AH595,'Modèle Calcul A-R + Sommaire'!$AX$10:$BO$39,17))</f>
        <v/>
      </c>
      <c r="I595">
        <f>IF($AJ595="","",VLOOKUP($AH595,'Modèle Calcul A-R + Sommaire'!$AX$10:$BO$39,18))</f>
        <v/>
      </c>
      <c r="S595" s="2" t="n"/>
      <c r="AH595" t="n">
        <v>26</v>
      </c>
      <c r="AI595" s="1679">
        <f>'Modèle Calcul A-R + Sommaire'!AY35</f>
        <v/>
      </c>
      <c r="AJ595" s="2516">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57" t="n"/>
      <c r="D596" s="1679">
        <f>'Modèle Calcul A-R + Sommaire'!AY35</f>
        <v/>
      </c>
      <c r="E596" s="2516">
        <f>IF('Modèle Calcul A-R + Sommaire'!BC36&lt;&gt;"",'Modèle Calcul A-R + Sommaire'!BB36,"")</f>
        <v/>
      </c>
      <c r="F596">
        <f>IF($AJ596="","",VLOOKUP($AH596,'Modèle Calcul A-R + Sommaire'!$AX$10:$BO$39,15))</f>
        <v/>
      </c>
      <c r="G596">
        <f>IF($AJ596="","",VLOOKUP($AH596,'Modèle Calcul A-R + Sommaire'!$AX$10:$BO$39,16))</f>
        <v/>
      </c>
      <c r="H596">
        <f>IF($AJ596="","",VLOOKUP($AH596,'Modèle Calcul A-R + Sommaire'!$AX$10:$BO$39,17))</f>
        <v/>
      </c>
      <c r="I596">
        <f>IF($AJ596="","",VLOOKUP($AH596,'Modèle Calcul A-R + Sommaire'!$AX$10:$BO$39,18))</f>
        <v/>
      </c>
      <c r="S596" s="2" t="n"/>
      <c r="AH596" t="n">
        <v>27</v>
      </c>
      <c r="AI596" s="1679">
        <f>'Modèle Calcul A-R + Sommaire'!AY36</f>
        <v/>
      </c>
      <c r="AJ596" s="2516">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57" t="n"/>
      <c r="D597" s="1679">
        <f>'Modèle Calcul A-R + Sommaire'!AY36</f>
        <v/>
      </c>
      <c r="E597" s="2516">
        <f>IF('Modèle Calcul A-R + Sommaire'!BC37&lt;&gt;"",'Modèle Calcul A-R + Sommaire'!BB37,"")</f>
        <v/>
      </c>
      <c r="F597">
        <f>IF($AJ597="","",VLOOKUP($AH597,'Modèle Calcul A-R + Sommaire'!$AX$10:$BO$39,15))</f>
        <v/>
      </c>
      <c r="G597">
        <f>IF($AJ597="","",VLOOKUP($AH597,'Modèle Calcul A-R + Sommaire'!$AX$10:$BO$39,16))</f>
        <v/>
      </c>
      <c r="H597">
        <f>IF($AJ597="","",VLOOKUP($AH597,'Modèle Calcul A-R + Sommaire'!$AX$10:$BO$39,17))</f>
        <v/>
      </c>
      <c r="I597">
        <f>IF($AJ597="","",VLOOKUP($AH597,'Modèle Calcul A-R + Sommaire'!$AX$10:$BO$39,18))</f>
        <v/>
      </c>
      <c r="S597" s="2" t="n"/>
      <c r="AH597" t="n">
        <v>28</v>
      </c>
      <c r="AI597" s="1679">
        <f>'Modèle Calcul A-R + Sommaire'!AY37</f>
        <v/>
      </c>
      <c r="AJ597" s="2516">
        <f>IF('Modèle Calcul A-R + Sommaire'!BF37&lt;&gt;"",'Modèle Calcul A-R + Sommaire'!BE37,"")</f>
        <v/>
      </c>
    </row>
    <row r="598">
      <c r="C598" s="2457" t="n"/>
      <c r="D598" s="1679">
        <f>'Modèle Calcul A-R + Sommaire'!AY37</f>
        <v/>
      </c>
      <c r="E598" s="2516">
        <f>IF('Modèle Calcul A-R + Sommaire'!BC38&lt;&gt;"",'Modèle Calcul A-R + Sommaire'!BB38,"")</f>
        <v/>
      </c>
      <c r="S598" s="2" t="n"/>
      <c r="AH598" t="n">
        <v>29</v>
      </c>
      <c r="AI598" s="1679">
        <f>'Modèle Calcul A-R + Sommaire'!AY38</f>
        <v/>
      </c>
      <c r="AJ598" s="2516">
        <f>IF('Modèle Calcul A-R + Sommaire'!BF38&lt;&gt;"",'Modèle Calcul A-R + Sommaire'!BE38,"")</f>
        <v/>
      </c>
    </row>
    <row r="599">
      <c r="C599" s="2457" t="n"/>
      <c r="D599" s="1679">
        <f>'Modèle Calcul A-R + Sommaire'!AY38</f>
        <v/>
      </c>
      <c r="E599" s="2516">
        <f>IF('Modèle Calcul A-R + Sommaire'!BC39&lt;&gt;"",'Modèle Calcul A-R + Sommaire'!BB39,"")</f>
        <v/>
      </c>
      <c r="S599" s="2" t="n"/>
      <c r="AH599" t="n">
        <v>30</v>
      </c>
      <c r="AI599" s="1679">
        <f>'Modèle Calcul A-R + Sommaire'!AY39</f>
        <v/>
      </c>
      <c r="AJ599" s="2516">
        <f>IF('Modèle Calcul A-R + Sommaire'!BF39&lt;&gt;"",'Modèle Calcul A-R + Sommaire'!BE39,"")</f>
        <v/>
      </c>
    </row>
    <row r="600">
      <c r="C600" s="2457" t="n"/>
      <c r="D600" s="1679">
        <f>'Modèle Calcul A-R + Sommaire'!AY39</f>
        <v/>
      </c>
      <c r="E600" s="2516">
        <f>IF('Modèle Calcul A-R + Sommaire'!BC40&lt;&gt;"",'Modèle Calcul A-R + Sommaire'!BB40,"")</f>
        <v/>
      </c>
      <c r="S600" s="2" t="n"/>
      <c r="AI600" s="291" t="n"/>
      <c r="AJ600" s="2457" t="n"/>
    </row>
    <row r="601">
      <c r="C601" s="2457" t="n"/>
      <c r="D601" s="2" t="n"/>
      <c r="S601" s="2" t="n"/>
      <c r="AI601" s="291" t="n"/>
      <c r="AJ601" s="90">
        <f>'Modèle Calcul A-R + Sommaire'!AY41</f>
        <v/>
      </c>
    </row>
    <row r="602" ht="34" customHeight="1" s="2456">
      <c r="C602" s="2526"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5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56">
      <c r="B605" s="1744" t="n"/>
      <c r="F605" s="1761" t="inlineStr">
        <is>
          <t>https://plotly.com/python/v3/linear-gauge-chart/#reference</t>
        </is>
      </c>
    </row>
    <row r="606" ht="19" customHeight="1" s="2456">
      <c r="B606" s="1744" t="n"/>
      <c r="F606" s="1680" t="n"/>
    </row>
    <row r="607" ht="19" customHeight="1" s="2456">
      <c r="B607" s="1744" t="n"/>
      <c r="G607" s="1758" t="n"/>
      <c r="H607" s="1758" t="n"/>
      <c r="I607" s="2457" t="inlineStr">
        <is>
          <t>Exemple</t>
        </is>
      </c>
      <c r="J607" s="1758" t="n"/>
    </row>
    <row r="608" ht="26" customHeight="1" s="2456">
      <c r="G608" s="291" t="n"/>
    </row>
    <row r="609" ht="27" customHeight="1" s="2456">
      <c r="G609" s="291" t="n"/>
    </row>
    <row r="610" ht="24" customHeight="1" s="2456">
      <c r="C610" s="2457" t="n"/>
      <c r="D610" s="1253" t="inlineStr">
        <is>
          <t>Avant</t>
        </is>
      </c>
      <c r="E610" s="1253" t="inlineStr">
        <is>
          <t>Écart</t>
        </is>
      </c>
      <c r="F610" s="1253" t="inlineStr">
        <is>
          <t>Conclusion</t>
        </is>
      </c>
    </row>
    <row r="611" ht="24" customHeight="1" s="2456">
      <c r="C611" s="2" t="inlineStr">
        <is>
          <t>Relation entre les deux parents</t>
        </is>
      </c>
      <c r="D611" s="1671">
        <f>Diff!J63</f>
        <v/>
      </c>
      <c r="E611" s="1671">
        <f>Diff!K63</f>
        <v/>
      </c>
      <c r="F611" s="1679">
        <f>Diff!AJ54</f>
        <v/>
      </c>
    </row>
    <row r="612" ht="24" customHeight="1" s="2456">
      <c r="C612" s="2" t="inlineStr">
        <is>
          <t>Relation entre l'enfant et le coparent</t>
        </is>
      </c>
      <c r="D612" s="1671">
        <f>Diff!J40</f>
        <v/>
      </c>
      <c r="E612" s="1671">
        <f>Diff!AI56</f>
        <v/>
      </c>
      <c r="F612" s="1679">
        <f>Diff!AJ56</f>
        <v/>
      </c>
    </row>
    <row r="613" ht="24" customHeight="1" s="2456">
      <c r="C613" s="2" t="inlineStr">
        <is>
          <t>Relation entre l'enfant et le parent répondant</t>
        </is>
      </c>
      <c r="D613" s="1671">
        <f>Diff!J19</f>
        <v/>
      </c>
      <c r="E613" s="1671">
        <f>Diff!K19</f>
        <v/>
      </c>
      <c r="F613" s="1679">
        <f>Diff!AJ57</f>
        <v/>
      </c>
    </row>
    <row r="614" ht="24" customHeight="1" s="2456">
      <c r="C614" s="2" t="inlineStr">
        <is>
          <t>Relation entre l'enfant et la famille élargie du parent répondant</t>
        </is>
      </c>
      <c r="D614" s="1671">
        <f>Diff!J25</f>
        <v/>
      </c>
      <c r="E614" s="1671">
        <f>Diff!K25</f>
        <v/>
      </c>
      <c r="F614" s="1679">
        <f>Diff!AJ58</f>
        <v/>
      </c>
    </row>
    <row r="615" ht="24" customHeight="1" s="2456">
      <c r="G615" s="291" t="n"/>
    </row>
    <row r="616" ht="24" customHeight="1" s="2456">
      <c r="G616" s="291" t="n"/>
    </row>
    <row r="617" ht="24" customHeight="1" s="2456">
      <c r="G617" s="291" t="n"/>
    </row>
    <row r="618" ht="24" customHeight="1" s="2456">
      <c r="G618" s="291" t="n"/>
    </row>
    <row r="619" ht="24" customHeight="1" s="2456">
      <c r="G619" s="291" t="n"/>
      <c r="H619" s="1763" t="inlineStr">
        <is>
          <t>Échelle excellente à absente</t>
        </is>
      </c>
    </row>
    <row r="620">
      <c r="C620" s="291" t="n"/>
      <c r="D620" s="2" t="n"/>
      <c r="E620" s="2" t="n"/>
      <c r="F620" s="2457" t="n"/>
    </row>
    <row r="621">
      <c r="C621" s="291" t="n"/>
      <c r="D621" s="2" t="n"/>
      <c r="E621" s="2" t="n"/>
      <c r="F621" s="2457" t="n"/>
    </row>
    <row r="622" ht="19" customHeight="1" s="2456">
      <c r="C622" s="291" t="n"/>
      <c r="D622" s="2271" t="inlineStr">
        <is>
          <t xml:space="preserve">À propos : </t>
        </is>
      </c>
      <c r="E622" s="80">
        <f>Diff!D2</f>
        <v/>
      </c>
      <c r="F622" s="2457" t="n"/>
    </row>
    <row r="623">
      <c r="C623" s="291" t="n"/>
      <c r="D623" s="2" t="n"/>
      <c r="E623" s="2" t="n"/>
      <c r="F623" s="2457" t="n"/>
    </row>
    <row r="624" ht="36" customHeight="1" s="2456">
      <c r="B624" s="288" t="inlineStr">
        <is>
          <t>L'attitude et la santé de l'enfant</t>
        </is>
      </c>
      <c r="G624" s="291" t="n"/>
      <c r="M624" s="3" t="n"/>
      <c r="N624" s="3" t="n"/>
      <c r="O624" s="3" t="n"/>
      <c r="P624" s="3" t="n"/>
      <c r="Q624" s="3" t="n"/>
      <c r="R624" s="3" t="n"/>
    </row>
    <row r="625" ht="24" customHeight="1" s="2456">
      <c r="B625" s="288" t="n"/>
      <c r="G625" s="291" t="n"/>
      <c r="M625" s="3" t="n"/>
      <c r="N625" s="3" t="n"/>
      <c r="O625" s="3" t="n"/>
      <c r="P625" s="3" t="n"/>
      <c r="Q625" s="3" t="n"/>
      <c r="R625" s="3" t="n"/>
    </row>
    <row r="626" ht="19" customHeight="1" s="2456">
      <c r="B626" s="1744" t="inlineStr">
        <is>
          <t xml:space="preserve">Symptômes chez l'enfant </t>
        </is>
      </c>
      <c r="C626" s="2457" t="n"/>
      <c r="F626" s="1680" t="n"/>
      <c r="G626" s="1680" t="n"/>
    </row>
    <row r="627">
      <c r="B627" s="1750" t="n"/>
      <c r="C627" s="2457" t="n"/>
      <c r="F627" s="1680" t="inlineStr">
        <is>
          <t>Baromètre comparatif avant et changement (positif ou négatif)</t>
        </is>
      </c>
      <c r="G627" s="1680" t="n"/>
    </row>
    <row r="628" ht="33" customHeight="1" s="2456">
      <c r="B628" s="2457" t="n"/>
      <c r="C628" s="2525"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7" t="n">
        <v>0</v>
      </c>
      <c r="F629" t="inlineStr">
        <is>
          <t>Jamais</t>
        </is>
      </c>
      <c r="G629" s="1680" t="n"/>
    </row>
    <row r="630" ht="20" customHeight="1" s="2456">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56">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7" t="n">
        <v>7</v>
      </c>
      <c r="F633" t="inlineStr">
        <is>
          <t>Souvent</t>
        </is>
      </c>
      <c r="G633" s="1680" t="n"/>
      <c r="K633" s="2" t="n"/>
    </row>
    <row r="634" ht="20" customHeight="1" s="2456">
      <c r="B634" s="2521"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56">
      <c r="G635" s="291" t="n"/>
    </row>
    <row r="636" ht="20" customHeight="1" s="2456">
      <c r="G636" s="291" t="n"/>
    </row>
    <row r="637">
      <c r="G637" s="291" t="n"/>
    </row>
    <row r="638">
      <c r="G638" s="291" t="n"/>
    </row>
    <row r="639">
      <c r="F639" s="2529" t="inlineStr">
        <is>
          <t>Si la résultat est S.O. ne pas schématiser le symptôme</t>
        </is>
      </c>
    </row>
    <row r="640" ht="30" customHeight="1" s="2456">
      <c r="D640" s="2271" t="inlineStr">
        <is>
          <t xml:space="preserve">À propos : </t>
        </is>
      </c>
      <c r="E640" s="80">
        <f>'Santé et Attitude de l''enfant'!C6</f>
        <v/>
      </c>
      <c r="F640" s="2529" t="n"/>
      <c r="G640" s="2529" t="n"/>
      <c r="H640" s="2529" t="n"/>
      <c r="I640" s="2529" t="n"/>
      <c r="J640" s="2529" t="n"/>
      <c r="K640" s="2529" t="n"/>
      <c r="L640" s="2529" t="n"/>
    </row>
    <row r="641" ht="30" customHeight="1" s="2456">
      <c r="F641" s="2529" t="n"/>
      <c r="G641" s="2529" t="n"/>
      <c r="H641" s="2529" t="n"/>
      <c r="I641" s="2529" t="n"/>
      <c r="J641" s="2529" t="n"/>
      <c r="K641" s="2529" t="n"/>
      <c r="L641" s="2529" t="n"/>
    </row>
    <row r="642" ht="24" customHeight="1" s="2456">
      <c r="B642" s="288" t="n"/>
      <c r="G642" s="291" t="n"/>
      <c r="M642" s="3" t="n"/>
      <c r="N642" s="3" t="n"/>
      <c r="O642" s="3" t="n"/>
      <c r="P642" s="3" t="n"/>
      <c r="Q642" s="3" t="n"/>
      <c r="R642" s="3" t="n"/>
      <c r="T642" s="49" t="n"/>
      <c r="U642" s="49" t="n"/>
      <c r="V642" s="49" t="n"/>
      <c r="W642" s="49" t="n"/>
      <c r="X642" s="49" t="n"/>
      <c r="Y642" s="2515" t="n"/>
    </row>
    <row r="643" ht="38" customHeight="1" s="2456">
      <c r="B643" s="407" t="inlineStr">
        <is>
          <t>Attitude au moment des transferts de garde</t>
        </is>
      </c>
      <c r="C643" s="2457" t="n"/>
      <c r="F643" s="1680" t="n"/>
      <c r="P643" s="2457" t="n"/>
      <c r="Q643" s="2457" t="n"/>
      <c r="T643" s="2515" t="n"/>
      <c r="U643" s="2515" t="n"/>
      <c r="V643" s="2515" t="n"/>
      <c r="W643" s="2515" t="n"/>
      <c r="X643" s="2515" t="n"/>
      <c r="Y643" s="2515" t="n"/>
    </row>
    <row r="644" ht="20" customHeight="1" s="2456">
      <c r="A644" s="2" t="n"/>
      <c r="B644" s="2" t="n"/>
      <c r="C644" s="2465" t="n"/>
      <c r="R644" s="2580" t="n"/>
      <c r="S644" s="2465" t="n"/>
      <c r="T644" s="2469" t="n"/>
      <c r="U644" s="2469" t="n"/>
      <c r="V644" s="2469" t="n"/>
      <c r="W644" s="826" t="n"/>
      <c r="X644" s="826" t="n"/>
      <c r="Y644" s="826" t="n"/>
      <c r="Z644" s="826" t="n"/>
      <c r="AA644" s="826" t="n"/>
    </row>
    <row r="645" ht="22" customHeight="1" s="2456">
      <c r="A645" s="2" t="n"/>
      <c r="B645" s="2" t="n"/>
      <c r="C645" s="2465" t="n"/>
      <c r="R645" s="2580" t="n"/>
      <c r="S645" s="2465" t="n"/>
      <c r="T645" s="2469" t="n"/>
      <c r="U645" s="2469" t="n"/>
      <c r="V645" s="2469" t="n"/>
      <c r="W645" s="826" t="n"/>
      <c r="X645" s="826" t="n"/>
      <c r="Y645" s="826" t="n"/>
    </row>
    <row r="646" ht="22" customHeight="1" s="2456">
      <c r="A646" s="2" t="n"/>
      <c r="B646" s="2" t="n"/>
      <c r="C646" s="2465" t="n"/>
      <c r="E646" s="2" t="inlineStr">
        <is>
          <t>Maison parent répondant</t>
        </is>
      </c>
      <c r="I646" s="2" t="inlineStr">
        <is>
          <t>Maison du coparent</t>
        </is>
      </c>
      <c r="R646" s="2580" t="n"/>
      <c r="S646" s="2465" t="n"/>
      <c r="T646" s="2469" t="n"/>
      <c r="U646" s="2469" t="n"/>
      <c r="V646" s="2469" t="n"/>
      <c r="W646" s="826" t="n"/>
      <c r="X646" s="826" t="n"/>
      <c r="Y646" s="826" t="n"/>
    </row>
    <row r="647" ht="22" customHeight="1" s="2456">
      <c r="A647" s="2" t="n"/>
      <c r="B647" s="2" t="n"/>
      <c r="C647" s="2465" t="n"/>
      <c r="F647" t="inlineStr">
        <is>
          <t>Départ</t>
        </is>
      </c>
      <c r="G647">
        <f>'Santé et Attitude de l''enfant'!G31</f>
        <v/>
      </c>
      <c r="R647" s="2580" t="n"/>
      <c r="S647" s="2465" t="n"/>
      <c r="T647" s="826" t="n"/>
      <c r="U647" s="826" t="n"/>
      <c r="V647" s="2559" t="n"/>
      <c r="W647" s="2559" t="n"/>
      <c r="X647" s="2559" t="n"/>
      <c r="Y647" s="2559" t="n"/>
    </row>
    <row r="648" ht="22" customHeight="1" s="2456">
      <c r="A648" s="2" t="n"/>
      <c r="B648" s="2" t="n"/>
      <c r="C648" s="2465" t="n"/>
      <c r="R648" s="2580" t="n"/>
      <c r="S648" s="2465" t="n"/>
      <c r="T648" s="826" t="n"/>
      <c r="U648" s="826" t="n"/>
      <c r="V648" s="2559" t="n"/>
      <c r="W648" s="2559" t="n"/>
      <c r="X648" s="2559" t="n"/>
      <c r="Y648" s="2559" t="n"/>
    </row>
    <row r="649" ht="22" customHeight="1" s="2456">
      <c r="A649" s="2" t="n"/>
      <c r="B649" s="2" t="n"/>
      <c r="C649" s="2465" t="n"/>
      <c r="F649" s="2290" t="n"/>
      <c r="R649" s="2580" t="n"/>
      <c r="S649" s="2465" t="n"/>
      <c r="T649" s="826" t="n"/>
      <c r="U649" s="826" t="n"/>
      <c r="V649" s="2559" t="n"/>
      <c r="W649" s="2559" t="n"/>
      <c r="X649" s="2559" t="n"/>
      <c r="Y649" s="2559" t="n"/>
    </row>
    <row r="650" ht="22" customHeight="1" s="2456">
      <c r="F650" t="inlineStr">
        <is>
          <t>Arrivée</t>
        </is>
      </c>
      <c r="G650">
        <f>'Santé et Attitude de l''enfant'!G34</f>
        <v/>
      </c>
      <c r="S650" s="2469" t="n"/>
    </row>
    <row r="651" ht="22" customHeight="1" s="2456">
      <c r="S651" s="2469" t="n"/>
    </row>
    <row r="652" ht="22" customHeight="1" s="2456">
      <c r="S652" s="2469" t="n"/>
    </row>
    <row r="653" ht="22" customHeight="1" s="2456">
      <c r="S653" s="2469" t="n"/>
    </row>
    <row r="654" ht="22" customHeight="1" s="2456">
      <c r="S654" s="2469" t="n"/>
    </row>
    <row r="655" ht="22" customHeight="1" s="2456">
      <c r="D655" s="2271" t="inlineStr">
        <is>
          <t xml:space="preserve">À propos : </t>
        </is>
      </c>
      <c r="E655" s="80">
        <f>'Santé et Attitude de l''enfant'!C34</f>
        <v/>
      </c>
      <c r="S655" s="2469" t="n"/>
    </row>
    <row r="656" ht="22" customHeight="1" s="2456">
      <c r="G656" s="1764" t="n"/>
      <c r="S656" s="2469" t="n"/>
    </row>
    <row r="657" ht="37" customHeight="1" s="2456">
      <c r="G657" s="291" t="n"/>
    </row>
    <row r="658">
      <c r="C658" s="291" t="n"/>
      <c r="D658" s="2" t="n"/>
      <c r="E658" s="2" t="n"/>
      <c r="F658" s="2457" t="n"/>
    </row>
    <row r="659">
      <c r="C659" s="291" t="n"/>
      <c r="D659" s="2" t="n"/>
      <c r="E659" s="2" t="n"/>
      <c r="F659" s="2457" t="n"/>
    </row>
    <row r="660">
      <c r="G660" s="1680" t="n"/>
    </row>
    <row r="661" ht="27" customHeight="1" s="2456">
      <c r="E661" t="inlineStr">
        <is>
          <t>Indice de sévérité chez l'enfant</t>
        </is>
      </c>
      <c r="G661" s="1680" t="n"/>
    </row>
    <row r="662" ht="19" customHeight="1" s="2456">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57" t="n"/>
      <c r="D666" s="1751" t="n"/>
      <c r="F666" s="2457" t="inlineStr">
        <is>
          <t>Nature des comportements aliénants des parents</t>
        </is>
      </c>
      <c r="J666" s="2457" t="inlineStr">
        <is>
          <t>Nature de la réaction de l'enfant</t>
        </is>
      </c>
    </row>
    <row r="667" ht="22" customHeight="1" s="2456">
      <c r="C667" s="1755" t="n"/>
      <c r="D667" s="2516"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6" t="inlineStr">
        <is>
          <t>Comportemental</t>
        </is>
      </c>
      <c r="D668" s="2298">
        <f>'Analyse Catégories_CEV'!B11</f>
        <v/>
      </c>
      <c r="G668" s="1680" t="n"/>
    </row>
    <row r="669" ht="21" customHeight="1" s="2456">
      <c r="C669" s="1756" t="inlineStr">
        <is>
          <t>Emotif</t>
        </is>
      </c>
      <c r="D669" s="2298">
        <f>'Analyse Catégories_CEV'!B12</f>
        <v/>
      </c>
      <c r="G669" s="291" t="n"/>
    </row>
    <row r="670" ht="21" customHeight="1" s="2456">
      <c r="C670" s="1756" t="inlineStr">
        <is>
          <t>Verbal</t>
        </is>
      </c>
      <c r="D670" s="2298">
        <f>'Analyse Catégories_CEV'!B13</f>
        <v/>
      </c>
      <c r="G670" s="291" t="n"/>
    </row>
    <row r="671" ht="21" customHeight="1" s="2456">
      <c r="C671" s="291" t="n"/>
      <c r="G671" s="291" t="n"/>
    </row>
    <row r="672" ht="21" customHeight="1" s="2456">
      <c r="C672" s="291" t="n"/>
      <c r="G672" s="291" t="n"/>
    </row>
    <row r="673" ht="21" customHeight="1" s="2456">
      <c r="C673" s="2457" t="n"/>
      <c r="G673" s="291" t="n"/>
    </row>
    <row r="674" ht="21" customHeight="1" s="2456">
      <c r="B674" t="inlineStr">
        <is>
          <t>Nature de la réaction de l'enfant</t>
        </is>
      </c>
      <c r="C674" s="1755" t="n"/>
      <c r="D674" s="2516" t="inlineStr">
        <is>
          <t>Densité des bulles</t>
        </is>
      </c>
      <c r="G674" s="291" t="n"/>
    </row>
    <row r="675" ht="21" customHeight="1" s="2456">
      <c r="C675" s="1756" t="inlineStr">
        <is>
          <t>Comportemental</t>
        </is>
      </c>
      <c r="D675" s="2298">
        <f>'Analyse Catégories_CEV'!C11</f>
        <v/>
      </c>
      <c r="G675" s="291" t="n"/>
    </row>
    <row r="676" ht="21" customHeight="1" s="2456">
      <c r="C676" s="1756" t="inlineStr">
        <is>
          <t>Emotif</t>
        </is>
      </c>
      <c r="D676" s="2298">
        <f>'Analyse Catégories_CEV'!C12</f>
        <v/>
      </c>
      <c r="G676" s="291" t="n"/>
    </row>
    <row r="677" ht="21" customHeight="1" s="2456">
      <c r="C677" s="1756" t="inlineStr">
        <is>
          <t>Verbal</t>
        </is>
      </c>
      <c r="D677" s="2298">
        <f>'Analyse Catégories_CEV'!C13</f>
        <v/>
      </c>
      <c r="G677" s="291" t="n"/>
    </row>
    <row r="678">
      <c r="G678" s="291" t="n"/>
    </row>
    <row r="682" ht="51" customHeight="1" s="2456">
      <c r="D682" s="2271" t="inlineStr">
        <is>
          <t xml:space="preserve">À propos : </t>
        </is>
      </c>
      <c r="E682" s="2523">
        <f>'Analyse Catégories_CEV'!C6</f>
        <v/>
      </c>
    </row>
    <row r="686">
      <c r="D686" s="2" t="n"/>
      <c r="F686" s="2457"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A475:A478"/>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F407"/>
  <sheetViews>
    <sheetView topLeftCell="A358" zoomScale="67" zoomScaleNormal="144" workbookViewId="0">
      <selection activeCell="A358" sqref="A358"/>
    </sheetView>
  </sheetViews>
  <sheetFormatPr baseColWidth="10" defaultRowHeight="16"/>
  <cols>
    <col width="36.1640625" customWidth="1" style="2456" min="1" max="1"/>
    <col width="104.5" customWidth="1" style="2559" min="2" max="2"/>
    <col width="43" customWidth="1" style="2456" min="3" max="3"/>
  </cols>
  <sheetData>
    <row r="1">
      <c r="A1" t="inlineStr">
        <is>
          <t>Rapport</t>
        </is>
      </c>
    </row>
    <row r="3" ht="22" customHeight="1" s="2456">
      <c r="B3" s="2420" t="inlineStr">
        <is>
          <t>Quel est le contexte de coparentalité de la famille?</t>
        </is>
      </c>
    </row>
    <row r="4" ht="23" customHeight="1" s="2456">
      <c r="A4" s="407" t="n"/>
      <c r="C4" s="2" t="n"/>
    </row>
    <row r="5" ht="44" customHeight="1" s="2456">
      <c r="A5" s="2382" t="inlineStr">
        <is>
          <t>Baromètre 1:</t>
        </is>
      </c>
      <c r="B5" s="2233">
        <f>'Contexte | CSS'!D1</f>
        <v/>
      </c>
      <c r="C5" s="2" t="n"/>
    </row>
    <row r="6" ht="117" customHeight="1" s="2456">
      <c r="C6" s="2" t="n"/>
    </row>
    <row r="7" ht="22" customHeight="1" s="2456">
      <c r="C7" s="2" t="n"/>
    </row>
    <row r="8" ht="75" customHeight="1" s="2456">
      <c r="A8" s="2309" t="inlineStr">
        <is>
          <t>À propos du baromètre</t>
        </is>
      </c>
      <c r="B8" s="826">
        <f>'Contexte | CSS'!D4</f>
        <v/>
      </c>
      <c r="C8" s="2" t="n"/>
    </row>
    <row r="9" ht="66" customHeight="1" s="2456">
      <c r="A9" s="826" t="inlineStr">
        <is>
          <t>Introduction ( ouverture toujours)</t>
        </is>
      </c>
      <c r="B9" s="826">
        <f>HLOOKUP(1,'Contexte | CSS'!S10:X41,3)</f>
        <v/>
      </c>
    </row>
    <row r="10" ht="26" customHeight="1" s="2456">
      <c r="A10" s="68" t="inlineStr">
        <is>
          <t>Les constats : Ouverture que si indice modéré ou élevé seulement</t>
        </is>
      </c>
      <c r="B10" s="826" t="n"/>
    </row>
    <row r="11" ht="16" customHeight="1" s="2456">
      <c r="A11" s="88" t="inlineStr">
        <is>
          <t>Thème 1</t>
        </is>
      </c>
      <c r="B11" s="2559">
        <f>IF('Contexte | CSS'!P20&lt;&gt;"",'Contexte | CSS'!P20,"")</f>
        <v/>
      </c>
    </row>
    <row r="12" ht="27" customHeight="1" s="2456">
      <c r="A12" s="765" t="inlineStr">
        <is>
          <t>Thème 2</t>
        </is>
      </c>
      <c r="B12" s="2559">
        <f>IF('Contexte | CSS'!P26&lt;&gt;"",'Contexte | CSS'!P26,"")</f>
        <v/>
      </c>
    </row>
    <row r="13" ht="32" customHeight="1" s="2456">
      <c r="A13" s="765" t="inlineStr">
        <is>
          <t>Thème 3</t>
        </is>
      </c>
      <c r="B13" s="2559">
        <f>IF('Contexte | CSS'!P32&lt;&gt;"",'Contexte | CSS'!P32,"")</f>
        <v/>
      </c>
    </row>
    <row r="14" ht="86" customHeight="1" s="2456">
      <c r="A14" s="765" t="inlineStr">
        <is>
          <t>Thèmes 4  indépendants</t>
        </is>
      </c>
      <c r="B14" s="2580">
        <f>IF('Contexte | CSS'!P35&lt;&gt;"",'Contexte | CSS'!P35,"")</f>
        <v/>
      </c>
    </row>
    <row r="15" ht="71" customHeight="1" s="2456">
      <c r="A15" s="765" t="inlineStr">
        <is>
          <t>Constat général ou conclusion, le cas échéant</t>
        </is>
      </c>
      <c r="B15" s="2580">
        <f>IF('Contexte | CSS'!P40&lt;&gt;"",'Contexte | CSS'!P40,"")</f>
        <v/>
      </c>
    </row>
    <row r="16" ht="51" customHeight="1" s="2456">
      <c r="A16" s="36" t="inlineStr">
        <is>
          <t xml:space="preserve">À surveiller : </t>
        </is>
      </c>
      <c r="B16" s="2559">
        <f>'Contexte | CSS'!Y12</f>
        <v/>
      </c>
    </row>
    <row r="17" ht="23" customHeight="1" s="2456">
      <c r="A17" s="36" t="n"/>
      <c r="B17" s="2559" t="inlineStr">
        <is>
          <t>Drapeaux jaunes 🟡</t>
        </is>
      </c>
    </row>
    <row r="18" ht="23" customHeight="1" s="2456">
      <c r="A18" s="45" t="inlineStr">
        <is>
          <t>Section s'ouvre que s'il y a du contenu</t>
        </is>
      </c>
      <c r="B18" s="2421" t="n"/>
    </row>
    <row r="19" ht="120" customHeight="1" s="2456">
      <c r="A19" s="274" t="inlineStr">
        <is>
          <t>Thème 1 en premier</t>
        </is>
      </c>
      <c r="B19" s="2559">
        <f>IF('Contexte | CSS'!Q20&lt;&gt;"",'Contexte | CSS'!Q20,"")</f>
        <v/>
      </c>
      <c r="C19" s="2559" t="n"/>
      <c r="D19" s="2559" t="n"/>
    </row>
    <row r="20" ht="17" customHeight="1" s="2456">
      <c r="A20" s="2380" t="inlineStr">
        <is>
          <t>Comportements du thème 1</t>
        </is>
      </c>
      <c r="B20" s="2559">
        <f>IF('Contexte | CSS'!Q13&lt;&gt;"",'Contexte | CSS'!Q13,"")</f>
        <v/>
      </c>
      <c r="C20" s="2559" t="n"/>
      <c r="D20" s="2559" t="n"/>
    </row>
    <row r="21" ht="17" customHeight="1" s="2456">
      <c r="A21" s="2380" t="inlineStr">
        <is>
          <t>Comportements du thème 1</t>
        </is>
      </c>
      <c r="B21" s="2559">
        <f>IF('Contexte | CSS'!Q14&lt;&gt;"",'Contexte | CSS'!Q14,"")</f>
        <v/>
      </c>
      <c r="C21" s="2559" t="n"/>
      <c r="D21" s="2559" t="n"/>
    </row>
    <row r="22" ht="17" customHeight="1" s="2456">
      <c r="A22" s="45" t="inlineStr">
        <is>
          <t>Comportements du thème 1</t>
        </is>
      </c>
      <c r="B22" s="2559">
        <f>IF('Contexte | CSS'!Q15&lt;&gt;"",'Contexte | CSS'!Q15,"")</f>
        <v/>
      </c>
      <c r="C22" s="2559" t="n"/>
      <c r="D22" s="2559" t="n"/>
    </row>
    <row r="23" ht="17" customHeight="1" s="2456">
      <c r="A23" s="45" t="inlineStr">
        <is>
          <t>Comportements du thème 1</t>
        </is>
      </c>
      <c r="B23" s="2559">
        <f>IF('Contexte | CSS'!Q16&lt;&gt;"",'Contexte | CSS'!Q16,"")</f>
        <v/>
      </c>
      <c r="C23" s="2559" t="n"/>
      <c r="D23" s="2559" t="n"/>
    </row>
    <row r="24" ht="17" customHeight="1" s="2456">
      <c r="A24" s="45" t="inlineStr">
        <is>
          <t>Comportements du thème 1</t>
        </is>
      </c>
      <c r="B24" s="2559">
        <f>IF('Contexte | CSS'!Q17&lt;&gt;"",'Contexte | CSS'!Q17,"")</f>
        <v/>
      </c>
      <c r="C24" s="2559" t="n"/>
      <c r="D24" s="2559" t="n"/>
    </row>
    <row r="25" ht="34" customHeight="1" s="2456">
      <c r="A25" s="45" t="inlineStr">
        <is>
          <t>Comportements du thème 1</t>
        </is>
      </c>
      <c r="B25" s="2559">
        <f>IF('Contexte | CSS'!Q18&lt;&gt;"",'Contexte | CSS'!Q18,"")</f>
        <v/>
      </c>
    </row>
    <row r="26" ht="17" customHeight="1" s="2456">
      <c r="A26" s="45" t="inlineStr">
        <is>
          <t>Comportements du thème 1</t>
        </is>
      </c>
      <c r="B26" s="2559">
        <f>IF('Contexte | CSS'!Q19&lt;&gt;"",'Contexte | CSS'!Q19,"")</f>
        <v/>
      </c>
    </row>
    <row r="27" ht="17" customHeight="1" s="2456">
      <c r="A27" s="45" t="inlineStr">
        <is>
          <t>Thème 2</t>
        </is>
      </c>
      <c r="B27" s="2559">
        <f>IF('Contexte | CSS'!Q26&lt;&gt;"",'Contexte | CSS'!Q26,"")</f>
        <v/>
      </c>
    </row>
    <row r="28" ht="17" customHeight="1" s="2456">
      <c r="A28" s="2380" t="inlineStr">
        <is>
          <t>Comportements du thème 2</t>
        </is>
      </c>
      <c r="B28" s="2559">
        <f>IF('Contexte | CSS'!Q21&lt;&gt;"",'Contexte | CSS'!Q21,"")</f>
        <v/>
      </c>
    </row>
    <row r="29" ht="17" customHeight="1" s="2456">
      <c r="A29" s="2380" t="inlineStr">
        <is>
          <t>Comportements du thème 2</t>
        </is>
      </c>
      <c r="B29" s="2559">
        <f>IF('Contexte | CSS'!Q22&lt;&gt;"",'Contexte | CSS'!Q22,"")</f>
        <v/>
      </c>
    </row>
    <row r="30" ht="17" customHeight="1" s="2456">
      <c r="A30" s="45" t="inlineStr">
        <is>
          <t>Comportements du thème 2</t>
        </is>
      </c>
      <c r="B30" s="2559">
        <f>IF('Contexte | CSS'!Q23&lt;&gt;"",'Contexte | CSS'!Q23,"")</f>
        <v/>
      </c>
    </row>
    <row r="31" ht="17" customHeight="1" s="2456">
      <c r="A31" s="45" t="inlineStr">
        <is>
          <t>Comportements du thème 2</t>
        </is>
      </c>
      <c r="B31" s="2559">
        <f>IF('Contexte | CSS'!Q24&lt;&gt;"",'Contexte | CSS'!Q24,"")</f>
        <v/>
      </c>
    </row>
    <row r="32" ht="17" customHeight="1" s="2456">
      <c r="A32" s="45" t="inlineStr">
        <is>
          <t>Comportements du thème 2</t>
        </is>
      </c>
      <c r="B32" s="2559">
        <f>IF('Contexte | CSS'!Q25&lt;&gt;"",'Contexte | CSS'!Q25,"")</f>
        <v/>
      </c>
    </row>
    <row r="33" ht="17" customHeight="1" s="2456">
      <c r="A33" s="45" t="inlineStr">
        <is>
          <t>Thème 3</t>
        </is>
      </c>
      <c r="B33" s="2559">
        <f>IF('Contexte | CSS'!Q32&lt;&gt;"",'Contexte | CSS'!Q32,"")</f>
        <v/>
      </c>
    </row>
    <row r="34" ht="17" customHeight="1" s="2456">
      <c r="A34" s="2375" t="inlineStr">
        <is>
          <t>Comportements du thème 3</t>
        </is>
      </c>
      <c r="B34" s="2559">
        <f>IF('Contexte | CSS'!Q28&lt;&gt;"",'Contexte | CSS'!Q28,"")</f>
        <v/>
      </c>
    </row>
    <row r="35" ht="17" customHeight="1" s="2456">
      <c r="A35" s="45" t="inlineStr">
        <is>
          <t>Comportements du thème 3</t>
        </is>
      </c>
      <c r="B35" s="2559">
        <f>IF('Contexte | CSS'!Q29&lt;&gt;"",'Contexte | CSS'!Q29,"")</f>
        <v/>
      </c>
    </row>
    <row r="36" ht="17" customHeight="1" s="2456">
      <c r="A36" s="45" t="inlineStr">
        <is>
          <t>Comportements du thème 3</t>
        </is>
      </c>
      <c r="B36" s="2559">
        <f>IF('Contexte | CSS'!Q30&lt;&gt;"",'Contexte | CSS'!Q30,"")</f>
        <v/>
      </c>
    </row>
    <row r="37" ht="17" customHeight="1" s="2456">
      <c r="A37" s="45" t="inlineStr">
        <is>
          <t>Comportements du thème 3</t>
        </is>
      </c>
      <c r="B37" s="2559">
        <f>IF('Contexte | CSS'!Q31&lt;&gt;"",'Contexte | CSS'!Q31,"")</f>
        <v/>
      </c>
    </row>
    <row r="38" ht="34" customHeight="1" s="2456">
      <c r="A38" s="2201" t="inlineStr">
        <is>
          <t>Thème indépendant 4</t>
        </is>
      </c>
      <c r="B38" s="2559">
        <f>IF('Contexte | CSS'!Q33&lt;&gt;"",'Contexte | CSS'!Q33,"")</f>
        <v/>
      </c>
    </row>
    <row r="39" ht="17" customHeight="1" s="2456">
      <c r="A39" s="45" t="inlineStr">
        <is>
          <t>Thème indépendant 5</t>
        </is>
      </c>
      <c r="B39" s="2559">
        <f>IF('Contexte | CSS'!Q34&lt;&gt;"",'Contexte | CSS'!Q34,"")</f>
        <v/>
      </c>
    </row>
    <row r="40">
      <c r="A40" t="inlineStr">
        <is>
          <t>Thème indépendant 6</t>
        </is>
      </c>
    </row>
    <row r="41" ht="24" customFormat="1" customHeight="1" s="36">
      <c r="A41" s="1222" t="inlineStr">
        <is>
          <t>Section s'ouvre que s'il y a du contenu</t>
        </is>
      </c>
      <c r="B41" s="2559" t="inlineStr">
        <is>
          <t>Drapeaux rouges 🔴</t>
        </is>
      </c>
    </row>
    <row r="42">
      <c r="A42" s="1222" t="n"/>
      <c r="B42" s="2421" t="n"/>
    </row>
    <row r="43" ht="17" customHeight="1" s="2456">
      <c r="A43" s="2376" t="inlineStr">
        <is>
          <t>Thème 1 en premier</t>
        </is>
      </c>
      <c r="B43" s="2559">
        <f>IF('Contexte | CSS'!R20&lt;&gt;"",'Contexte | CSS'!R20,"")</f>
        <v/>
      </c>
    </row>
    <row r="44" ht="17" customHeight="1" s="2456">
      <c r="A44" s="2379" t="inlineStr">
        <is>
          <t>Comportements du thème 1</t>
        </is>
      </c>
      <c r="B44" s="2559">
        <f>IF('Contexte | CSS'!R13&lt;&gt;"",'Contexte | CSS'!R13,"")</f>
        <v/>
      </c>
    </row>
    <row r="45" ht="17" customHeight="1" s="2456">
      <c r="A45" s="2379" t="inlineStr">
        <is>
          <t>Comportements du thème 1</t>
        </is>
      </c>
      <c r="B45" s="2559">
        <f>IF('Contexte | CSS'!R14&lt;&gt;"",'Contexte | CSS'!R14,"")</f>
        <v/>
      </c>
    </row>
    <row r="46" ht="17" customHeight="1" s="2456">
      <c r="A46" s="2379" t="inlineStr">
        <is>
          <t>Comportements du thème 1</t>
        </is>
      </c>
      <c r="B46" s="2559">
        <f>IF('Contexte | CSS'!R15&lt;&gt;"",'Contexte | CSS'!R15,"")</f>
        <v/>
      </c>
    </row>
    <row r="47" ht="17" customHeight="1" s="2456">
      <c r="A47" s="2379" t="inlineStr">
        <is>
          <t>Comportements du thème 1</t>
        </is>
      </c>
      <c r="B47" s="2559">
        <f>IF('Contexte | CSS'!R16&lt;&gt;"",'Contexte | CSS'!R16,"")</f>
        <v/>
      </c>
    </row>
    <row r="48" ht="17" customHeight="1" s="2456">
      <c r="A48" s="2379" t="inlineStr">
        <is>
          <t>Comportements du thème 1</t>
        </is>
      </c>
      <c r="B48" s="2559">
        <f>IF('Contexte | CSS'!R17&lt;&gt;"",'Contexte | CSS'!R17,"")</f>
        <v/>
      </c>
    </row>
    <row r="49" ht="17" customHeight="1" s="2456">
      <c r="A49" s="2379" t="inlineStr">
        <is>
          <t>Comportements du thème 1</t>
        </is>
      </c>
      <c r="B49" s="2559">
        <f>IF('Contexte | CSS'!R18&lt;&gt;"",'Contexte | CSS'!R18,"")</f>
        <v/>
      </c>
    </row>
    <row r="50" ht="17" customHeight="1" s="2456">
      <c r="A50" s="2379" t="inlineStr">
        <is>
          <t>Comportements du thème 1</t>
        </is>
      </c>
      <c r="B50" s="2559">
        <f>IF('Contexte | CSS'!R19&lt;&gt;"",'Contexte | CSS'!R19,"")</f>
        <v/>
      </c>
    </row>
    <row r="51" ht="17" customHeight="1" s="2456">
      <c r="A51" s="1222" t="inlineStr">
        <is>
          <t>Thème 2</t>
        </is>
      </c>
      <c r="B51" s="2559">
        <f>IF('Contexte | CSS'!R26&lt;&gt;"",'Contexte | CSS'!R26,"")</f>
        <v/>
      </c>
    </row>
    <row r="52" ht="17" customHeight="1" s="2456">
      <c r="A52" s="2379" t="inlineStr">
        <is>
          <t>Comportements du thème 2</t>
        </is>
      </c>
      <c r="B52" s="2559">
        <f>IF('Contexte | CSS'!R21&lt;&gt;"",'Contexte | CSS'!R21,"")</f>
        <v/>
      </c>
    </row>
    <row r="53" ht="17" customHeight="1" s="2456">
      <c r="A53" s="2379" t="inlineStr">
        <is>
          <t>Comportements du thème 2</t>
        </is>
      </c>
      <c r="B53" s="2559">
        <f>IF('Contexte | CSS'!R22&lt;&gt;"",'Contexte | CSS'!R22,"")</f>
        <v/>
      </c>
    </row>
    <row r="54" ht="17" customHeight="1" s="2456">
      <c r="A54" s="2379" t="inlineStr">
        <is>
          <t>Comportements du thème 2</t>
        </is>
      </c>
      <c r="B54" s="2559">
        <f>IF('Contexte | CSS'!R23&lt;&gt;"",'Contexte | CSS'!R23,"")</f>
        <v/>
      </c>
    </row>
    <row r="55" ht="17" customHeight="1" s="2456">
      <c r="A55" s="2379" t="inlineStr">
        <is>
          <t>Comportements du thème 2</t>
        </is>
      </c>
      <c r="B55" s="2559">
        <f>IF('Contexte | CSS'!R24&lt;&gt;"",'Contexte | CSS'!R24,"")</f>
        <v/>
      </c>
    </row>
    <row r="56" ht="17" customHeight="1" s="2456">
      <c r="A56" s="2379" t="inlineStr">
        <is>
          <t>Comportements du thème 2</t>
        </is>
      </c>
      <c r="B56" s="2559">
        <f>IF('Contexte | CSS'!R25&lt;&gt;"",'Contexte | CSS'!R25,"")</f>
        <v/>
      </c>
    </row>
    <row r="57" ht="17" customHeight="1" s="2456">
      <c r="A57" s="1222" t="inlineStr">
        <is>
          <t>Thème 3</t>
        </is>
      </c>
      <c r="B57" s="2559">
        <f>IF('Contexte | CSS'!R32&lt;&gt;"",'Contexte | CSS'!R32,"")</f>
        <v/>
      </c>
    </row>
    <row r="58" ht="17" customHeight="1" s="2456">
      <c r="A58" s="2379" t="inlineStr">
        <is>
          <t>Comportements du thème 3</t>
        </is>
      </c>
      <c r="B58" s="2559">
        <f>IF('Contexte | CSS'!R28&lt;&gt;"",'Contexte | CSS'!R28,"")</f>
        <v/>
      </c>
    </row>
    <row r="59" ht="17" customHeight="1" s="2456">
      <c r="A59" s="2379" t="inlineStr">
        <is>
          <t>Comportements du thème 3</t>
        </is>
      </c>
      <c r="B59" s="2559">
        <f>IF('Contexte | CSS'!R29&lt;&gt;"",'Contexte | CSS'!R29,"")</f>
        <v/>
      </c>
    </row>
    <row r="60" ht="17" customHeight="1" s="2456">
      <c r="A60" s="2379" t="inlineStr">
        <is>
          <t>Comportements du thème 3</t>
        </is>
      </c>
      <c r="B60" s="2559">
        <f>IF('Contexte | CSS'!R30&lt;&gt;"",'Contexte | CSS'!R30,"")</f>
        <v/>
      </c>
    </row>
    <row r="61" ht="17" customHeight="1" s="2456">
      <c r="A61" s="2379" t="inlineStr">
        <is>
          <t>Comportements du thème 3</t>
        </is>
      </c>
      <c r="B61" s="2559">
        <f>IF('Contexte | CSS'!R31&lt;&gt;"",'Contexte | CSS'!R31,"")</f>
        <v/>
      </c>
    </row>
    <row r="62" ht="17" customHeight="1" s="2456">
      <c r="A62" s="2377" t="inlineStr">
        <is>
          <t>Thème indépendant 4</t>
        </is>
      </c>
      <c r="B62" s="2559">
        <f>IF('Contexte | CSS'!R33&lt;&gt;"",'Contexte | CSS'!R33,"")</f>
        <v/>
      </c>
    </row>
    <row r="63" ht="17" customHeight="1" s="2456">
      <c r="A63" s="2377" t="inlineStr">
        <is>
          <t>Thème indépendant 5</t>
        </is>
      </c>
      <c r="B63" s="2559">
        <f>IF('Contexte | CSS'!R34&lt;&gt;"",'Contexte | CSS'!R34,"")</f>
        <v/>
      </c>
    </row>
    <row r="64">
      <c r="A64" s="2377" t="inlineStr">
        <is>
          <t>Thème indépendant 6</t>
        </is>
      </c>
    </row>
    <row r="66" ht="48" customHeight="1" s="2456">
      <c r="A66" t="inlineStr">
        <is>
          <t>Ressources : 📚</t>
        </is>
      </c>
      <c r="B66" s="541">
        <f>HLOOKUP(1,'Contexte | CSS'!S10:X41,32)</f>
        <v/>
      </c>
    </row>
    <row r="67" ht="15" customHeight="1" s="2456"/>
    <row r="68" ht="7" customHeight="1" s="2456"/>
    <row r="69" ht="29" customHeight="1" s="2456">
      <c r="A69" s="2382" t="inlineStr">
        <is>
          <t>Baromètre 2:</t>
        </is>
      </c>
      <c r="B69" s="2233">
        <f>'Cpts miroirs des parents'!D5</f>
        <v/>
      </c>
    </row>
    <row r="70" ht="211" customHeight="1" s="2456"/>
    <row r="71" ht="102" customHeight="1" s="2456">
      <c r="A71" s="2309" t="inlineStr">
        <is>
          <t>À propos du baromètre</t>
        </is>
      </c>
      <c r="B71" s="826">
        <f>'Cpts miroirs des parents'!D7</f>
        <v/>
      </c>
    </row>
    <row r="72" ht="98" customHeight="1" s="2456">
      <c r="A72" s="2580" t="inlineStr">
        <is>
          <t>Introduction ( ouverture toujours)</t>
        </is>
      </c>
      <c r="B72" s="826">
        <f>HLOOKUP(1,'Cpts miroirs des parents'!V14:W18,5)</f>
        <v/>
      </c>
    </row>
    <row r="73" ht="19" customHeight="1" s="2456">
      <c r="A73" s="2374" t="inlineStr">
        <is>
          <t>Les constats</t>
        </is>
      </c>
      <c r="B73" s="2580" t="n"/>
    </row>
    <row r="74" ht="17" customHeight="1" s="2456">
      <c r="A74" s="88" t="inlineStr">
        <is>
          <t>Thème 1</t>
        </is>
      </c>
      <c r="B74" s="2559">
        <f>IF('Cpts miroirs des parents'!S19&lt;&gt;"",'Cpts miroirs des parents'!S19,"")</f>
        <v/>
      </c>
    </row>
    <row r="75" ht="17" customHeight="1" s="2456">
      <c r="A75" s="765" t="inlineStr">
        <is>
          <t>Thème 2</t>
        </is>
      </c>
      <c r="B75" s="2559">
        <f>IF('Cpts miroirs des parents'!S20&lt;&gt;"",'Cpts miroirs des parents'!S20,"")</f>
        <v/>
      </c>
    </row>
    <row r="76" ht="34" customHeight="1" s="2456">
      <c r="A76" s="765" t="inlineStr">
        <is>
          <t>Thème 3</t>
        </is>
      </c>
      <c r="B76" s="2559">
        <f>IF('Cpts miroirs des parents'!S21&lt;&gt;"",'Cpts miroirs des parents'!S21,"")</f>
        <v/>
      </c>
    </row>
    <row r="77" ht="17" customHeight="1" s="2456">
      <c r="A77" s="765" t="inlineStr">
        <is>
          <t>Thème 4</t>
        </is>
      </c>
      <c r="B77" s="2559">
        <f>IF('Cpts miroirs des parents'!S22&lt;&gt;"",'Cpts miroirs des parents'!S22,"")</f>
        <v/>
      </c>
    </row>
    <row r="78" ht="17" customHeight="1" s="2456">
      <c r="A78" s="765" t="inlineStr">
        <is>
          <t>Thème 5</t>
        </is>
      </c>
      <c r="B78" s="2559">
        <f>IF('Cpts miroirs des parents'!S23&lt;&gt;"",'Cpts miroirs des parents'!S23,"")</f>
        <v/>
      </c>
    </row>
    <row r="79" ht="17" customHeight="1" s="2456">
      <c r="A79" s="765" t="inlineStr">
        <is>
          <t>Thème 6</t>
        </is>
      </c>
      <c r="B79" s="2559">
        <f>IF('Cpts miroirs des parents'!S24&lt;&gt;"",'Cpts miroirs des parents'!S24,"")</f>
        <v/>
      </c>
    </row>
    <row r="80" ht="17" customHeight="1" s="2456">
      <c r="A80" s="765" t="inlineStr">
        <is>
          <t>Thème 7</t>
        </is>
      </c>
      <c r="B80" s="2559">
        <f>IF('Cpts miroirs des parents'!S25&lt;&gt;"",'Cpts miroirs des parents'!S25,"")</f>
        <v/>
      </c>
    </row>
    <row r="81" ht="17" customHeight="1" s="2456">
      <c r="A81" s="765" t="inlineStr">
        <is>
          <t>Thème 8</t>
        </is>
      </c>
      <c r="B81" s="2559">
        <f>IF('Cpts miroirs des parents'!S26&lt;&gt;"",'Cpts miroirs des parents'!S26,"")</f>
        <v/>
      </c>
    </row>
    <row r="82" ht="41" customHeight="1" s="2456">
      <c r="A82" s="765" t="inlineStr">
        <is>
          <t>Constat général ou conclusion, le cas échéant</t>
        </is>
      </c>
      <c r="B82" s="2559">
        <f>IF('Cpts miroirs des parents'!S27&lt;&gt;"",'Cpts miroirs des parents'!S27,"")</f>
        <v/>
      </c>
    </row>
    <row r="83" ht="24" customHeight="1" s="2456">
      <c r="A83" s="36" t="inlineStr">
        <is>
          <t xml:space="preserve">À surveiller : </t>
        </is>
      </c>
      <c r="B83" s="2559">
        <f>'Cpts miroirs des parents'!X18</f>
        <v/>
      </c>
    </row>
    <row r="84" ht="17" customHeight="1" s="2456">
      <c r="A84" s="45" t="inlineStr">
        <is>
          <t>Section s'ouvre que s'il y a du contenu</t>
        </is>
      </c>
      <c r="B84" s="2559" t="inlineStr">
        <is>
          <t>Drapeaux jaunes 🟡</t>
        </is>
      </c>
    </row>
    <row r="85" ht="17" customHeight="1" s="2456">
      <c r="A85" s="45" t="inlineStr">
        <is>
          <t>Général</t>
        </is>
      </c>
      <c r="B85" s="2559">
        <f>IF('Cpts miroirs des parents'!T27&lt;&gt;"",'Cpts miroirs des parents'!T27,"")</f>
        <v/>
      </c>
    </row>
    <row r="86" ht="17" customHeight="1" s="2456">
      <c r="A86" s="1222" t="inlineStr">
        <is>
          <t>Section s'ouvre que s'il y a du contenu</t>
        </is>
      </c>
      <c r="B86" s="2559" t="inlineStr">
        <is>
          <t>Drapeaux rouges 🔴</t>
        </is>
      </c>
    </row>
    <row r="87" ht="17" customHeight="1" s="2456">
      <c r="A87" s="1222" t="inlineStr">
        <is>
          <t>Général</t>
        </is>
      </c>
      <c r="B87" s="2559">
        <f>IF('Cpts miroirs des parents'!U27&lt;&gt;"",'Cpts miroirs des parents'!U27,"")</f>
        <v/>
      </c>
    </row>
    <row r="89" ht="85" customHeight="1" s="2456">
      <c r="A89" t="inlineStr">
        <is>
          <t>Ressources : 📚</t>
        </is>
      </c>
      <c r="B89" s="2559">
        <f>HLOOKUP(1,'Cpts miroirs des parents'!V14:W28,15)</f>
        <v/>
      </c>
    </row>
    <row r="91" ht="28" customHeight="1" s="2456">
      <c r="A91" s="2382" t="inlineStr">
        <is>
          <t>Baromètre 3:</t>
        </is>
      </c>
      <c r="B91" s="2233">
        <f>'Cpts miroirs des parents'!D11</f>
        <v/>
      </c>
    </row>
    <row r="92" ht="206" customHeight="1" s="2456"/>
    <row r="93" ht="102" customFormat="1" customHeight="1" s="2469">
      <c r="A93" s="2271" t="inlineStr">
        <is>
          <t>À propos du baromètre</t>
        </is>
      </c>
      <c r="B93" s="826">
        <f>'Cpts miroirs des parents'!D15</f>
        <v/>
      </c>
    </row>
    <row r="94" ht="57" customHeight="1" s="2456">
      <c r="A94" s="2580" t="inlineStr">
        <is>
          <t>Introduction ( ouverture toujours)</t>
        </is>
      </c>
      <c r="B94" s="2580">
        <f>HLOOKUP(1,'Cpts miroirs des parents'!V30:W31,2)</f>
        <v/>
      </c>
    </row>
    <row r="95" ht="19" customHeight="1" s="2456">
      <c r="A95" s="2374" t="inlineStr">
        <is>
          <t>Les constats</t>
        </is>
      </c>
      <c r="B95" s="2580" t="n"/>
    </row>
    <row r="96" ht="17" customHeight="1" s="2456">
      <c r="A96" s="88" t="inlineStr">
        <is>
          <t>Thème 1</t>
        </is>
      </c>
      <c r="B96" s="2559">
        <f>IF('Cpts miroirs des parents'!S32&lt;&gt;"",'Cpts miroirs des parents'!S32,"")</f>
        <v/>
      </c>
    </row>
    <row r="97" ht="34" customHeight="1" s="2456">
      <c r="A97" s="765" t="inlineStr">
        <is>
          <t>Thème 2</t>
        </is>
      </c>
      <c r="B97" s="2559">
        <f>IF('Cpts miroirs des parents'!S33&lt;&gt;"",'Cpts miroirs des parents'!S33,"")</f>
        <v/>
      </c>
    </row>
    <row r="98" ht="34" customHeight="1" s="2456">
      <c r="A98" s="765" t="inlineStr">
        <is>
          <t>Thème 3</t>
        </is>
      </c>
      <c r="B98" s="2559">
        <f>IF('Cpts miroirs des parents'!S34&lt;&gt;"",'Cpts miroirs des parents'!S34,"")</f>
        <v/>
      </c>
    </row>
    <row r="99" ht="17" customHeight="1" s="2456">
      <c r="A99" s="765" t="inlineStr">
        <is>
          <t>Thème 4</t>
        </is>
      </c>
      <c r="B99" s="2559">
        <f>IF('Cpts miroirs des parents'!S35&lt;&gt;"",'Cpts miroirs des parents'!S35,"")</f>
        <v/>
      </c>
    </row>
    <row r="100" ht="17" customHeight="1" s="2456">
      <c r="A100" s="765" t="inlineStr">
        <is>
          <t>Thème 5</t>
        </is>
      </c>
      <c r="B100" s="2559">
        <f>IF('Cpts miroirs des parents'!S36&lt;&gt;"",'Cpts miroirs des parents'!S36,"")</f>
        <v/>
      </c>
    </row>
    <row r="101" ht="17" customHeight="1" s="2456">
      <c r="A101" s="765" t="inlineStr">
        <is>
          <t>Thème 6</t>
        </is>
      </c>
      <c r="B101" s="2559">
        <f>IF('Cpts miroirs des parents'!S37&lt;&gt;"",'Cpts miroirs des parents'!S37,"")</f>
        <v/>
      </c>
    </row>
    <row r="102" ht="49" customHeight="1" s="2456">
      <c r="A102" s="765" t="inlineStr">
        <is>
          <t>Constat général ou conclusion, le cas échéant</t>
        </is>
      </c>
      <c r="B102" s="2559">
        <f>IF('Cpts miroirs des parents'!S38&lt;&gt;"",'Cpts miroirs des parents'!S38,"")</f>
        <v/>
      </c>
    </row>
    <row r="103" ht="24" customHeight="1" s="2456">
      <c r="A103" s="36" t="inlineStr">
        <is>
          <t xml:space="preserve">À surveiller : </t>
        </is>
      </c>
    </row>
    <row r="104" ht="24" customHeight="1" s="2456">
      <c r="A104" s="36" t="n"/>
      <c r="B104" s="2559">
        <f>'Cpts miroirs des parents'!X52</f>
        <v/>
      </c>
    </row>
    <row r="105" ht="17" customHeight="1" s="2456">
      <c r="A105" s="45" t="inlineStr">
        <is>
          <t>Section s'ouvre que s'il y a du contenu</t>
        </is>
      </c>
      <c r="B105" s="2559" t="inlineStr">
        <is>
          <t>Drapeaux jaunes 🟡</t>
        </is>
      </c>
    </row>
    <row r="106" ht="85" customHeight="1" s="2456">
      <c r="A106" s="2201" t="inlineStr">
        <is>
          <t>Général</t>
        </is>
      </c>
      <c r="B106" s="2559">
        <f>IF('Cpts miroirs des parents'!T38&lt;&gt;"",'Cpts miroirs des parents'!T38,"")</f>
        <v/>
      </c>
    </row>
    <row r="107" ht="17" customHeight="1" s="2456">
      <c r="A107" s="2377" t="inlineStr">
        <is>
          <t>Section s'ouvre que s'il y a du contenu</t>
        </is>
      </c>
      <c r="B107" s="2559" t="inlineStr">
        <is>
          <t>Drapeaux rouges 🔴</t>
        </is>
      </c>
    </row>
    <row r="108" ht="34" customHeight="1" s="2456">
      <c r="A108" s="2377" t="inlineStr">
        <is>
          <t>Général</t>
        </is>
      </c>
      <c r="B108" s="2559">
        <f>IF('Cpts miroirs des parents'!U38&lt;&gt;"",'Cpts miroirs des parents'!U38,"")</f>
        <v/>
      </c>
    </row>
    <row r="110" ht="68" customHeight="1" s="2456">
      <c r="A110" t="inlineStr">
        <is>
          <t>Ressources : 📚</t>
        </is>
      </c>
      <c r="B110" s="2559">
        <f>HLOOKUP(1,'Cpts miroirs des parents'!V30:W39,10)</f>
        <v/>
      </c>
    </row>
    <row r="112" ht="22" customHeight="1" s="2456">
      <c r="A112" t="inlineStr">
        <is>
          <t>Rapport</t>
        </is>
      </c>
      <c r="B112" s="2420" t="inlineStr">
        <is>
          <t>Quelle est la dynamique familiale à laquelle l'enfant est exposé ?</t>
        </is>
      </c>
    </row>
    <row r="114" ht="21" customHeight="1" s="2456">
      <c r="A114" s="2382" t="inlineStr">
        <is>
          <t>Baromètre 4:</t>
        </is>
      </c>
      <c r="B114" s="2233">
        <f>'Cpts préjudiciables parents'!C2</f>
        <v/>
      </c>
    </row>
    <row r="115" ht="261" customHeight="1" s="2456"/>
    <row r="116" ht="97" customHeight="1" s="2456">
      <c r="A116" s="2271" t="inlineStr">
        <is>
          <t>À propos du baromètre</t>
        </is>
      </c>
      <c r="B116" s="826">
        <f>'Cpts préjudiciables parents'!C4</f>
        <v/>
      </c>
      <c r="C116" s="2457" t="n"/>
    </row>
    <row r="117" ht="122" customHeight="1" s="2456">
      <c r="A117" s="2580" t="inlineStr">
        <is>
          <t>Introduction ( ouverture toujours)</t>
        </is>
      </c>
      <c r="B117" s="2580">
        <f>'Cpts préjudiciables parents'!L7</f>
        <v/>
      </c>
    </row>
    <row r="118" ht="17" customHeight="1" s="2456">
      <c r="A118" s="2374" t="inlineStr">
        <is>
          <t>Les constats</t>
        </is>
      </c>
    </row>
    <row r="119" ht="68" customHeight="1" s="2456">
      <c r="A119" s="2374" t="inlineStr">
        <is>
          <t>Thème 1 (catégorie B)</t>
        </is>
      </c>
      <c r="B119" s="826">
        <f>IF('Cpts préjudiciables parents'!H15&lt;&gt;"",'Cpts préjudiciables parents'!H15,"")</f>
        <v/>
      </c>
    </row>
    <row r="120" ht="17" customHeight="1" s="2456">
      <c r="A120" s="2374" t="inlineStr">
        <is>
          <t>Thème 2 (catégorieC)</t>
        </is>
      </c>
      <c r="B120" s="2559">
        <f>IF('Cpts préjudiciables parents'!H22&lt;&gt;"",'Cpts préjudiciables parents'!H22,"")</f>
        <v/>
      </c>
    </row>
    <row r="121" ht="17" customHeight="1" s="2456">
      <c r="A121" s="2374" t="inlineStr">
        <is>
          <t>Thème 3 (catégorie D)</t>
        </is>
      </c>
      <c r="B121" s="2559">
        <f>IF('Cpts préjudiciables parents'!H27&lt;&gt;"",'Cpts préjudiciables parents'!H27,"")</f>
        <v/>
      </c>
    </row>
    <row r="122" ht="34" customHeight="1" s="2456">
      <c r="A122" s="2374" t="inlineStr">
        <is>
          <t>Thème 4 (catégorie E)</t>
        </is>
      </c>
      <c r="B122" s="2559">
        <f>IF('Cpts préjudiciables parents'!H37&lt;&gt;"",'Cpts préjudiciables parents'!H37,"")</f>
        <v/>
      </c>
    </row>
    <row r="123" ht="17" customHeight="1" s="2456">
      <c r="A123" s="2374" t="inlineStr">
        <is>
          <t>Thème 5 (catégorie F)</t>
        </is>
      </c>
      <c r="B123" s="2559">
        <f>IF('Cpts préjudiciables parents'!H43&lt;&gt;"",'Cpts préjudiciables parents'!H43,"")</f>
        <v/>
      </c>
    </row>
    <row r="124" ht="17" customHeight="1" s="2456">
      <c r="A124" s="2374" t="inlineStr">
        <is>
          <t>Thème 6 (catégorie G)</t>
        </is>
      </c>
      <c r="B124" s="2559">
        <f>IF('Cpts préjudiciables parents'!H48&lt;&gt;"",'Cpts préjudiciables parents'!H48,"")</f>
        <v/>
      </c>
    </row>
    <row r="125" ht="17" customHeight="1" s="2456">
      <c r="A125" s="2374" t="inlineStr">
        <is>
          <t>Thème 7 (catégorie H)</t>
        </is>
      </c>
      <c r="B125" s="2559">
        <f>IF('Cpts préjudiciables parents'!H53&lt;&gt;"",'Cpts préjudiciables parents'!H53,"")</f>
        <v/>
      </c>
    </row>
    <row r="126" ht="34" customHeight="1" s="2456">
      <c r="A126" s="765" t="inlineStr">
        <is>
          <t>Constat général ou conclusion, le cas échéant</t>
        </is>
      </c>
      <c r="B126" s="2559">
        <f>IF('Cpts préjudiciables parents'!H55&lt;&gt;"",'Cpts préjudiciables parents'!H55,"")</f>
        <v/>
      </c>
    </row>
    <row r="127" ht="24" customHeight="1" s="2456">
      <c r="A127" s="36" t="inlineStr">
        <is>
          <t xml:space="preserve">À surveiller : </t>
        </is>
      </c>
    </row>
    <row r="128" ht="36" customHeight="1" s="2456">
      <c r="A128" s="36" t="n"/>
      <c r="B128" s="2559">
        <f>'Cpts préjudiciables parents'!M7</f>
        <v/>
      </c>
    </row>
    <row r="129" ht="24" customHeight="1" s="2456">
      <c r="A129" s="36" t="n"/>
      <c r="B129" s="2559" t="inlineStr">
        <is>
          <t>Drapeaux jaunes 🟡</t>
        </is>
      </c>
    </row>
    <row r="130" ht="17" customHeight="1" s="2456">
      <c r="A130" t="inlineStr">
        <is>
          <t>Section s'ouvre que s'il y a du contenu</t>
        </is>
      </c>
      <c r="B130" s="2559">
        <f>IF('Cpts miroirs des parents'!T63&lt;&gt;"",'Cpts miroirs des parents'!T63,"")</f>
        <v/>
      </c>
    </row>
    <row r="131" ht="51" customHeight="1" s="2456">
      <c r="A131" s="692" t="inlineStr">
        <is>
          <t>Drapeau du Thème 1 (catégorie B)</t>
        </is>
      </c>
      <c r="B131" s="826">
        <f>IF('Cpts préjudiciables parents'!I15&lt;&gt;"",'Cpts préjudiciables parents'!I15,"")</f>
        <v/>
      </c>
    </row>
    <row r="132" ht="17" customHeight="1" s="2456">
      <c r="A132" s="45" t="inlineStr">
        <is>
          <t>Drapeau sur les comportements du thème 1</t>
        </is>
      </c>
      <c r="B132" s="2559">
        <f>IF('Cpts préjudiciables parents'!I9&lt;&gt;"",'Cpts préjudiciables parents'!I9,"")</f>
        <v/>
      </c>
    </row>
    <row r="133">
      <c r="A133" s="45" t="inlineStr">
        <is>
          <t>Drapeau sur les comportements du thème 1</t>
        </is>
      </c>
    </row>
    <row r="134" ht="17" customHeight="1" s="2456">
      <c r="A134" s="45" t="inlineStr">
        <is>
          <t>Drapeau sur les comportements du thème 1</t>
        </is>
      </c>
      <c r="B134" s="2559">
        <f>IF('Cpts préjudiciables parents'!I10&lt;&gt;"",'Cpts préjudiciables parents'!I10,"")</f>
        <v/>
      </c>
    </row>
    <row r="135" ht="17" customHeight="1" s="2456">
      <c r="A135" s="45" t="inlineStr">
        <is>
          <t>Drapeau sur les comportements du thème 1</t>
        </is>
      </c>
      <c r="B135" s="2559">
        <f>IF('Cpts préjudiciables parents'!I12&lt;&gt;"",'Cpts préjudiciables parents'!I12,"")</f>
        <v/>
      </c>
    </row>
    <row r="136" ht="17" customHeight="1" s="2456">
      <c r="A136" s="45" t="inlineStr">
        <is>
          <t>Drapeau sur les comportements du thème 1</t>
        </is>
      </c>
      <c r="B136" s="2559">
        <f>IF('Cpts préjudiciables parents'!I13&lt;&gt;"",'Cpts préjudiciables parents'!I13,"")</f>
        <v/>
      </c>
    </row>
    <row r="137" ht="17" customHeight="1" s="2456">
      <c r="A137" s="45" t="inlineStr">
        <is>
          <t>Drapeau sur les comportements du thème 1</t>
        </is>
      </c>
      <c r="B137" s="2559">
        <f>IF('Cpts préjudiciables parents'!I14&lt;&gt;"",'Cpts préjudiciables parents'!I14,"")</f>
        <v/>
      </c>
    </row>
    <row r="138" ht="17" customHeight="1" s="2456">
      <c r="A138" s="692" t="inlineStr">
        <is>
          <t>Thème 2 (catégorieC)</t>
        </is>
      </c>
      <c r="B138" s="2559">
        <f>IF('Cpts préjudiciables parents'!I22&lt;&gt;"",'Cpts préjudiciables parents'!I22,"")</f>
        <v/>
      </c>
    </row>
    <row r="139" ht="17" customHeight="1" s="2456">
      <c r="A139" s="45" t="inlineStr">
        <is>
          <t>Drapeau sur les comportements du thème 2</t>
        </is>
      </c>
      <c r="B139" s="2559">
        <f>IF('Cpts préjudiciables parents'!I16&lt;&gt;"",'Cpts préjudiciables parents'!I16,"")</f>
        <v/>
      </c>
    </row>
    <row r="140" ht="17" customHeight="1" s="2456">
      <c r="A140" s="45" t="inlineStr">
        <is>
          <t>Drapeau sur les comportements du thème 2</t>
        </is>
      </c>
      <c r="B140" s="2559">
        <f>IF('Cpts préjudiciables parents'!I17&lt;&gt;"",'Cpts préjudiciables parents'!I17,"")</f>
        <v/>
      </c>
    </row>
    <row r="141" ht="17" customHeight="1" s="2456">
      <c r="A141" s="45" t="inlineStr">
        <is>
          <t>Drapeau sur les comportements du thème 2</t>
        </is>
      </c>
      <c r="B141" s="2559">
        <f>IF('Cpts préjudiciables parents'!I18&lt;&gt;"",'Cpts préjudiciables parents'!I18,"")</f>
        <v/>
      </c>
    </row>
    <row r="142" ht="17" customHeight="1" s="2456">
      <c r="A142" s="45" t="inlineStr">
        <is>
          <t>Drapeau sur les comportements du thème 2</t>
        </is>
      </c>
      <c r="B142" s="2559">
        <f>IF('Cpts préjudiciables parents'!I19&lt;&gt;"",'Cpts préjudiciables parents'!I19,"")</f>
        <v/>
      </c>
    </row>
    <row r="143" ht="17" customHeight="1" s="2456">
      <c r="A143" s="45" t="inlineStr">
        <is>
          <t>Drapeau sur les comportements du thème 2</t>
        </is>
      </c>
      <c r="B143" s="2559">
        <f>IF('Cpts préjudiciables parents'!I20&lt;&gt;"",'Cpts préjudiciables parents'!I20,"")</f>
        <v/>
      </c>
    </row>
    <row r="144" ht="17" customHeight="1" s="2456">
      <c r="A144" s="45" t="inlineStr">
        <is>
          <t>Drapeau sur les comportements du thème 2</t>
        </is>
      </c>
      <c r="B144" s="2559">
        <f>IF('Cpts préjudiciables parents'!I21&lt;&gt;"",'Cpts préjudiciables parents'!I21,"")</f>
        <v/>
      </c>
    </row>
    <row r="145" ht="17" customHeight="1" s="2456">
      <c r="A145" s="692" t="inlineStr">
        <is>
          <t>Thème 3 (catégorie D)</t>
        </is>
      </c>
      <c r="B145" s="2559">
        <f>IF('Cpts préjudiciables parents'!I27&lt;&gt;"",'Cpts préjudiciables parents'!I27,"")</f>
        <v/>
      </c>
    </row>
    <row r="146" ht="17" customHeight="1" s="2456">
      <c r="A146" s="45" t="inlineStr">
        <is>
          <t>Drapeau sur les comportements du thème 3</t>
        </is>
      </c>
      <c r="B146" s="2559">
        <f>IF('Cpts préjudiciables parents'!I23&lt;&gt;"",'Cpts préjudiciables parents'!I23,"")</f>
        <v/>
      </c>
    </row>
    <row r="147" ht="17" customHeight="1" s="2456">
      <c r="A147" s="45" t="inlineStr">
        <is>
          <t>Drapeau sur les comportements du thème 3</t>
        </is>
      </c>
      <c r="B147" s="2559">
        <f>IF('Cpts préjudiciables parents'!I24&lt;&gt;"",'Cpts préjudiciables parents'!I24,"")</f>
        <v/>
      </c>
    </row>
    <row r="148" ht="17" customHeight="1" s="2456">
      <c r="A148" s="45" t="inlineStr">
        <is>
          <t>Drapeau sur les comportements du thème 3</t>
        </is>
      </c>
      <c r="B148" s="2559">
        <f>IF('Cpts préjudiciables parents'!I25&lt;&gt;"",'Cpts préjudiciables parents'!I25,"")</f>
        <v/>
      </c>
    </row>
    <row r="149" ht="17" customHeight="1" s="2456">
      <c r="A149" s="45" t="inlineStr">
        <is>
          <t>Drapeau sur les comportements du thème 3</t>
        </is>
      </c>
      <c r="B149" s="2559">
        <f>IF('Cpts préjudiciables parents'!I26&lt;&gt;"",'Cpts préjudiciables parents'!I26,"")</f>
        <v/>
      </c>
    </row>
    <row r="150" ht="17" customHeight="1" s="2456">
      <c r="A150" s="692" t="inlineStr">
        <is>
          <t>Thème 4 (catégorie E)</t>
        </is>
      </c>
      <c r="B150" s="2559">
        <f>IF('Cpts préjudiciables parents'!I37&lt;&gt;"",'Cpts préjudiciables parents'!I37,"")</f>
        <v/>
      </c>
    </row>
    <row r="151" ht="17" customHeight="1" s="2456">
      <c r="A151" s="45" t="inlineStr">
        <is>
          <t>Drapeau sur les comportements du thème 4</t>
        </is>
      </c>
      <c r="B151" s="2559">
        <f>IF('Cpts préjudiciables parents'!I28&lt;&gt;"",'Cpts préjudiciables parents'!I28,"")</f>
        <v/>
      </c>
    </row>
    <row r="152" ht="17" customHeight="1" s="2456">
      <c r="A152" s="45" t="inlineStr">
        <is>
          <t>Drapeau sur les comportements du thème 4</t>
        </is>
      </c>
      <c r="B152" s="2559">
        <f>IF('Cpts préjudiciables parents'!I29&lt;&gt;"",'Cpts préjudiciables parents'!I29,"")</f>
        <v/>
      </c>
    </row>
    <row r="153" ht="17" customHeight="1" s="2456">
      <c r="A153" s="45" t="inlineStr">
        <is>
          <t>Drapeau sur les comportements du thème 4</t>
        </is>
      </c>
      <c r="B153" s="2559">
        <f>IF('Cpts préjudiciables parents'!I30&lt;&gt;"",'Cpts préjudiciables parents'!I30,"")</f>
        <v/>
      </c>
    </row>
    <row r="154" ht="17" customHeight="1" s="2456">
      <c r="A154" s="45" t="inlineStr">
        <is>
          <t>Drapeau sur les comportements du thème 4</t>
        </is>
      </c>
      <c r="B154" s="2559">
        <f>IF('Cpts préjudiciables parents'!I31&lt;&gt;"",'Cpts préjudiciables parents'!I31,"")</f>
        <v/>
      </c>
    </row>
    <row r="155" ht="17" customHeight="1" s="2456">
      <c r="A155" s="45" t="inlineStr">
        <is>
          <t>Drapeau sur les comportements du thème 4</t>
        </is>
      </c>
      <c r="B155" s="2559">
        <f>IF('Cpts préjudiciables parents'!I32&lt;&gt;"",'Cpts préjudiciables parents'!I32,"")</f>
        <v/>
      </c>
    </row>
    <row r="156" ht="17" customHeight="1" s="2456">
      <c r="A156" s="45" t="inlineStr">
        <is>
          <t>Drapeau sur les comportements du thème 4</t>
        </is>
      </c>
      <c r="B156" s="2559">
        <f>IF('Cpts préjudiciables parents'!I33&lt;&gt;"",'Cpts préjudiciables parents'!I33,"")</f>
        <v/>
      </c>
    </row>
    <row r="157" ht="17" customHeight="1" s="2456">
      <c r="A157" s="45" t="inlineStr">
        <is>
          <t>Drapeau sur les comportements du thème 4</t>
        </is>
      </c>
      <c r="B157" s="2559">
        <f>IF('Cpts préjudiciables parents'!I34&lt;&gt;"",'Cpts préjudiciables parents'!I34,"")</f>
        <v/>
      </c>
    </row>
    <row r="158" ht="17" customHeight="1" s="2456">
      <c r="A158" s="45" t="inlineStr">
        <is>
          <t>Drapeau sur les comportements du thème 4</t>
        </is>
      </c>
      <c r="B158" s="2559">
        <f>IF('Cpts préjudiciables parents'!I35&lt;&gt;"",'Cpts préjudiciables parents'!I35,"")</f>
        <v/>
      </c>
    </row>
    <row r="159" ht="17" customHeight="1" s="2456">
      <c r="A159" s="45" t="inlineStr">
        <is>
          <t>Drapeau sur les comportements du thème 4</t>
        </is>
      </c>
      <c r="B159" s="2559">
        <f>IF('Cpts préjudiciables parents'!I36&lt;&gt;"",'Cpts préjudiciables parents'!I36,"")</f>
        <v/>
      </c>
    </row>
    <row r="160" ht="17" customHeight="1" s="2456">
      <c r="A160" s="692" t="inlineStr">
        <is>
          <t>Thème 5 (catégorie F)</t>
        </is>
      </c>
      <c r="B160" s="2559">
        <f>IF('Cpts préjudiciables parents'!I43&lt;&gt;"",'Cpts préjudiciables parents'!I43,"")</f>
        <v/>
      </c>
    </row>
    <row r="161" ht="17" customHeight="1" s="2456">
      <c r="A161" s="45" t="inlineStr">
        <is>
          <t>Drapeau sur les comportements du thème 5</t>
        </is>
      </c>
      <c r="B161" s="2559">
        <f>IF('Cpts préjudiciables parents'!I38&lt;&gt;"",'Cpts préjudiciables parents'!I38,"")</f>
        <v/>
      </c>
    </row>
    <row r="162" ht="17" customHeight="1" s="2456">
      <c r="A162" s="45" t="inlineStr">
        <is>
          <t>Drapeau sur les comportements du thème 5</t>
        </is>
      </c>
      <c r="B162" s="2559">
        <f>IF('Cpts préjudiciables parents'!I39&lt;&gt;"",'Cpts préjudiciables parents'!I39,"")</f>
        <v/>
      </c>
    </row>
    <row r="163" ht="17" customHeight="1" s="2456">
      <c r="A163" s="45" t="inlineStr">
        <is>
          <t>Drapeau sur les comportements du thème 5</t>
        </is>
      </c>
      <c r="B163" s="2559">
        <f>IF('Cpts préjudiciables parents'!I40&lt;&gt;"",'Cpts préjudiciables parents'!I40,"")</f>
        <v/>
      </c>
    </row>
    <row r="164" ht="17" customHeight="1" s="2456">
      <c r="A164" s="45" t="inlineStr">
        <is>
          <t>Drapeau sur les comportements du thème 5</t>
        </is>
      </c>
      <c r="B164" s="2559">
        <f>IF('Cpts préjudiciables parents'!I41&lt;&gt;"",'Cpts préjudiciables parents'!I41,"")</f>
        <v/>
      </c>
    </row>
    <row r="165" ht="17" customHeight="1" s="2456">
      <c r="A165" s="45" t="inlineStr">
        <is>
          <t>Drapeau sur les comportements du thème 5</t>
        </is>
      </c>
      <c r="B165" s="2559">
        <f>IF('Cpts préjudiciables parents'!I42&lt;&gt;"",'Cpts préjudiciables parents'!I42,"")</f>
        <v/>
      </c>
    </row>
    <row r="166" ht="17" customHeight="1" s="2456">
      <c r="A166" s="692" t="inlineStr">
        <is>
          <t>Thème 6 (catégorie G)</t>
        </is>
      </c>
      <c r="B166" s="2559">
        <f>IF('Cpts préjudiciables parents'!I48&lt;&gt;"",'Cpts préjudiciables parents'!I48,"")</f>
        <v/>
      </c>
    </row>
    <row r="167" ht="17" customHeight="1" s="2456">
      <c r="A167" s="45" t="inlineStr">
        <is>
          <t>Drapeau sur les comportements du thème 6</t>
        </is>
      </c>
      <c r="B167" s="2559">
        <f>IF('Cpts préjudiciables parents'!I44&lt;&gt;"",'Cpts préjudiciables parents'!I44,"")</f>
        <v/>
      </c>
    </row>
    <row r="168" ht="17" customHeight="1" s="2456">
      <c r="A168" s="45" t="inlineStr">
        <is>
          <t>Drapeau sur les comportements du thème 6</t>
        </is>
      </c>
      <c r="B168" s="2559">
        <f>IF('Cpts préjudiciables parents'!I45&lt;&gt;"",'Cpts préjudiciables parents'!I45,"")</f>
        <v/>
      </c>
    </row>
    <row r="169" ht="17" customHeight="1" s="2456">
      <c r="A169" s="45" t="inlineStr">
        <is>
          <t>Drapeau sur les comportements du thème 6</t>
        </is>
      </c>
      <c r="B169" s="2559">
        <f>IF('Cpts préjudiciables parents'!I46&lt;&gt;"",'Cpts préjudiciables parents'!I46,"")</f>
        <v/>
      </c>
    </row>
    <row r="170" ht="17" customHeight="1" s="2456">
      <c r="A170" s="45" t="inlineStr">
        <is>
          <t>Drapeau sur les comportements du thème 6</t>
        </is>
      </c>
      <c r="B170" s="2559">
        <f>IF('Cpts préjudiciables parents'!I47&lt;&gt;"",'Cpts préjudiciables parents'!I47,"")</f>
        <v/>
      </c>
    </row>
    <row r="171" ht="17" customHeight="1" s="2456">
      <c r="A171" s="692" t="inlineStr">
        <is>
          <t>Thème 7 (catégorie H)</t>
        </is>
      </c>
      <c r="B171" s="2559">
        <f>IF('Cpts préjudiciables parents'!I53&lt;&gt;"",'Cpts préjudiciables parents'!I53,"")</f>
        <v/>
      </c>
    </row>
    <row r="172" ht="17" customHeight="1" s="2456">
      <c r="A172" s="45" t="inlineStr">
        <is>
          <t>Drapeau sur les comportements du thème 7</t>
        </is>
      </c>
      <c r="B172" s="2559">
        <f>IF('Cpts préjudiciables parents'!I49&lt;&gt;"",'Cpts préjudiciables parents'!I49,"")</f>
        <v/>
      </c>
    </row>
    <row r="173" ht="17" customHeight="1" s="2456">
      <c r="A173" s="45" t="inlineStr">
        <is>
          <t>Drapeau sur les comportements du thème 7</t>
        </is>
      </c>
      <c r="B173" s="2559">
        <f>IF('Cpts préjudiciables parents'!I50&lt;&gt;"",'Cpts préjudiciables parents'!I50,"")</f>
        <v/>
      </c>
    </row>
    <row r="174" ht="17" customHeight="1" s="2456">
      <c r="A174" s="45" t="inlineStr">
        <is>
          <t>Drapeau sur les comportements du thème 7</t>
        </is>
      </c>
      <c r="B174" s="2559">
        <f>IF('Cpts préjudiciables parents'!I51&lt;&gt;"",'Cpts préjudiciables parents'!I51,"")</f>
        <v/>
      </c>
    </row>
    <row r="175" ht="17" customHeight="1" s="2456">
      <c r="A175" s="45" t="inlineStr">
        <is>
          <t>Drapeau sur les comportements du thème 7</t>
        </is>
      </c>
      <c r="B175" s="2559">
        <f>IF('Cpts préjudiciables parents'!I52&lt;&gt;"",'Cpts préjudiciables parents'!I52,"")</f>
        <v/>
      </c>
    </row>
    <row r="176" ht="17" customHeight="1" s="2456">
      <c r="B176" s="2559" t="inlineStr">
        <is>
          <t>Drapeaux rouges 🔴</t>
        </is>
      </c>
    </row>
    <row r="177" ht="17" customHeight="1" s="2456">
      <c r="A177" t="inlineStr">
        <is>
          <t>Section s'ouvre que s'il y a du contenu</t>
        </is>
      </c>
      <c r="B177" s="2559">
        <f>IF('Cpts miroirs des parents'!U84&lt;&gt;"",'Cpts miroirs des parents'!U84,"")</f>
        <v/>
      </c>
    </row>
    <row r="178" ht="17" customHeight="1" s="2456">
      <c r="A178" s="1222" t="inlineStr">
        <is>
          <t>Drapeau du Thème 1 (catégorie B)</t>
        </is>
      </c>
      <c r="B178" s="2559">
        <f>IF('Cpts préjudiciables parents'!J15&lt;&gt;"",'Cpts préjudiciables parents'!J15,"")</f>
        <v/>
      </c>
    </row>
    <row r="179" ht="17" customHeight="1" s="2456">
      <c r="A179" s="1222" t="inlineStr">
        <is>
          <t>Drapeau sur les comportements du thème 1</t>
        </is>
      </c>
      <c r="B179" s="2559">
        <f>IF('Cpts préjudiciables parents'!J9&lt;&gt;"",'Cpts préjudiciables parents'!J9,"")</f>
        <v/>
      </c>
    </row>
    <row r="180" ht="17" customHeight="1" s="2456">
      <c r="A180" s="1222" t="inlineStr">
        <is>
          <t>Drapeau sur les comportements du thème 1</t>
        </is>
      </c>
      <c r="B180" s="2559">
        <f>IF('Cpts préjudiciables parents'!J10&lt;&gt;"",'Cpts préjudiciables parents'!J10,"")</f>
        <v/>
      </c>
    </row>
    <row r="181" ht="17" customHeight="1" s="2456">
      <c r="A181" s="1222" t="inlineStr">
        <is>
          <t>Drapeau sur les comportements du thème 1</t>
        </is>
      </c>
      <c r="B181" s="2559">
        <f>IF('Cpts préjudiciables parents'!J11&lt;&gt;"",'Cpts préjudiciables parents'!J11,"")</f>
        <v/>
      </c>
    </row>
    <row r="182" ht="17" customHeight="1" s="2456">
      <c r="A182" s="1222" t="inlineStr">
        <is>
          <t>Drapeau sur les comportements du thème 1</t>
        </is>
      </c>
      <c r="B182" s="2559">
        <f>IF('Cpts préjudiciables parents'!J12&lt;&gt;"",'Cpts préjudiciables parents'!J12,"")</f>
        <v/>
      </c>
    </row>
    <row r="183" ht="17" customHeight="1" s="2456">
      <c r="A183" s="1222" t="inlineStr">
        <is>
          <t>Drapeau sur les comportements du thème 1</t>
        </is>
      </c>
      <c r="B183" s="2559">
        <f>IF('Cpts préjudiciables parents'!J13&lt;&gt;"",'Cpts préjudiciables parents'!J13,"")</f>
        <v/>
      </c>
    </row>
    <row r="184" ht="17" customHeight="1" s="2456">
      <c r="A184" s="1222" t="inlineStr">
        <is>
          <t>Drapeau sur les comportements du thème 1</t>
        </is>
      </c>
      <c r="B184" s="2559">
        <f>IF('Cpts préjudiciables parents'!J14&lt;&gt;"",'Cpts préjudiciables parents'!J14,"")</f>
        <v/>
      </c>
    </row>
    <row r="185" ht="17" customHeight="1" s="2456">
      <c r="A185" s="1222" t="inlineStr">
        <is>
          <t>Thème 2 (catégorieC)</t>
        </is>
      </c>
      <c r="B185" s="2559">
        <f>IF('Cpts préjudiciables parents'!J22&lt;&gt;"",'Cpts préjudiciables parents'!J22,"")</f>
        <v/>
      </c>
    </row>
    <row r="186" ht="17" customHeight="1" s="2456">
      <c r="A186" s="1222" t="inlineStr">
        <is>
          <t>Drapeau sur les comportements du thème 2</t>
        </is>
      </c>
      <c r="B186" s="2559">
        <f>IF('Cpts préjudiciables parents'!J16&lt;&gt;"",'Cpts préjudiciables parents'!J16,"")</f>
        <v/>
      </c>
    </row>
    <row r="187" ht="17" customHeight="1" s="2456">
      <c r="A187" s="1222" t="inlineStr">
        <is>
          <t>Drapeau sur les comportements du thème 2</t>
        </is>
      </c>
      <c r="B187" s="2559">
        <f>IF('Cpts préjudiciables parents'!J17&lt;&gt;"",'Cpts préjudiciables parents'!J17,"")</f>
        <v/>
      </c>
    </row>
    <row r="188" ht="17" customHeight="1" s="2456">
      <c r="A188" s="1222" t="inlineStr">
        <is>
          <t>Drapeau sur les comportements du thème 2</t>
        </is>
      </c>
      <c r="B188" s="2559">
        <f>IF('Cpts préjudiciables parents'!J18&lt;&gt;"",'Cpts préjudiciables parents'!J18,"")</f>
        <v/>
      </c>
    </row>
    <row r="189" ht="17" customHeight="1" s="2456">
      <c r="A189" s="1222" t="inlineStr">
        <is>
          <t>Drapeau sur les comportements du thème 2</t>
        </is>
      </c>
      <c r="B189" s="2559">
        <f>IF('Cpts préjudiciables parents'!J19&lt;&gt;"",'Cpts préjudiciables parents'!J19,"")</f>
        <v/>
      </c>
    </row>
    <row r="190" ht="17" customHeight="1" s="2456">
      <c r="A190" s="1222" t="inlineStr">
        <is>
          <t>Drapeau sur les comportements du thème 2</t>
        </is>
      </c>
      <c r="B190" s="2559">
        <f>IF('Cpts préjudiciables parents'!J20&lt;&gt;"",'Cpts préjudiciables parents'!J20,"")</f>
        <v/>
      </c>
    </row>
    <row r="191" ht="17" customHeight="1" s="2456">
      <c r="A191" s="1222" t="inlineStr">
        <is>
          <t>Drapeau sur les comportements du thème 2</t>
        </is>
      </c>
      <c r="B191" s="2559">
        <f>IF('Cpts préjudiciables parents'!J21&lt;&gt;"",'Cpts préjudiciables parents'!J21,"")</f>
        <v/>
      </c>
    </row>
    <row r="192" ht="17" customHeight="1" s="2456">
      <c r="A192" s="1222" t="inlineStr">
        <is>
          <t>Thème 3 (catégorie D)</t>
        </is>
      </c>
      <c r="B192" s="2559">
        <f>IF('Cpts préjudiciables parents'!J27&lt;&gt;"",'Cpts préjudiciables parents'!J27,"")</f>
        <v/>
      </c>
    </row>
    <row r="193" ht="17" customHeight="1" s="2456">
      <c r="A193" s="1222" t="inlineStr">
        <is>
          <t>Drapeau sur les comportements du thème 3</t>
        </is>
      </c>
      <c r="B193" s="2559">
        <f>IF('Cpts préjudiciables parents'!J23&lt;&gt;"",'Cpts préjudiciables parents'!J23,"")</f>
        <v/>
      </c>
    </row>
    <row r="194" ht="17" customHeight="1" s="2456">
      <c r="A194" s="1222" t="inlineStr">
        <is>
          <t>Drapeau sur les comportements du thème 3</t>
        </is>
      </c>
      <c r="B194" s="2559">
        <f>IF('Cpts préjudiciables parents'!J24&lt;&gt;"",'Cpts préjudiciables parents'!J24,"")</f>
        <v/>
      </c>
    </row>
    <row r="195" ht="17" customHeight="1" s="2456">
      <c r="A195" s="1222" t="inlineStr">
        <is>
          <t>Drapeau sur les comportements du thème 3</t>
        </is>
      </c>
      <c r="B195" s="2559">
        <f>IF('Cpts préjudiciables parents'!J25&lt;&gt;"",'Cpts préjudiciables parents'!J25,"")</f>
        <v/>
      </c>
    </row>
    <row r="196" ht="17" customHeight="1" s="2456">
      <c r="A196" s="1222" t="inlineStr">
        <is>
          <t>Drapeau sur les comportements du thème 3</t>
        </is>
      </c>
      <c r="B196" s="2559">
        <f>IF('Cpts préjudiciables parents'!J26&lt;&gt;"",'Cpts préjudiciables parents'!J26,"")</f>
        <v/>
      </c>
    </row>
    <row r="197" ht="17" customHeight="1" s="2456">
      <c r="A197" s="1222" t="inlineStr">
        <is>
          <t>Thème 4 (catégorie E)</t>
        </is>
      </c>
      <c r="B197" s="2559">
        <f>IF('Cpts préjudiciables parents'!J37&lt;&gt;"",'Cpts préjudiciables parents'!J37,"")</f>
        <v/>
      </c>
    </row>
    <row r="198" ht="17" customHeight="1" s="2456">
      <c r="A198" s="1222" t="inlineStr">
        <is>
          <t>Drapeau sur les comportements du thème 4</t>
        </is>
      </c>
      <c r="B198" s="2559">
        <f>IF('Cpts préjudiciables parents'!J28&lt;&gt;"",'Cpts préjudiciables parents'!J28,"")</f>
        <v/>
      </c>
    </row>
    <row r="199" ht="17" customHeight="1" s="2456">
      <c r="A199" s="1222" t="inlineStr">
        <is>
          <t>Drapeau sur les comportements du thème 4</t>
        </is>
      </c>
      <c r="B199" s="2559">
        <f>IF('Cpts préjudiciables parents'!J29&lt;&gt;"",'Cpts préjudiciables parents'!J29,"")</f>
        <v/>
      </c>
    </row>
    <row r="200" ht="17" customHeight="1" s="2456">
      <c r="A200" s="1222" t="inlineStr">
        <is>
          <t>Drapeau sur les comportements du thème 4</t>
        </is>
      </c>
      <c r="B200" s="2559">
        <f>IF('Cpts préjudiciables parents'!J30&lt;&gt;"",'Cpts préjudiciables parents'!J30,"")</f>
        <v/>
      </c>
    </row>
    <row r="201" ht="17" customHeight="1" s="2456">
      <c r="A201" s="1222" t="inlineStr">
        <is>
          <t>Drapeau sur les comportements du thème 4</t>
        </is>
      </c>
      <c r="B201" s="2559">
        <f>IF('Cpts préjudiciables parents'!J31&lt;&gt;"",'Cpts préjudiciables parents'!J31,"")</f>
        <v/>
      </c>
    </row>
    <row r="202" ht="17" customHeight="1" s="2456">
      <c r="A202" s="1222" t="inlineStr">
        <is>
          <t>Drapeau sur les comportements du thème 4</t>
        </is>
      </c>
      <c r="B202" s="2559">
        <f>IF('Cpts préjudiciables parents'!J32&lt;&gt;"",'Cpts préjudiciables parents'!J32,"")</f>
        <v/>
      </c>
    </row>
    <row r="203" ht="187" customHeight="1" s="2456">
      <c r="A203" s="1222" t="inlineStr">
        <is>
          <t>Drapeau sur les comportements du thème 4</t>
        </is>
      </c>
      <c r="B203" s="826">
        <f>IF('Cpts préjudiciables parents'!J33&lt;&gt;"",'Cpts préjudiciables parents'!J33,"")</f>
        <v/>
      </c>
    </row>
    <row r="204" ht="17" customHeight="1" s="2456">
      <c r="A204" s="1222" t="inlineStr">
        <is>
          <t>Drapeau sur les comportements du thème 4</t>
        </is>
      </c>
      <c r="B204" s="2559">
        <f>IF('Cpts préjudiciables parents'!J34&lt;&gt;"",'Cpts préjudiciables parents'!J34,"")</f>
        <v/>
      </c>
    </row>
    <row r="205" ht="17" customHeight="1" s="2456">
      <c r="A205" s="1222" t="inlineStr">
        <is>
          <t>Drapeau sur les comportements du thème 4</t>
        </is>
      </c>
      <c r="B205" s="2559">
        <f>IF('Cpts préjudiciables parents'!J35&lt;&gt;"",'Cpts préjudiciables parents'!J35,"")</f>
        <v/>
      </c>
    </row>
    <row r="206" ht="17" customHeight="1" s="2456">
      <c r="A206" s="1222" t="inlineStr">
        <is>
          <t>Drapeau sur les comportements du thème 4</t>
        </is>
      </c>
      <c r="B206" s="2559">
        <f>IF('Cpts préjudiciables parents'!J36&lt;&gt;"",'Cpts préjudiciables parents'!J36,"")</f>
        <v/>
      </c>
    </row>
    <row r="207" ht="17" customHeight="1" s="2456">
      <c r="A207" s="1222" t="inlineStr">
        <is>
          <t>Thème 5 (catégorie F)</t>
        </is>
      </c>
      <c r="B207" s="2559">
        <f>IF('Cpts préjudiciables parents'!J43&lt;&gt;"",'Cpts préjudiciables parents'!J43,"")</f>
        <v/>
      </c>
    </row>
    <row r="208" ht="17" customHeight="1" s="2456">
      <c r="A208" s="1222" t="inlineStr">
        <is>
          <t>Drapeau sur les comportements du thème 5</t>
        </is>
      </c>
      <c r="B208" s="2559">
        <f>IF('Cpts préjudiciables parents'!J38&lt;&gt;"",'Cpts préjudiciables parents'!J38,"")</f>
        <v/>
      </c>
    </row>
    <row r="209" ht="17" customHeight="1" s="2456">
      <c r="A209" s="1222" t="inlineStr">
        <is>
          <t>Drapeau sur les comportements du thème 5</t>
        </is>
      </c>
      <c r="B209" s="2559">
        <f>IF('Cpts préjudiciables parents'!J39&lt;&gt;"",'Cpts préjudiciables parents'!J39,"")</f>
        <v/>
      </c>
    </row>
    <row r="210" ht="17" customHeight="1" s="2456">
      <c r="A210" s="1222" t="inlineStr">
        <is>
          <t>Drapeau sur les comportements du thème 5</t>
        </is>
      </c>
      <c r="B210" s="2559">
        <f>IF('Cpts préjudiciables parents'!J40&lt;&gt;"",'Cpts préjudiciables parents'!J40,"")</f>
        <v/>
      </c>
    </row>
    <row r="211" ht="19" customHeight="1" s="2456">
      <c r="A211" s="1222" t="inlineStr">
        <is>
          <t>Drapeau sur les comportements du thème 5</t>
        </is>
      </c>
      <c r="B211" s="2559">
        <f>IF('Cpts préjudiciables parents'!J41&lt;&gt;"",'Cpts préjudiciables parents'!J41,"")</f>
        <v/>
      </c>
    </row>
    <row r="212" ht="17" customHeight="1" s="2456">
      <c r="A212" s="1222" t="inlineStr">
        <is>
          <t>Drapeau sur les comportements du thème 5</t>
        </is>
      </c>
      <c r="B212" s="2559">
        <f>IF('Cpts préjudiciables parents'!J42&lt;&gt;"",'Cpts préjudiciables parents'!J42,"")</f>
        <v/>
      </c>
    </row>
    <row r="213" ht="17" customHeight="1" s="2456">
      <c r="A213" s="1222" t="inlineStr">
        <is>
          <t>Thème 6 (catégorie G)</t>
        </is>
      </c>
      <c r="B213" s="2559">
        <f>IF('Cpts préjudiciables parents'!J48&lt;&gt;"",'Cpts préjudiciables parents'!J48,"")</f>
        <v/>
      </c>
    </row>
    <row r="214" ht="17" customHeight="1" s="2456">
      <c r="A214" s="1222" t="inlineStr">
        <is>
          <t>Drapeau sur les comportements du thème 6</t>
        </is>
      </c>
      <c r="B214" s="2559">
        <f>IF('Cpts préjudiciables parents'!J44&lt;&gt;"",'Cpts préjudiciables parents'!J44,"")</f>
        <v/>
      </c>
    </row>
    <row r="215" ht="17" customHeight="1" s="2456">
      <c r="A215" s="1222" t="inlineStr">
        <is>
          <t>Drapeau sur les comportements du thème 6</t>
        </is>
      </c>
      <c r="B215" s="2559">
        <f>IF('Cpts préjudiciables parents'!J45&lt;&gt;"",'Cpts préjudiciables parents'!J45,"")</f>
        <v/>
      </c>
    </row>
    <row r="216" ht="17" customHeight="1" s="2456">
      <c r="A216" s="1222" t="inlineStr">
        <is>
          <t>Drapeau sur les comportements du thème 6</t>
        </is>
      </c>
      <c r="B216" s="2559">
        <f>IF('Cpts préjudiciables parents'!J46&lt;&gt;"",'Cpts préjudiciables parents'!J46,"")</f>
        <v/>
      </c>
    </row>
    <row r="217" ht="17" customHeight="1" s="2456">
      <c r="A217" s="1222" t="inlineStr">
        <is>
          <t>Drapeau sur les comportements du thème 6</t>
        </is>
      </c>
      <c r="B217" s="2559">
        <f>IF('Cpts préjudiciables parents'!J47&lt;&gt;"",'Cpts préjudiciables parents'!J47,"")</f>
        <v/>
      </c>
    </row>
    <row r="218" ht="17" customHeight="1" s="2456">
      <c r="A218" s="1222" t="inlineStr">
        <is>
          <t>Thème 7 (catégorie H)</t>
        </is>
      </c>
      <c r="B218" s="2559">
        <f>IF('Cpts préjudiciables parents'!J53&lt;&gt;"",'Cpts préjudiciables parents'!J53,"")</f>
        <v/>
      </c>
    </row>
    <row r="219" ht="17" customHeight="1" s="2456">
      <c r="A219" s="1222" t="inlineStr">
        <is>
          <t>Drapeau sur les comportements du thème 7</t>
        </is>
      </c>
      <c r="B219" s="2559">
        <f>IF('Cpts préjudiciables parents'!J49&lt;&gt;"",'Cpts préjudiciables parents'!J549,"")</f>
        <v/>
      </c>
    </row>
    <row r="220" ht="17" customHeight="1" s="2456">
      <c r="A220" s="1222" t="inlineStr">
        <is>
          <t>Drapeau sur les comportements du thème 7</t>
        </is>
      </c>
      <c r="B220" s="2559">
        <f>IF('Cpts préjudiciables parents'!J50&lt;&gt;"",'Cpts préjudiciables parents'!J550,"")</f>
        <v/>
      </c>
    </row>
    <row r="221" ht="17" customHeight="1" s="2456">
      <c r="A221" s="1222" t="inlineStr">
        <is>
          <t>Drapeau sur les comportements du thème 7</t>
        </is>
      </c>
      <c r="B221" s="2559">
        <f>IF('Cpts préjudiciables parents'!J51&lt;&gt;"",'Cpts préjudiciables parents'!J551,"")</f>
        <v/>
      </c>
    </row>
    <row r="222" ht="17" customHeight="1" s="2456">
      <c r="A222" s="1222" t="inlineStr">
        <is>
          <t>Drapeau sur les comportements du thème 7</t>
        </is>
      </c>
      <c r="B222" s="2559">
        <f>IF('Cpts préjudiciables parents'!J52&lt;&gt;"",'Cpts préjudiciables parents'!J552,"")</f>
        <v/>
      </c>
    </row>
    <row r="224" ht="119" customHeight="1" s="2456">
      <c r="A224" t="inlineStr">
        <is>
          <t>Ressources : 📚</t>
        </is>
      </c>
      <c r="B224" s="2380">
        <f>'Cpts préjudiciables parents'!L56</f>
        <v/>
      </c>
    </row>
    <row r="226" ht="21" customHeight="1" s="2456">
      <c r="A226" s="2382" t="inlineStr">
        <is>
          <t>Baromètre 5:</t>
        </is>
      </c>
      <c r="B226" s="2233">
        <f>'Indice D''exclusion'!D1</f>
        <v/>
      </c>
    </row>
    <row r="227" ht="125" customHeight="1" s="2456">
      <c r="A227" s="2580" t="inlineStr">
        <is>
          <t>S'affiche uniquement si le résultat est "possible" ou "probable"</t>
        </is>
      </c>
    </row>
    <row r="228" ht="62" customHeight="1" s="2456">
      <c r="A228" s="2271" t="inlineStr">
        <is>
          <t>À propos du baromètre</t>
        </is>
      </c>
      <c r="B228" s="2580">
        <f>'Indice D''exclusion'!D6</f>
        <v/>
      </c>
    </row>
    <row r="229" ht="57" customHeight="1" s="2456">
      <c r="A229" s="2580" t="inlineStr">
        <is>
          <t>Introduction ( ouverture toujours)</t>
        </is>
      </c>
      <c r="B229" s="2580">
        <f>HLOOKUP(1,'Indice D''exclusion'!$S$11:$T$42,2)</f>
        <v/>
      </c>
    </row>
    <row r="230" ht="17" customHeight="1" s="2456">
      <c r="A230" s="2374" t="inlineStr">
        <is>
          <t>Les constats</t>
        </is>
      </c>
      <c r="B230" s="2559">
        <f>IF('Cpts miroirs des parents'!S92&lt;&gt;"",'Cpts miroirs des parents'!S92,"")</f>
        <v/>
      </c>
    </row>
    <row r="231" ht="34" customHeight="1" s="2456">
      <c r="A231" s="2374" t="inlineStr">
        <is>
          <t>Thème 1</t>
        </is>
      </c>
      <c r="B231" s="2559">
        <f>IF('Indice D''exclusion'!P17&lt;&gt;"",'Indice D''exclusion'!P17,"")</f>
        <v/>
      </c>
    </row>
    <row r="232" ht="17" customHeight="1" s="2456">
      <c r="A232" s="2374" t="inlineStr">
        <is>
          <t>Thème 2</t>
        </is>
      </c>
      <c r="B232" s="2559">
        <f>IF('Indice D''exclusion'!P21&lt;&gt;"",'Indice D''exclusion'!P21,"")</f>
        <v/>
      </c>
    </row>
    <row r="233" ht="51" customHeight="1" s="2456">
      <c r="A233" s="2374" t="inlineStr">
        <is>
          <t>Thème 3</t>
        </is>
      </c>
      <c r="B233" s="2559">
        <f>IF('Indice D''exclusion'!P26&lt;&gt;"",'Indice D''exclusion'!P26,"")</f>
        <v/>
      </c>
    </row>
    <row r="234" ht="17" customHeight="1" s="2456">
      <c r="A234" s="2374" t="inlineStr">
        <is>
          <t>Thème 4</t>
        </is>
      </c>
      <c r="B234" s="2559">
        <f>IF('Indice D''exclusion'!P30&lt;&gt;"",'Indice D''exclusion'!P30,"")</f>
        <v/>
      </c>
    </row>
    <row r="235" ht="17" customHeight="1" s="2456">
      <c r="A235" s="2374" t="inlineStr">
        <is>
          <t>Thème 5</t>
        </is>
      </c>
      <c r="B235" s="2559">
        <f>IF('Indice D''exclusion'!P34&lt;&gt;"",'Indice D''exclusion'!P34,"")</f>
        <v/>
      </c>
    </row>
    <row r="236" ht="29" customHeight="1" s="2456">
      <c r="A236" s="765" t="inlineStr">
        <is>
          <t>Constat général ou conclusion, le cas échéant</t>
        </is>
      </c>
      <c r="B236" s="2559">
        <f>IF('Indice D''exclusion'!P41&lt;&gt;"",'Indice D''exclusion'!P41,"")</f>
        <v/>
      </c>
    </row>
    <row r="237" ht="24" customHeight="1" s="2456">
      <c r="A237" s="36" t="inlineStr">
        <is>
          <t xml:space="preserve">À surveiller : </t>
        </is>
      </c>
    </row>
    <row r="238" ht="51" customHeight="1" s="2456">
      <c r="A238" s="36" t="n"/>
      <c r="B238" s="2580">
        <f>HLOOKUP(1,'Indice D''exclusion'!S11:T12,2)</f>
        <v/>
      </c>
    </row>
    <row r="239" ht="17" customHeight="1" s="2456">
      <c r="A239" s="45" t="inlineStr">
        <is>
          <t>Section s'ouvre que s'il y a du contenu</t>
        </is>
      </c>
      <c r="B239" s="2559" t="inlineStr">
        <is>
          <t>Drapeaux jaunes 🟡</t>
        </is>
      </c>
    </row>
    <row r="240" ht="34" customHeight="1" s="2456">
      <c r="A240" s="45" t="inlineStr">
        <is>
          <t>Drapeau sur le thème 1</t>
        </is>
      </c>
      <c r="B240" s="2559">
        <f>IF('Indice D''exclusion'!Q17&lt;&gt;"",'Indice D''exclusion'!Q17,"")</f>
        <v/>
      </c>
    </row>
    <row r="241" ht="17" customHeight="1" s="2456">
      <c r="A241" s="45" t="inlineStr">
        <is>
          <t>Drapeau sur les comportements du thème 1</t>
        </is>
      </c>
      <c r="B241" s="2559">
        <f>IF('Indice D''exclusion'!Q13&lt;&gt;"",'Indice D''exclusion'!Q13,"")</f>
        <v/>
      </c>
    </row>
    <row r="242" ht="17" customHeight="1" s="2456">
      <c r="A242" s="45" t="inlineStr">
        <is>
          <t>Drapeau sur les comportements du thème 1</t>
        </is>
      </c>
      <c r="B242" s="2559">
        <f>IF('Indice D''exclusion'!Q14&lt;&gt;"",'Indice D''exclusion'!Q14,"")</f>
        <v/>
      </c>
    </row>
    <row r="243" ht="17" customHeight="1" s="2456">
      <c r="A243" s="45" t="inlineStr">
        <is>
          <t>Drapeau sur les comportements du thème 1</t>
        </is>
      </c>
      <c r="B243" s="2559">
        <f>IF('Indice D''exclusion'!Q15&lt;&gt;"",'Indice D''exclusion'!Q15,"")</f>
        <v/>
      </c>
    </row>
    <row r="244" ht="17" customHeight="1" s="2456">
      <c r="A244" s="45" t="inlineStr">
        <is>
          <t>Drapeau sur les comportements du thème 1</t>
        </is>
      </c>
      <c r="B244" s="2559">
        <f>IF('Indice D''exclusion'!Q16&lt;&gt;"",'Indice D''exclusion'!Q16,"")</f>
        <v/>
      </c>
    </row>
    <row r="245" ht="17" customHeight="1" s="2456">
      <c r="A245" s="45" t="inlineStr">
        <is>
          <t>Drapeau sur le thème 2</t>
        </is>
      </c>
      <c r="B245" s="2559">
        <f>IF('Indice D''exclusion'!Q21&lt;&gt;"",'Indice D''exclusion'!Q21,"")</f>
        <v/>
      </c>
    </row>
    <row r="246" ht="17" customHeight="1" s="2456">
      <c r="A246" s="45" t="inlineStr">
        <is>
          <t>Drapeau sur les comportements du thème 2</t>
        </is>
      </c>
      <c r="B246" s="2559">
        <f>IF('Indice D''exclusion'!Q18&lt;&gt;"",'Indice D''exclusion'!Q18,"")</f>
        <v/>
      </c>
    </row>
    <row r="247" ht="17" customHeight="1" s="2456">
      <c r="A247" s="45" t="inlineStr">
        <is>
          <t>Drapeau sur les comportements du thème 2</t>
        </is>
      </c>
      <c r="B247" s="2559">
        <f>IF('Indice D''exclusion'!Q19&lt;&gt;"",'Indice D''exclusion'!Q19,"")</f>
        <v/>
      </c>
    </row>
    <row r="248" ht="17" customHeight="1" s="2456">
      <c r="A248" s="45" t="inlineStr">
        <is>
          <t>Drapeau sur les comportements du thème 2</t>
        </is>
      </c>
      <c r="B248" s="2559">
        <f>IF('Indice D''exclusion'!Q20&lt;&gt;"",'Indice D''exclusion'!Q20,"")</f>
        <v/>
      </c>
    </row>
    <row r="249" ht="34" customHeight="1" s="2456">
      <c r="A249" s="45" t="inlineStr">
        <is>
          <t>Drapeau sur le thème 3</t>
        </is>
      </c>
      <c r="B249" s="2559">
        <f>IF('Indice D''exclusion'!Q26&lt;&gt;"",'Indice D''exclusion'!Q26,"")</f>
        <v/>
      </c>
    </row>
    <row r="250" ht="17" customHeight="1" s="2456">
      <c r="A250" s="45" t="inlineStr">
        <is>
          <t>Drapeau sur les comportements du thème 3</t>
        </is>
      </c>
      <c r="B250" s="2559">
        <f>IF('Indice D''exclusion'!Q22&lt;&gt;"",'Indice D''exclusion'!Q22,"")</f>
        <v/>
      </c>
    </row>
    <row r="251" ht="17" customHeight="1" s="2456">
      <c r="A251" s="45" t="inlineStr">
        <is>
          <t>Drapeau sur les comportements du thème 3</t>
        </is>
      </c>
      <c r="B251" s="2559">
        <f>IF('Indice D''exclusion'!Q23&lt;&gt;"",'Indice D''exclusion'!Q23,"")</f>
        <v/>
      </c>
    </row>
    <row r="252" ht="17" customHeight="1" s="2456">
      <c r="A252" s="45" t="inlineStr">
        <is>
          <t>Drapeau sur les comportements du thème 3</t>
        </is>
      </c>
      <c r="B252" s="2559">
        <f>IF('Indice D''exclusion'!Q24&lt;&gt;"",'Indice D''exclusion'!Q24,"")</f>
        <v/>
      </c>
    </row>
    <row r="253" ht="17" customHeight="1" s="2456">
      <c r="A253" s="45" t="inlineStr">
        <is>
          <t>Drapeau sur les comportements du thème 3</t>
        </is>
      </c>
      <c r="B253" s="2559">
        <f>IF('Indice D''exclusion'!Q25&lt;&gt;"",'Indice D''exclusion'!Q25,"")</f>
        <v/>
      </c>
    </row>
    <row r="254" ht="17" customHeight="1" s="2456">
      <c r="A254" s="45" t="inlineStr">
        <is>
          <t>Drapeau sur le thème 4</t>
        </is>
      </c>
      <c r="B254" s="2559">
        <f>IF('Indice D''exclusion'!Q234&lt;&gt;"",'Indice D''exclusion'!Q34,"")</f>
        <v/>
      </c>
    </row>
    <row r="255" ht="17" customHeight="1" s="2456">
      <c r="A255" s="45" t="inlineStr">
        <is>
          <t>Drapeau sur les comportements du thème 4</t>
        </is>
      </c>
      <c r="B255" s="2559">
        <f>IF('Indice D''exclusion'!Q31&lt;&gt;"",'Indice D''exclusion'!Q31,"")</f>
        <v/>
      </c>
    </row>
    <row r="256" ht="17" customHeight="1" s="2456">
      <c r="A256" s="45" t="inlineStr">
        <is>
          <t>Drapeau sur les comportements du thème 4</t>
        </is>
      </c>
      <c r="B256" s="2559">
        <f>IF('Indice D''exclusion'!Q32&lt;&gt;"",'Indice D''exclusion'!Q32,"")</f>
        <v/>
      </c>
    </row>
    <row r="257" ht="17" customHeight="1" s="2456">
      <c r="A257" s="45" t="inlineStr">
        <is>
          <t>Drapeau sur les comportements du thème 4</t>
        </is>
      </c>
      <c r="B257" s="2559">
        <f>IF('Indice D''exclusion'!Q33&lt;&gt;"",'Indice D''exclusion'!Q33,"")</f>
        <v/>
      </c>
    </row>
    <row r="258" ht="17" customHeight="1" s="2456">
      <c r="A258" s="45" t="inlineStr">
        <is>
          <t>Drapeau indépendant 5</t>
        </is>
      </c>
      <c r="B258" s="2559">
        <f>IF('Indice D''exclusion'!Q35&lt;&gt;"",'Indice D''exclusion'!Q35,"")</f>
        <v/>
      </c>
    </row>
    <row r="259" ht="17" customHeight="1" s="2456">
      <c r="A259" s="45" t="inlineStr">
        <is>
          <t>Drapeau indépendant 6</t>
        </is>
      </c>
      <c r="B259" s="2559">
        <f>IF('Indice D''exclusion'!Q36&lt;&gt;"",'Indice D''exclusion'!Q36,"")</f>
        <v/>
      </c>
    </row>
    <row r="260" ht="17" customHeight="1" s="2456">
      <c r="B260" s="2559" t="inlineStr">
        <is>
          <t>Drapeaux rouges 🔴</t>
        </is>
      </c>
    </row>
    <row r="261">
      <c r="A261" s="1222" t="inlineStr">
        <is>
          <t>Section s'ouvre que s'il y a du contenu</t>
        </is>
      </c>
    </row>
    <row r="262" ht="17" customHeight="1" s="2456">
      <c r="A262" s="1222" t="inlineStr">
        <is>
          <t>Drapeau sur le thème 1</t>
        </is>
      </c>
      <c r="B262" s="2559">
        <f>IF('Indice D''exclusion'!R17&lt;&gt;"",'Indice D''exclusion'!R17,"")</f>
        <v/>
      </c>
    </row>
    <row r="263" ht="17" customHeight="1" s="2456">
      <c r="A263" s="1222" t="inlineStr">
        <is>
          <t>Drapeau sur les comportements du thème 1</t>
        </is>
      </c>
      <c r="B263" s="2559">
        <f>IF('Indice D''exclusion'!R13&lt;&gt;"",'Indice D''exclusion'!R13,"")</f>
        <v/>
      </c>
    </row>
    <row r="264" ht="51" customHeight="1" s="2456">
      <c r="A264" s="1222" t="inlineStr">
        <is>
          <t>Drapeau sur les comportements du thème 1</t>
        </is>
      </c>
      <c r="B264" s="2559">
        <f>IF('Indice D''exclusion'!R14&lt;&gt;"",'Indice D''exclusion'!R14,"")</f>
        <v/>
      </c>
    </row>
    <row r="265" ht="17" customHeight="1" s="2456">
      <c r="A265" s="1222" t="inlineStr">
        <is>
          <t>Drapeau sur les comportements du thème 1</t>
        </is>
      </c>
      <c r="B265" s="2559">
        <f>IF('Indice D''exclusion'!R15&lt;&gt;"",'Indice D''exclusion'!R15,"")</f>
        <v/>
      </c>
    </row>
    <row r="266" ht="255" customHeight="1" s="2456">
      <c r="A266" s="1222" t="inlineStr">
        <is>
          <t>Drapeau sur les comportements du thème 1</t>
        </is>
      </c>
      <c r="B266" s="2559">
        <f>IF('Indice D''exclusion'!R16&lt;&gt;"",'Indice D''exclusion'!R16,"")</f>
        <v/>
      </c>
    </row>
    <row r="267" ht="17" customHeight="1" s="2456">
      <c r="A267" s="1222" t="inlineStr">
        <is>
          <t>Drapeau sur le thème 2</t>
        </is>
      </c>
      <c r="B267" s="2559">
        <f>IF('Indice D''exclusion'!R21&lt;&gt;"",'Indice D''exclusion'!R21,"")</f>
        <v/>
      </c>
    </row>
    <row r="268" ht="17" customHeight="1" s="2456">
      <c r="A268" s="1222" t="inlineStr">
        <is>
          <t>Drapeau sur les comportements du thème 2</t>
        </is>
      </c>
      <c r="B268" s="2559">
        <f>IF('Indice D''exclusion'!R18&lt;&gt;"",'Indice D''exclusion'!R18,"")</f>
        <v/>
      </c>
    </row>
    <row r="269" ht="17" customHeight="1" s="2456">
      <c r="A269" s="1222" t="inlineStr">
        <is>
          <t>Drapeau sur les comportements du thème 2</t>
        </is>
      </c>
      <c r="B269" s="2559">
        <f>IF('Indice D''exclusion'!R19&lt;&gt;"",'Indice D''exclusion'!R19,"")</f>
        <v/>
      </c>
    </row>
    <row r="270" ht="17" customHeight="1" s="2456">
      <c r="A270" s="1222" t="inlineStr">
        <is>
          <t>Drapeau sur les comportements du thème 2</t>
        </is>
      </c>
      <c r="B270" s="2559">
        <f>IF('Indice D''exclusion'!R20&lt;&gt;"",'Indice D''exclusion'!R20,"")</f>
        <v/>
      </c>
    </row>
    <row r="271" ht="17" customHeight="1" s="2456">
      <c r="A271" s="1222" t="inlineStr">
        <is>
          <t>Drapeau sur le thème 3</t>
        </is>
      </c>
      <c r="B271" s="2559">
        <f>IF('Indice D''exclusion'!R26&lt;&gt;"",'Indice D''exclusion'!R26,"")</f>
        <v/>
      </c>
    </row>
    <row r="272" ht="17" customHeight="1" s="2456">
      <c r="A272" s="1222" t="inlineStr">
        <is>
          <t>Drapeau sur les comportements du thème 3</t>
        </is>
      </c>
      <c r="B272" s="2559">
        <f>IF('Indice D''exclusion'!R22&lt;&gt;"",'Indice D''exclusion'!R22,"")</f>
        <v/>
      </c>
    </row>
    <row r="273" ht="17" customHeight="1" s="2456">
      <c r="A273" s="1222" t="inlineStr">
        <is>
          <t>Drapeau sur les comportements du thème 3</t>
        </is>
      </c>
      <c r="B273" s="2559">
        <f>IF('Indice D''exclusion'!R23&lt;&gt;"",'Indice D''exclusion'!R23,"")</f>
        <v/>
      </c>
    </row>
    <row r="274" ht="17" customHeight="1" s="2456">
      <c r="A274" s="1222" t="inlineStr">
        <is>
          <t>Drapeau sur les comportements du thème 3</t>
        </is>
      </c>
      <c r="B274" s="2559">
        <f>IF('Indice D''exclusion'!R24&lt;&gt;"",'Indice D''exclusion'!R24,"")</f>
        <v/>
      </c>
    </row>
    <row r="275" ht="17" customHeight="1" s="2456">
      <c r="A275" s="1222" t="inlineStr">
        <is>
          <t>Drapeau sur les comportements du thème 3</t>
        </is>
      </c>
      <c r="B275" s="2559">
        <f>IF('Indice D''exclusion'!R25&lt;&gt;"",'Indice D''exclusion'!R25,"")</f>
        <v/>
      </c>
    </row>
    <row r="276" ht="17" customHeight="1" s="2456">
      <c r="A276" s="1222" t="inlineStr">
        <is>
          <t>Drapeau sur le thème 4</t>
        </is>
      </c>
      <c r="B276" s="2559">
        <f>IF('Indice D''exclusion'!R30&lt;&gt;"",'Indice D''exclusion'!R30,"")</f>
        <v/>
      </c>
    </row>
    <row r="277" ht="17" customHeight="1" s="2456">
      <c r="A277" s="1222" t="inlineStr">
        <is>
          <t>Drapeau sur les comportements du thème 4</t>
        </is>
      </c>
      <c r="B277" s="2559">
        <f>IF('Indice D''exclusion'!R27&lt;&gt;"",'Indice D''exclusion'!R27,"")</f>
        <v/>
      </c>
    </row>
    <row r="278" ht="17" customHeight="1" s="2456">
      <c r="A278" s="1222" t="inlineStr">
        <is>
          <t>Drapeau sur les comportements du thème 4</t>
        </is>
      </c>
      <c r="B278" s="2559">
        <f>IF('Indice D''exclusion'!R28&lt;&gt;"",'Indice D''exclusion'!R28,"")</f>
        <v/>
      </c>
    </row>
    <row r="279" ht="17" customHeight="1" s="2456">
      <c r="A279" s="1222" t="inlineStr">
        <is>
          <t>Drapeau sur les comportements du thème 4</t>
        </is>
      </c>
      <c r="B279" s="2559">
        <f>IF('Indice D''exclusion'!R29&lt;&gt;"",'Indice D''exclusion'!R29,"")</f>
        <v/>
      </c>
    </row>
    <row r="280" ht="17" customHeight="1" s="2456">
      <c r="A280" s="1222" t="inlineStr">
        <is>
          <t>Drapeau indépendant 5</t>
        </is>
      </c>
      <c r="B280" s="2559">
        <f>IF('Indice D''exclusion'!R35&lt;&gt;"",'Indice D''exclusion'!R35,"")</f>
        <v/>
      </c>
    </row>
    <row r="281" ht="51" customHeight="1" s="2456">
      <c r="A281" s="1222" t="inlineStr">
        <is>
          <t>Drapeau indépendant 6</t>
        </is>
      </c>
      <c r="B281" s="2559">
        <f>IF('Indice D''exclusion'!R36&lt;&gt;"",'Indice D''exclusion'!R36,"")</f>
        <v/>
      </c>
    </row>
    <row r="283" ht="34" customHeight="1" s="2456">
      <c r="A283" t="inlineStr">
        <is>
          <t>Ressources : 📚</t>
        </is>
      </c>
      <c r="B283" s="2559">
        <f>HLOOKUP(1,'Indice D''exclusion'!S11:T42,32)</f>
        <v/>
      </c>
    </row>
    <row r="285" ht="40" customHeight="1" s="2456">
      <c r="A285" s="2383" t="inlineStr">
        <is>
          <t>Baromètre 6:</t>
        </is>
      </c>
      <c r="B285" s="2233">
        <f>'Contribution NC'!C2</f>
        <v/>
      </c>
    </row>
    <row r="286" ht="137" customHeight="1" s="2456"/>
    <row r="287" ht="41" customHeight="1" s="2456">
      <c r="A287" s="2271" t="inlineStr">
        <is>
          <t>À propos du baromètre</t>
        </is>
      </c>
      <c r="B287" s="2580">
        <f>'Contribution NC'!C10</f>
        <v/>
      </c>
      <c r="C287" s="2465" t="n"/>
      <c r="D287" s="2580" t="n"/>
      <c r="E287" s="2580" t="n"/>
    </row>
    <row r="288" ht="57" customHeight="1" s="2456">
      <c r="A288" s="2580" t="inlineStr">
        <is>
          <t>Introduction ( ouverture toujours)</t>
        </is>
      </c>
      <c r="B288" s="586">
        <f>'Contribution NC'!I14</f>
        <v/>
      </c>
    </row>
    <row r="289" ht="41" customHeight="1" s="2456">
      <c r="A289" s="2374" t="inlineStr">
        <is>
          <t>Les constats</t>
        </is>
      </c>
    </row>
    <row r="290" ht="17" customHeight="1" s="2456">
      <c r="A290" s="2374" t="inlineStr">
        <is>
          <t>Thème 1</t>
        </is>
      </c>
      <c r="B290" s="2559">
        <f>IF('Contribution NC'!I17&lt;&gt;"",'Contribution NC'!I17,"")</f>
        <v/>
      </c>
    </row>
    <row r="291" ht="17" customHeight="1" s="2456">
      <c r="A291" s="2374" t="inlineStr">
        <is>
          <t>Thème 2</t>
        </is>
      </c>
      <c r="B291" s="2559">
        <f>IF('Contribution NC'!I19&lt;&gt;"",'Contribution NC'!I19,"")</f>
        <v/>
      </c>
    </row>
    <row r="292" ht="17" customHeight="1" s="2456">
      <c r="A292" s="2374" t="inlineStr">
        <is>
          <t>Thème 3</t>
        </is>
      </c>
      <c r="B292" s="2559">
        <f>IF('Contribution NC'!I21&lt;&gt;"",'Contribution NC'!I21,"")</f>
        <v/>
      </c>
    </row>
    <row r="293" ht="17" customHeight="1" s="2456">
      <c r="A293" s="2374" t="inlineStr">
        <is>
          <t>Thème 4</t>
        </is>
      </c>
      <c r="B293" s="2559">
        <f>IF('Contribution NC'!I25&lt;&gt;"",'Contribution NC'!I25,"")</f>
        <v/>
      </c>
    </row>
    <row r="294" ht="34" customHeight="1" s="2456">
      <c r="A294" s="2374" t="inlineStr">
        <is>
          <t>Thème 5</t>
        </is>
      </c>
      <c r="B294" s="2559">
        <f>IF('Contribution NC'!I33&lt;&gt;"",'Contribution NC'!I33,"")</f>
        <v/>
      </c>
    </row>
    <row r="295" ht="34" customHeight="1" s="2456">
      <c r="A295" s="2374" t="inlineStr">
        <is>
          <t>Thème 6</t>
        </is>
      </c>
      <c r="B295" s="2559">
        <f>IF('Contribution NC'!I36&lt;&gt;"",'Contribution NC'!I36,"")</f>
        <v/>
      </c>
    </row>
    <row r="296" ht="17" customHeight="1" s="2456">
      <c r="A296" s="2374" t="inlineStr">
        <is>
          <t>Thème 7</t>
        </is>
      </c>
      <c r="B296" s="2559">
        <f>IF('Contribution NC'!I38&lt;&gt;"",'Contribution NC'!I38,"")</f>
        <v/>
      </c>
    </row>
    <row r="297" ht="39" customHeight="1" s="2456">
      <c r="A297" s="765" t="inlineStr">
        <is>
          <t>Constat général ou conclusion, le cas échéant</t>
        </is>
      </c>
      <c r="B297" s="2559">
        <f>'Contribution NC'!I41</f>
        <v/>
      </c>
    </row>
    <row r="298" ht="24" customHeight="1" s="2456">
      <c r="A298" s="36" t="inlineStr">
        <is>
          <t xml:space="preserve">À surveiller : </t>
        </is>
      </c>
    </row>
    <row r="299" ht="24" customHeight="1" s="2456">
      <c r="A299" s="36" t="n"/>
      <c r="B299" s="2559">
        <f>'Contribution NC'!P14</f>
        <v/>
      </c>
    </row>
    <row r="300" ht="24" customHeight="1" s="2456">
      <c r="A300" s="36" t="n"/>
      <c r="B300" s="2559" t="inlineStr">
        <is>
          <t>Drapeaux jaunes 🟡</t>
        </is>
      </c>
    </row>
    <row r="301" ht="17" customHeight="1" s="2456">
      <c r="A301" s="45" t="inlineStr">
        <is>
          <t>Section s'ouvre que s'il y a du contenu</t>
        </is>
      </c>
      <c r="B301" s="2559">
        <f>IF('Cpts miroirs des parents'!T121&lt;&gt;"",'Cpts miroirs des parents'!T121,"")</f>
        <v/>
      </c>
    </row>
    <row r="302" ht="17" customHeight="1" s="2456">
      <c r="A302" s="45" t="inlineStr">
        <is>
          <t>Thème 1</t>
        </is>
      </c>
      <c r="B302" s="2559">
        <f>IF('Contribution NC'!J17&lt;&gt;"",'Contribution NC'!J17,"")</f>
        <v/>
      </c>
    </row>
    <row r="303" ht="17" customHeight="1" s="2456">
      <c r="A303" s="45" t="inlineStr">
        <is>
          <t>Drapeau sur les comportements du thème 1</t>
        </is>
      </c>
      <c r="B303" s="2559">
        <f>IF('Contribution NC'!J15&lt;&gt;"",'Contribution NC'!J15,"")</f>
        <v/>
      </c>
    </row>
    <row r="304" ht="17" customHeight="1" s="2456">
      <c r="A304" s="45" t="inlineStr">
        <is>
          <t>Drapeau sur les comportements du thème 1</t>
        </is>
      </c>
      <c r="B304" s="2559">
        <f>IF('Contribution NC'!J16&lt;&gt;"",'Contribution NC'!J16,"")</f>
        <v/>
      </c>
    </row>
    <row r="305" ht="17" customHeight="1" s="2456">
      <c r="A305" s="45" t="inlineStr">
        <is>
          <t>Thème 2</t>
        </is>
      </c>
      <c r="B305" s="2559">
        <f>IF('Contribution NC'!J19&lt;&gt;"",'Contribution NC'!J19,"")</f>
        <v/>
      </c>
    </row>
    <row r="306" ht="17" customHeight="1" s="2456">
      <c r="A306" s="45" t="inlineStr">
        <is>
          <t>Drapeau sur les comportements du thème 2</t>
        </is>
      </c>
      <c r="B306" s="2559">
        <f>IF('Contribution NC'!J18&lt;&gt;"",'Contribution NC'!J18,"")</f>
        <v/>
      </c>
    </row>
    <row r="307" ht="17" customHeight="1" s="2456">
      <c r="A307" s="45" t="inlineStr">
        <is>
          <t>Thème 3</t>
        </is>
      </c>
      <c r="B307" s="2559">
        <f>IF('Contribution NC'!J21&lt;&gt;"",'Contribution NC'!J21,"")</f>
        <v/>
      </c>
    </row>
    <row r="308" ht="17" customHeight="1" s="2456">
      <c r="A308" s="45" t="inlineStr">
        <is>
          <t>Drapeau sur les comportements du thème 3</t>
        </is>
      </c>
      <c r="B308" s="2559">
        <f>IF('Contribution NC'!J20&lt;&gt;"",'Contribution NC'!J20,"")</f>
        <v/>
      </c>
    </row>
    <row r="309" ht="17" customHeight="1" s="2456">
      <c r="A309" s="45" t="inlineStr">
        <is>
          <t>Thème 4</t>
        </is>
      </c>
      <c r="B309" s="2559">
        <f>IF('Contribution NC'!J25&lt;&gt;"",'Contribution NC'!J25,"")</f>
        <v/>
      </c>
    </row>
    <row r="310" ht="17" customHeight="1" s="2456">
      <c r="A310" s="45" t="inlineStr">
        <is>
          <t>Drapeau sur les comportements du thème 4</t>
        </is>
      </c>
      <c r="B310" s="2559">
        <f>IF('Contribution NC'!J22&lt;&gt;"",'Contribution NC'!J22,"")</f>
        <v/>
      </c>
    </row>
    <row r="311" ht="17" customHeight="1" s="2456">
      <c r="A311" s="45" t="inlineStr">
        <is>
          <t>Drapeau sur les comportements du thème 4</t>
        </is>
      </c>
      <c r="B311" s="2559">
        <f>IF('Contribution NC'!J23&lt;&gt;"",'Contribution NC'!J23,"")</f>
        <v/>
      </c>
    </row>
    <row r="312" ht="17" customHeight="1" s="2456">
      <c r="A312" s="45" t="inlineStr">
        <is>
          <t>Drapeau sur les comportements du thème 4</t>
        </is>
      </c>
      <c r="B312" s="2559">
        <f>IF('Contribution NC'!J24&lt;&gt;"",'Contribution NC'!J24,"")</f>
        <v/>
      </c>
    </row>
    <row r="313" ht="34" customHeight="1" s="2456">
      <c r="A313" s="45" t="inlineStr">
        <is>
          <t>Thème 5</t>
        </is>
      </c>
      <c r="B313" s="2559">
        <f>IF('Contribution NC'!J33&lt;&gt;"",'Contribution NC'!J33,"")</f>
        <v/>
      </c>
    </row>
    <row r="314" ht="17" customHeight="1" s="2456">
      <c r="A314" s="45" t="inlineStr">
        <is>
          <t>Drapeau sur les comportements du thème 5</t>
        </is>
      </c>
      <c r="B314" s="2559">
        <f>IF('Contribution NC'!J26&lt;&gt;"",'Contribution NC'!J26,"")</f>
        <v/>
      </c>
    </row>
    <row r="315" ht="17" customHeight="1" s="2456">
      <c r="A315" s="45" t="inlineStr">
        <is>
          <t>Drapeau sur les comportements du thème 5</t>
        </is>
      </c>
      <c r="B315" s="2559">
        <f>IF('Contribution NC'!J27&lt;&gt;"",'Contribution NC'!J27,"")</f>
        <v/>
      </c>
    </row>
    <row r="316" ht="17" customHeight="1" s="2456">
      <c r="A316" s="45" t="inlineStr">
        <is>
          <t>Drapeau sur les comportements du thème 5</t>
        </is>
      </c>
      <c r="B316" s="2559">
        <f>IF('Contribution NC'!J28&lt;&gt;"",'Contribution NC'!J28,"")</f>
        <v/>
      </c>
    </row>
    <row r="317" ht="17" customHeight="1" s="2456">
      <c r="A317" s="45" t="inlineStr">
        <is>
          <t>Drapeau sur les comportements du thème 5</t>
        </is>
      </c>
      <c r="B317" s="2559">
        <f>IF('Contribution NC'!J29&lt;&gt;"",'Contribution NC'!J29,"")</f>
        <v/>
      </c>
    </row>
    <row r="318" ht="17" customHeight="1" s="2456">
      <c r="A318" s="45" t="inlineStr">
        <is>
          <t>Drapeau sur les comportements du thème 5</t>
        </is>
      </c>
      <c r="B318" s="2559">
        <f>IF('Contribution NC'!J30&lt;&gt;"",'Contribution NC'!J30,"")</f>
        <v/>
      </c>
    </row>
    <row r="319" ht="17" customHeight="1" s="2456">
      <c r="A319" s="45" t="inlineStr">
        <is>
          <t>Drapeau sur les comportements du thème 5</t>
        </is>
      </c>
      <c r="B319" s="2559">
        <f>IF('Contribution NC'!J31&lt;&gt;"",'Contribution NC'!J31,"")</f>
        <v/>
      </c>
    </row>
    <row r="320" ht="17" customHeight="1" s="2456">
      <c r="A320" s="45" t="inlineStr">
        <is>
          <t>Drapeau sur les comportements du thème 5</t>
        </is>
      </c>
      <c r="B320" s="2559">
        <f>IF('Contribution NC'!J32&lt;&gt;"",'Contribution NC'!J32,"")</f>
        <v/>
      </c>
    </row>
    <row r="321" ht="34" customHeight="1" s="2456">
      <c r="A321" s="45" t="inlineStr">
        <is>
          <t>Thème 6</t>
        </is>
      </c>
      <c r="B321" s="2559">
        <f>IF('Contribution NC'!J36&lt;&gt;"",'Contribution NC'!J36,"")</f>
        <v/>
      </c>
    </row>
    <row r="322" ht="17" customHeight="1" s="2456">
      <c r="A322" s="45" t="inlineStr">
        <is>
          <t>Drapeau sur les comportements du thème 6</t>
        </is>
      </c>
      <c r="B322" s="2559">
        <f>IF('Contribution NC'!J34&lt;&gt;"",'Contribution NC'!J34,"")</f>
        <v/>
      </c>
    </row>
    <row r="323" ht="17" customHeight="1" s="2456">
      <c r="A323" s="45" t="inlineStr">
        <is>
          <t>Drapeau sur les comportements du thème 6</t>
        </is>
      </c>
      <c r="B323" s="2559">
        <f>IF('Contribution NC'!J35&lt;&gt;"",'Contribution NC'!J35,"")</f>
        <v/>
      </c>
    </row>
    <row r="324" ht="17" customHeight="1" s="2456">
      <c r="A324" s="45" t="inlineStr">
        <is>
          <t>Thème 7</t>
        </is>
      </c>
      <c r="B324" s="2559">
        <f>IF('Contribution NC'!J38&lt;&gt;"",'Contribution NC'!J38,"")</f>
        <v/>
      </c>
    </row>
    <row r="325" ht="17" customHeight="1" s="2456">
      <c r="A325" s="45" t="inlineStr">
        <is>
          <t>Drapeau sur les comportements du thème 7</t>
        </is>
      </c>
      <c r="B325" s="2559">
        <f>IF('Contribution NC'!J37&lt;&gt;"",'Contribution NC'!J37,"")</f>
        <v/>
      </c>
    </row>
    <row r="326" ht="17" customHeight="1" s="2456">
      <c r="B326" s="2559" t="inlineStr">
        <is>
          <t>Drapeaux rouges 🔴</t>
        </is>
      </c>
    </row>
    <row r="327" ht="17" customHeight="1" s="2456">
      <c r="A327" s="1222" t="inlineStr">
        <is>
          <t>Section s'ouvre que s'il y a du contenu</t>
        </is>
      </c>
      <c r="B327" s="2559">
        <f>IF('Cpts miroirs des parents'!U142&lt;&gt;"",'Cpts miroirs des parents'!U142,"")</f>
        <v/>
      </c>
    </row>
    <row r="328" ht="17" customHeight="1" s="2456">
      <c r="A328" s="1222" t="inlineStr">
        <is>
          <t>Thème 1</t>
        </is>
      </c>
      <c r="B328" s="2559">
        <f>IF('Contribution NC'!K17&lt;&gt;"",'Contribution NC'!K17,"")</f>
        <v/>
      </c>
    </row>
    <row r="329" ht="17" customHeight="1" s="2456">
      <c r="A329" s="1222" t="inlineStr">
        <is>
          <t>Drapeau sur les comportements du thème 1</t>
        </is>
      </c>
      <c r="B329" s="2559">
        <f>IF('Contribution NC'!J15&lt;&gt;"",'Contribution NC'!J15,"")</f>
        <v/>
      </c>
    </row>
    <row r="330" ht="17" customHeight="1" s="2456">
      <c r="A330" s="1222" t="inlineStr">
        <is>
          <t>Drapeau sur les comportements du thème 1</t>
        </is>
      </c>
      <c r="B330" s="2559">
        <f>IF('Contribution NC'!J16&lt;&gt;"",'Contribution NC'!J16,"")</f>
        <v/>
      </c>
    </row>
    <row r="331" ht="17" customHeight="1" s="2456">
      <c r="A331" s="1222" t="inlineStr">
        <is>
          <t>Thème 2</t>
        </is>
      </c>
      <c r="B331" s="2559">
        <f>IF('Contribution NC'!J19&lt;&gt;"",'Contribution NC'!J19,"")</f>
        <v/>
      </c>
    </row>
    <row r="332" ht="17" customHeight="1" s="2456">
      <c r="A332" s="1222" t="inlineStr">
        <is>
          <t>Drapeau sur les comportements du thème 2</t>
        </is>
      </c>
      <c r="B332" s="2559">
        <f>IF('Contribution NC'!J18&lt;&gt;"",'Contribution NC'!J18,"")</f>
        <v/>
      </c>
    </row>
    <row r="333" ht="17" customHeight="1" s="2456">
      <c r="A333" s="1222" t="inlineStr">
        <is>
          <t>Thème 3</t>
        </is>
      </c>
      <c r="B333" s="2559">
        <f>IF('Contribution NC'!J21&lt;&gt;"",'Contribution NC'!J21,"")</f>
        <v/>
      </c>
    </row>
    <row r="334" ht="17" customHeight="1" s="2456">
      <c r="A334" s="1222" t="inlineStr">
        <is>
          <t>Drapeau sur les comportements du thème 3</t>
        </is>
      </c>
      <c r="B334" s="2559">
        <f>IF('Contribution NC'!J20&lt;&gt;"",'Contribution NC'!J20,"")</f>
        <v/>
      </c>
    </row>
    <row r="335" ht="17" customHeight="1" s="2456">
      <c r="A335" s="1222" t="inlineStr">
        <is>
          <t>Thème 4</t>
        </is>
      </c>
      <c r="B335" s="2559">
        <f>IF('Contribution NC'!J25&lt;&gt;"",'Contribution NC'!J25,"")</f>
        <v/>
      </c>
    </row>
    <row r="336" ht="17" customHeight="1" s="2456">
      <c r="A336" s="1222" t="inlineStr">
        <is>
          <t>Drapeau sur les comportements du thème 4</t>
        </is>
      </c>
      <c r="B336" s="2559">
        <f>IF('Contribution NC'!J22&lt;&gt;"",'Contribution NC'!J22,"")</f>
        <v/>
      </c>
    </row>
    <row r="337" ht="17" customHeight="1" s="2456">
      <c r="A337" s="1222" t="inlineStr">
        <is>
          <t>Drapeau sur les comportements du thème 4</t>
        </is>
      </c>
      <c r="B337" s="2559">
        <f>IF('Contribution NC'!J23&lt;&gt;"",'Contribution NC'!J23,"")</f>
        <v/>
      </c>
    </row>
    <row r="338" ht="17" customHeight="1" s="2456">
      <c r="A338" s="1222" t="inlineStr">
        <is>
          <t>Drapeau sur les comportements du thème 4</t>
        </is>
      </c>
      <c r="B338" s="2559">
        <f>IF('Contribution NC'!J24&lt;&gt;"",'Contribution NC'!J24,"")</f>
        <v/>
      </c>
    </row>
    <row r="339" ht="34" customHeight="1" s="2456">
      <c r="A339" s="1222" t="inlineStr">
        <is>
          <t>Thème 5</t>
        </is>
      </c>
      <c r="B339" s="2559">
        <f>IF('Contribution NC'!J33&lt;&gt;"",'Contribution NC'!J33,"")</f>
        <v/>
      </c>
    </row>
    <row r="340" ht="17" customHeight="1" s="2456">
      <c r="A340" s="1222" t="inlineStr">
        <is>
          <t>Drapeau sur les comportements du thème 5</t>
        </is>
      </c>
      <c r="B340" s="2559">
        <f>IF('Contribution NC'!J26&lt;&gt;"",'Contribution NC'!J26,"")</f>
        <v/>
      </c>
    </row>
    <row r="341" ht="17" customHeight="1" s="2456">
      <c r="A341" s="1222" t="inlineStr">
        <is>
          <t>Drapeau sur les comportements du thème 5</t>
        </is>
      </c>
      <c r="B341" s="2559">
        <f>IF('Contribution NC'!J27&lt;&gt;"",'Contribution NC'!J27,"")</f>
        <v/>
      </c>
    </row>
    <row r="342" ht="17" customHeight="1" s="2456">
      <c r="A342" s="1222" t="inlineStr">
        <is>
          <t>Drapeau sur les comportements du thème 5</t>
        </is>
      </c>
      <c r="B342" s="2559">
        <f>IF('Contribution NC'!J28&lt;&gt;"",'Contribution NC'!J28,"")</f>
        <v/>
      </c>
    </row>
    <row r="343" ht="17" customHeight="1" s="2456">
      <c r="A343" s="1222" t="inlineStr">
        <is>
          <t>Drapeau sur les comportements du thème 5</t>
        </is>
      </c>
      <c r="B343" s="2559">
        <f>IF('Contribution NC'!J29&lt;&gt;"",'Contribution NC'!J29,"")</f>
        <v/>
      </c>
    </row>
    <row r="344" ht="17" customHeight="1" s="2456">
      <c r="A344" s="1222" t="inlineStr">
        <is>
          <t>Drapeau sur les comportements du thème 5</t>
        </is>
      </c>
      <c r="B344" s="2559">
        <f>IF('Contribution NC'!J30&lt;&gt;"",'Contribution NC'!J30,"")</f>
        <v/>
      </c>
    </row>
    <row r="345" ht="17" customHeight="1" s="2456">
      <c r="A345" s="1222" t="inlineStr">
        <is>
          <t>Drapeau sur les comportements du thème 5</t>
        </is>
      </c>
      <c r="B345" s="2559">
        <f>IF('Contribution NC'!J31&lt;&gt;"",'Contribution NC'!J31,"")</f>
        <v/>
      </c>
    </row>
    <row r="346" ht="17" customHeight="1" s="2456">
      <c r="A346" s="1222" t="inlineStr">
        <is>
          <t>Drapeau sur les comportements du thème 5</t>
        </is>
      </c>
      <c r="B346" s="2559">
        <f>IF('Contribution NC'!J32&lt;&gt;"",'Contribution NC'!J32,"")</f>
        <v/>
      </c>
    </row>
    <row r="347" ht="34" customHeight="1" s="2456">
      <c r="A347" s="1222" t="inlineStr">
        <is>
          <t>Thème 6</t>
        </is>
      </c>
      <c r="B347" s="2559">
        <f>IF('Contribution NC'!J36&lt;&gt;"",'Contribution NC'!J36,"")</f>
        <v/>
      </c>
    </row>
    <row r="348" ht="17" customHeight="1" s="2456">
      <c r="A348" s="1222" t="inlineStr">
        <is>
          <t>Drapeau sur les comportements du thème 6</t>
        </is>
      </c>
      <c r="B348" s="2559">
        <f>IF('Contribution NC'!J34&lt;&gt;"",'Contribution NC'!J34,"")</f>
        <v/>
      </c>
    </row>
    <row r="349" ht="17" customHeight="1" s="2456">
      <c r="A349" s="1222" t="inlineStr">
        <is>
          <t>Drapeau sur les comportements du thème 6</t>
        </is>
      </c>
      <c r="B349" s="2559">
        <f>IF('Contribution NC'!J35&lt;&gt;"",'Contribution NC'!J35,"")</f>
        <v/>
      </c>
    </row>
    <row r="350" ht="17" customHeight="1" s="2456">
      <c r="A350" s="1222" t="inlineStr">
        <is>
          <t>Thème 7</t>
        </is>
      </c>
      <c r="B350" s="2559">
        <f>IF('Contribution NC'!J38&lt;&gt;"",'Contribution NC'!J38,"")</f>
        <v/>
      </c>
    </row>
    <row r="351" ht="17" customHeight="1" s="2456">
      <c r="A351" s="1222" t="inlineStr">
        <is>
          <t>Drapeau sur les comportements du thème 7</t>
        </is>
      </c>
      <c r="B351" s="2559">
        <f>IF('Contribution NC'!J37&lt;&gt;"",'Contribution NC'!J37,"")</f>
        <v/>
      </c>
    </row>
    <row r="352" ht="17" customHeight="1" s="2456">
      <c r="B352" s="2559">
        <f>IF('Contribution NC'!J64&lt;&gt;"",'Contribution NC'!J64,"")</f>
        <v/>
      </c>
    </row>
    <row r="353" ht="51" customHeight="1" s="2456">
      <c r="A353" t="inlineStr">
        <is>
          <t>Ressources : 📚</t>
        </is>
      </c>
      <c r="B353" s="2559">
        <f>'Contribution NC'!O42</f>
        <v/>
      </c>
    </row>
    <row r="355" ht="40" customHeight="1" s="2456">
      <c r="A355" s="2383" t="inlineStr">
        <is>
          <t>Baromètre 7:</t>
        </is>
      </c>
      <c r="B355" s="2233">
        <f>'Modèle Calcul A-R + Sommaire'!BD1</f>
        <v/>
      </c>
    </row>
    <row r="356" ht="158" customHeight="1" s="2456">
      <c r="A356" s="2408" t="n"/>
    </row>
    <row r="357" ht="51" customHeight="1" s="2456">
      <c r="A357" t="inlineStr">
        <is>
          <t>À propos du baromètre</t>
        </is>
      </c>
      <c r="B357" s="826">
        <f>'Modèle Calcul A-R + Sommaire'!BD3</f>
        <v/>
      </c>
    </row>
    <row r="358" ht="57" customHeight="1" s="2456">
      <c r="A358" t="inlineStr">
        <is>
          <t>Introduction ( ouverture toujours)</t>
        </is>
      </c>
      <c r="B358" s="2559">
        <f>'Modèle Calcul A-R + Sommaire'!BL7</f>
        <v/>
      </c>
    </row>
    <row r="359" ht="24" customHeight="1" s="2456">
      <c r="A359" s="88" t="inlineStr">
        <is>
          <t>Les constats (les 7 plus importants sont affichés)</t>
        </is>
      </c>
      <c r="B359" s="2422">
        <f>IF('Cpts miroirs des parents'!S190&lt;&gt;"",'Cpts miroirs des parents'!S190,"")</f>
        <v/>
      </c>
    </row>
    <row r="360" ht="17" customHeight="1" s="2456">
      <c r="A360" s="88" t="inlineStr">
        <is>
          <t>Thème 1 - Constat</t>
        </is>
      </c>
      <c r="B360" s="2422">
        <f>IF('TEST_pour PROTOTYPE'!F571&lt;&gt;"",'TEST_pour PROTOTYPE'!F571,"")</f>
        <v/>
      </c>
    </row>
    <row r="361" ht="102" customHeight="1" s="2456">
      <c r="A361" s="2444" t="inlineStr">
        <is>
          <t>Thème 1 - Conseil, s'il y en a un</t>
        </is>
      </c>
      <c r="B361" s="2422">
        <f>IF('TEST_pour PROTOTYPE'!F571&lt;&gt;"",'TEST_pour PROTOTYPE'!G571,"")</f>
        <v/>
      </c>
    </row>
    <row r="362" ht="34" customHeight="1" s="2456">
      <c r="A362" s="88" t="inlineStr">
        <is>
          <t>Thème 2 - Constat</t>
        </is>
      </c>
      <c r="B362" s="2422">
        <f>IF('TEST_pour PROTOTYPE'!F572&lt;&gt;"",'TEST_pour PROTOTYPE'!F572,"")</f>
        <v/>
      </c>
    </row>
    <row r="363" ht="24" customHeight="1" s="2456">
      <c r="A363" s="2444" t="inlineStr">
        <is>
          <t>Thème 2 - Conseil, s'il y en a un</t>
        </is>
      </c>
      <c r="B363" s="2422">
        <f>IF('TEST_pour PROTOTYPE'!F572&lt;&gt;"",'TEST_pour PROTOTYPE'!G572,"")</f>
        <v/>
      </c>
    </row>
    <row r="364" ht="24" customHeight="1" s="2456">
      <c r="A364" s="88" t="inlineStr">
        <is>
          <t>Thème 3 - Constat</t>
        </is>
      </c>
      <c r="B364" s="2422">
        <f>IF('TEST_pour PROTOTYPE'!F573&lt;&gt;"",'TEST_pour PROTOTYPE'!F573,"")</f>
        <v/>
      </c>
    </row>
    <row r="365" ht="24" customHeight="1" s="2456">
      <c r="A365" s="2444" t="inlineStr">
        <is>
          <t>Thème 3 - Conseil, s'il y en a un</t>
        </is>
      </c>
      <c r="B365" s="2422">
        <f>IF('TEST_pour PROTOTYPE'!F573&lt;&gt;"",'TEST_pour PROTOTYPE'!G573,"")</f>
        <v/>
      </c>
    </row>
    <row r="366" ht="24" customHeight="1" s="2456">
      <c r="A366" s="88" t="inlineStr">
        <is>
          <t>Thème 4 - Constat</t>
        </is>
      </c>
      <c r="B366" s="2422">
        <f>IF('TEST_pour PROTOTYPE'!F574&lt;&gt;"",'TEST_pour PROTOTYPE'!F574,"")</f>
        <v/>
      </c>
    </row>
    <row r="367" ht="34" customHeight="1" s="2456">
      <c r="A367" s="2444" t="inlineStr">
        <is>
          <t>Thème 4 - Conseil, s'il y en a un</t>
        </is>
      </c>
      <c r="B367" s="2422">
        <f>IF('TEST_pour PROTOTYPE'!F574&lt;&gt;"",'TEST_pour PROTOTYPE'!G574,"")</f>
        <v/>
      </c>
    </row>
    <row r="368" ht="24" customHeight="1" s="2456">
      <c r="A368" s="88" t="inlineStr">
        <is>
          <t>Thème 5 - Constat</t>
        </is>
      </c>
      <c r="B368" s="2422">
        <f>IF('TEST_pour PROTOTYPE'!F575&lt;&gt;"",'TEST_pour PROTOTYPE'!F575,"")</f>
        <v/>
      </c>
    </row>
    <row r="369" ht="34" customHeight="1" s="2456">
      <c r="A369" s="2444" t="inlineStr">
        <is>
          <t>Thème 5 - Conseil, s'il y en a un</t>
        </is>
      </c>
      <c r="B369" s="2422">
        <f>IF('TEST_pour PROTOTYPE'!F575&lt;&gt;"",'TEST_pour PROTOTYPE'!G575,"")</f>
        <v/>
      </c>
    </row>
    <row r="370" ht="24" customHeight="1" s="2456">
      <c r="A370" s="88" t="inlineStr">
        <is>
          <t>Thème 6 - Constat</t>
        </is>
      </c>
      <c r="B370" s="2422">
        <f>IF('TEST_pour PROTOTYPE'!F576&lt;&gt;"",'TEST_pour PROTOTYPE'!F576,"")</f>
        <v/>
      </c>
    </row>
    <row r="371" ht="24" customHeight="1" s="2456">
      <c r="A371" s="2444" t="inlineStr">
        <is>
          <t>Thème 6 - Conseil, s'il y en a un</t>
        </is>
      </c>
      <c r="B371" s="2422">
        <f>IF('TEST_pour PROTOTYPE'!F576&lt;&gt;"",'TEST_pour PROTOTYPE'!G576,"")</f>
        <v/>
      </c>
    </row>
    <row r="372" ht="24" customHeight="1" s="2456">
      <c r="A372" s="88" t="inlineStr">
        <is>
          <t>Thème 7 - Constat</t>
        </is>
      </c>
      <c r="B372" s="2422">
        <f>IF('TEST_pour PROTOTYPE'!F577&lt;&gt;"",'TEST_pour PROTOTYPE'!F577,"")</f>
        <v/>
      </c>
    </row>
    <row r="373" ht="24" customHeight="1" s="2456">
      <c r="A373" s="2444" t="inlineStr">
        <is>
          <t>Thème 7 - Conseil, s'il y en a un</t>
        </is>
      </c>
      <c r="B373" s="2422">
        <f>IF('TEST_pour PROTOTYPE'!F5877&lt;&gt;"",'TEST_pour PROTOTYPE'!G577,"")</f>
        <v/>
      </c>
    </row>
    <row r="374" ht="48" customHeight="1" s="2456">
      <c r="A374" s="765" t="inlineStr">
        <is>
          <t>Constat général ou conclusion, le cas échéant</t>
        </is>
      </c>
      <c r="B374" s="2422" t="n"/>
    </row>
    <row r="375" ht="24" customHeight="1" s="2456">
      <c r="A375" s="36" t="inlineStr">
        <is>
          <t xml:space="preserve">À surveiller : </t>
        </is>
      </c>
    </row>
    <row r="376" ht="17" customHeight="1" s="2456">
      <c r="B376" s="2559">
        <f>'Contribution NC'!P83</f>
        <v/>
      </c>
    </row>
    <row r="377" ht="17" customHeight="1" s="2456">
      <c r="B377" s="2559" t="inlineStr">
        <is>
          <t>Drapeaux jaunes 🟡</t>
        </is>
      </c>
    </row>
    <row r="378">
      <c r="A378" t="inlineStr">
        <is>
          <t>Section s'ouvre que s'il y a du contenu</t>
        </is>
      </c>
    </row>
    <row r="379" ht="17" customHeight="1" s="2456">
      <c r="A379" t="inlineStr">
        <is>
          <t>Drapeau sur le comportement priorité #1</t>
        </is>
      </c>
      <c r="B379" s="2559">
        <f>IF('TEST_pour PROTOTYPE'!F571&lt;&gt;"",'TEST_pour PROTOTYPE'!H571,"")</f>
        <v/>
      </c>
    </row>
    <row r="380" ht="30" customHeight="1" s="2456">
      <c r="A380" t="inlineStr">
        <is>
          <t>Drapeau sur le comportement priorité #2</t>
        </is>
      </c>
      <c r="B380" s="2559">
        <f>IF('TEST_pour PROTOTYPE'!F572&lt;&gt;"",'TEST_pour PROTOTYPE'!H572,"")</f>
        <v/>
      </c>
    </row>
    <row r="381" ht="40" customHeight="1" s="2456">
      <c r="A381" t="inlineStr">
        <is>
          <t>Drapeau sur le comportement priorité #3</t>
        </is>
      </c>
      <c r="B381" s="2559">
        <f>IF('TEST_pour PROTOTYPE'!F573&lt;&gt;"",'TEST_pour PROTOTYPE'!H573,"")</f>
        <v/>
      </c>
    </row>
    <row r="382" ht="17" customHeight="1" s="2456">
      <c r="A382" t="inlineStr">
        <is>
          <t>Drapeau sur le comportement priorité #4</t>
        </is>
      </c>
      <c r="B382" s="2559">
        <f>IF('TEST_pour PROTOTYPE'!F574&lt;&gt;"",'TEST_pour PROTOTYPE'!H574,"")</f>
        <v/>
      </c>
    </row>
    <row r="383" ht="17" customHeight="1" s="2456">
      <c r="A383" t="inlineStr">
        <is>
          <t>Drapeau sur le comportement priorité #5</t>
        </is>
      </c>
      <c r="B383" s="2559">
        <f>IF('TEST_pour PROTOTYPE'!F575&lt;&gt;"",'TEST_pour PROTOTYPE'!H575,"")</f>
        <v/>
      </c>
    </row>
    <row r="384" ht="17" customHeight="1" s="2456">
      <c r="A384" t="inlineStr">
        <is>
          <t>Drapeau sur le comportement priorité #6</t>
        </is>
      </c>
      <c r="B384" s="2559">
        <f>IF('TEST_pour PROTOTYPE'!F576&lt;&gt;"",'TEST_pour PROTOTYPE'!H576,"")</f>
        <v/>
      </c>
    </row>
    <row r="385" ht="17" customHeight="1" s="2456">
      <c r="A385" t="inlineStr">
        <is>
          <t>Drapeau sur le comportement priorité #7</t>
        </is>
      </c>
      <c r="B385" s="2559">
        <f>IF('TEST_pour PROTOTYPE'!F577&lt;&gt;"",'TEST_pour PROTOTYPE'!H577,"")</f>
        <v/>
      </c>
    </row>
    <row r="386">
      <c r="A386" t="inlineStr">
        <is>
          <t>Autres drapeaux à lever</t>
        </is>
      </c>
    </row>
    <row r="387" ht="17" customHeight="1" s="2456">
      <c r="B387" s="2559">
        <f>IF('Contribution NC'!J100&lt;&gt;"",'Contribution NC'!J100,"")</f>
        <v/>
      </c>
    </row>
    <row r="388" ht="17" customHeight="1" s="2456">
      <c r="B388" s="2559">
        <f>IF('Contribution NC'!J101&lt;&gt;"",'Contribution NC'!J101,"")</f>
        <v/>
      </c>
    </row>
    <row r="389" ht="17" customHeight="1" s="2456">
      <c r="B389" s="2559" t="inlineStr">
        <is>
          <t>Drapeaux rouges 🔴</t>
        </is>
      </c>
    </row>
    <row r="390">
      <c r="A390" t="inlineStr">
        <is>
          <t>Section s'ouvre que s'il y a du contenu</t>
        </is>
      </c>
    </row>
    <row r="391" ht="17" customHeight="1" s="2456">
      <c r="A391" t="inlineStr">
        <is>
          <t>Drapeau sur le comportement priorité #1</t>
        </is>
      </c>
      <c r="B391" s="2559">
        <f>IF('TEST_pour PROTOTYPE'!F571&lt;&gt;"",'TEST_pour PROTOTYPE'!I571,"")</f>
        <v/>
      </c>
    </row>
    <row r="392" ht="17" customHeight="1" s="2456">
      <c r="A392" t="inlineStr">
        <is>
          <t>Drapeau sur le comportement priorité #2</t>
        </is>
      </c>
      <c r="B392" s="2559">
        <f>IF('TEST_pour PROTOTYPE'!F572&lt;&gt;"",'TEST_pour PROTOTYPE'!I572,"")</f>
        <v/>
      </c>
    </row>
    <row r="393" ht="34" customHeight="1" s="2456">
      <c r="A393" t="inlineStr">
        <is>
          <t>Drapeau sur le comportement priorité #3</t>
        </is>
      </c>
      <c r="B393" s="2559">
        <f>IF('TEST_pour PROTOTYPE'!F573&lt;&gt;"",'TEST_pour PROTOTYPE'!I573,"")</f>
        <v/>
      </c>
    </row>
    <row r="394" ht="17" customHeight="1" s="2456">
      <c r="A394" t="inlineStr">
        <is>
          <t>Drapeau sur le comportement priorité #4</t>
        </is>
      </c>
      <c r="B394" s="2559">
        <f>IF('TEST_pour PROTOTYPE'!F574&lt;&gt;"",'TEST_pour PROTOTYPE'!I574,"")</f>
        <v/>
      </c>
    </row>
    <row r="395" ht="17" customHeight="1" s="2456">
      <c r="A395" t="inlineStr">
        <is>
          <t>Drapeau sur le comportement priorité #5</t>
        </is>
      </c>
      <c r="B395" s="2559">
        <f>IF('TEST_pour PROTOTYPE'!F575&lt;&gt;"",'TEST_pour PROTOTYPE'!I575,"")</f>
        <v/>
      </c>
    </row>
    <row r="396" ht="17" customHeight="1" s="2456">
      <c r="A396" t="inlineStr">
        <is>
          <t>Drapeau sur le comportement priorité #6</t>
        </is>
      </c>
      <c r="B396" s="2559">
        <f>IF('TEST_pour PROTOTYPE'!F576&lt;&gt;"",'TEST_pour PROTOTYPE'!I576,"")</f>
        <v/>
      </c>
    </row>
    <row r="397" ht="17" customHeight="1" s="2456">
      <c r="A397" t="inlineStr">
        <is>
          <t>Drapeau sur le comportement priorité #7</t>
        </is>
      </c>
      <c r="B397" s="2559">
        <f>IF('TEST_pour PROTOTYPE'!F577&lt;&gt;"",'TEST_pour PROTOTYPE'!I577,"")</f>
        <v/>
      </c>
    </row>
    <row r="398" ht="17" customHeight="1" s="2456">
      <c r="A398" t="inlineStr">
        <is>
          <t>Autres drapeaux à lever</t>
        </is>
      </c>
      <c r="B398" s="2559">
        <f>IF('Contribution NC'!J94&lt;&gt;"",'Contribution NC'!J94,"")</f>
        <v/>
      </c>
    </row>
    <row r="399" ht="17" customHeight="1" s="2456">
      <c r="B399" s="2559">
        <f>IF('Contribution NC'!J91&lt;&gt;"",'Contribution NC'!J91,"")</f>
        <v/>
      </c>
    </row>
    <row r="400" ht="17" customHeight="1" s="2456">
      <c r="B400" s="2559">
        <f>IF('Contribution NC'!J92&lt;&gt;"",'Contribution NC'!J92,"")</f>
        <v/>
      </c>
    </row>
    <row r="401" ht="17" customHeight="1" s="2456">
      <c r="B401" s="2559">
        <f>IF('Contribution NC'!J93&lt;&gt;"",'Contribution NC'!J93,"")</f>
        <v/>
      </c>
    </row>
    <row r="402" ht="17" customHeight="1" s="2456">
      <c r="B402" s="2559">
        <f>IF('Contribution NC'!J102&lt;&gt;"",'Contribution NC'!J102,"")</f>
        <v/>
      </c>
    </row>
    <row r="403" ht="17" customHeight="1" s="2456">
      <c r="B403" s="2559">
        <f>IF('Contribution NC'!J95&lt;&gt;"",'Contribution NC'!J95,"")</f>
        <v/>
      </c>
    </row>
    <row r="404" ht="17" customHeight="1" s="2456">
      <c r="B404" s="2559">
        <f>IF('Contribution NC'!J96&lt;&gt;"",'Contribution NC'!J96,"")</f>
        <v/>
      </c>
    </row>
    <row r="405" ht="17" customHeight="1" s="2456">
      <c r="B405" s="2559">
        <f>IF('Contribution NC'!J97&lt;&gt;"",'Contribution NC'!J97,"")</f>
        <v/>
      </c>
    </row>
    <row r="406" ht="17" customHeight="1" s="2456">
      <c r="B406" s="2559">
        <f>IF('Contribution NC'!J133&lt;&gt;"",'Contribution NC'!J133,"")</f>
        <v/>
      </c>
    </row>
    <row r="407" ht="17" customHeight="1" s="2456">
      <c r="A407" t="inlineStr">
        <is>
          <t>Ressources : 📚</t>
        </is>
      </c>
      <c r="B407" s="2559">
        <f>'Contribution NC'!O111</f>
        <v/>
      </c>
    </row>
  </sheetData>
  <mergeCells count="1">
    <mergeCell ref="C116:F11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zoomScale="50" zoomScaleNormal="50" workbookViewId="0">
      <selection activeCell="D4" sqref="D4"/>
    </sheetView>
  </sheetViews>
  <sheetFormatPr baseColWidth="10" defaultRowHeight="16"/>
  <cols>
    <col width="10.5" customWidth="1" style="2456" min="1" max="2"/>
    <col width="65.33203125" customWidth="1" style="2456" min="3" max="3"/>
    <col width="12.83203125" customWidth="1" style="2456" min="4" max="4"/>
    <col hidden="1" width="14" customWidth="1" style="2456" min="5" max="5"/>
    <col hidden="1" width="4.6640625" customWidth="1" style="2457" min="6" max="6"/>
    <col width="5.5" customWidth="1" style="2457" min="7" max="7"/>
    <col width="10.83203125" customWidth="1" style="2456" min="8" max="8"/>
    <col hidden="1" width="8.83203125" customWidth="1" style="2456" min="9" max="11"/>
    <col hidden="1" width="8.83203125" customWidth="1" style="2457"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22" customWidth="1" style="2456" min="19" max="20"/>
    <col width="34" customWidth="1" style="2456" min="21" max="24"/>
    <col width="32.33203125" customWidth="1" style="2456" min="25"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56">
      <c r="B2" s="80" t="inlineStr">
        <is>
          <t>Ce baromètre s'affiche en tout temps</t>
        </is>
      </c>
      <c r="D2" s="2355" t="n"/>
      <c r="E2" s="80" t="n"/>
      <c r="F2" s="2560" t="n"/>
      <c r="G2" s="2560" t="n"/>
      <c r="H2" s="80" t="n"/>
      <c r="I2" s="80" t="n"/>
      <c r="J2" s="80" t="n"/>
      <c r="K2" s="80" t="n"/>
    </row>
    <row r="3" ht="35" customHeight="1" s="2456">
      <c r="B3" s="407" t="n"/>
      <c r="D3" s="2355" t="n"/>
      <c r="E3" s="80" t="n"/>
      <c r="F3" s="2560" t="n"/>
      <c r="G3" s="2560" t="n"/>
      <c r="H3" s="80" t="n"/>
      <c r="I3" s="80" t="n"/>
      <c r="J3" s="80" t="n"/>
      <c r="K3" s="80" t="n"/>
    </row>
    <row r="4" ht="42" customHeight="1" s="2456">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56">
      <c r="B5" s="407" t="n"/>
      <c r="S5" s="34" t="inlineStr">
        <is>
          <t>Zone "Constat" du baromètre</t>
        </is>
      </c>
    </row>
    <row r="6" ht="21" customHeight="1" s="2456">
      <c r="B6" s="34" t="inlineStr">
        <is>
          <t>Questions de contexte</t>
        </is>
      </c>
      <c r="S6" s="2539" t="inlineStr">
        <is>
          <t>Zone de contenu - Bloc "Constats"</t>
        </is>
      </c>
      <c r="Y6" s="2544" t="inlineStr">
        <is>
          <t>Zone  DRAPEAUX</t>
        </is>
      </c>
    </row>
    <row r="7" ht="44" customHeight="1" s="2456" thickBot="1">
      <c r="A7" s="1861" t="n"/>
      <c r="H7" s="2520" t="inlineStr">
        <is>
          <t>MAX
(Q et SQ et|ou NC)</t>
        </is>
      </c>
      <c r="I7" s="2515" t="inlineStr">
        <is>
          <t>CONTEXTE À RISQUE de CONFLIT</t>
        </is>
      </c>
      <c r="N7" s="2515" t="n"/>
      <c r="O7" s="2515" t="n"/>
      <c r="P7" s="2537" t="inlineStr">
        <is>
          <t>Zone de programmation</t>
        </is>
      </c>
      <c r="R7" s="2505"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2" t="inlineStr">
        <is>
          <t>Échelle de triage</t>
        </is>
      </c>
      <c r="AC7" s="2462" t="n"/>
      <c r="AD7" s="2462" t="n"/>
      <c r="AE7" s="2462" t="n"/>
      <c r="AF7" s="2462" t="n"/>
      <c r="AG7" s="2462" t="n"/>
      <c r="AH7" s="2462" t="n"/>
      <c r="AI7" s="2462" t="n"/>
    </row>
    <row r="8" ht="63" customHeight="1" s="2456">
      <c r="D8" s="2464" t="inlineStr">
        <is>
          <t>Thème</t>
        </is>
      </c>
      <c r="E8" s="258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5" t="n"/>
      <c r="AB8" s="2549" t="inlineStr">
        <is>
          <t>Absent</t>
        </is>
      </c>
      <c r="AC8" s="2541" t="n"/>
      <c r="AD8" s="2540" t="inlineStr">
        <is>
          <t>Faible</t>
        </is>
      </c>
      <c r="AE8" s="2541" t="n"/>
      <c r="AF8" s="2553" t="inlineStr">
        <is>
          <t>Modéré</t>
        </is>
      </c>
      <c r="AG8" s="2541" t="n"/>
      <c r="AH8" s="2551" t="inlineStr">
        <is>
          <t>Élevé</t>
        </is>
      </c>
      <c r="AI8" s="2552" t="n"/>
      <c r="AK8" s="2457" t="inlineStr">
        <is>
          <t>Échelle globale</t>
        </is>
      </c>
    </row>
    <row r="9" ht="49" customHeight="1" s="2456">
      <c r="B9" s="1588" t="inlineStr">
        <is>
          <t>Rôle des parents</t>
        </is>
      </c>
      <c r="G9" s="1307" t="n"/>
      <c r="H9" s="1854" t="n"/>
      <c r="I9" s="2514" t="n"/>
      <c r="J9" s="2525" t="n"/>
      <c r="K9" s="2525" t="n"/>
      <c r="L9" s="2525" t="n"/>
      <c r="M9" s="2514" t="n"/>
      <c r="N9" s="2514" t="n"/>
      <c r="O9" s="2514" t="n"/>
      <c r="P9" s="2556" t="inlineStr">
        <is>
          <t>Conseils sur le constat émis si son poids moyen est plus élevé que la moyenne globale.</t>
        </is>
      </c>
      <c r="Q9" s="2557" t="inlineStr">
        <is>
          <t>Pour les constats à soulever, quels sont les cpts d'impact et soulever les drapeaux jaunes. (Évaluer la valeur du cpt par sa fréquence et non son amplitude)</t>
        </is>
      </c>
      <c r="R9" s="2557"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3" t="n"/>
      <c r="Z9" s="2563" t="n"/>
      <c r="AA9" s="2563" t="n"/>
      <c r="AB9" s="1908" t="inlineStr">
        <is>
          <t>Min</t>
        </is>
      </c>
      <c r="AC9" s="1810" t="inlineStr">
        <is>
          <t>Max</t>
        </is>
      </c>
      <c r="AD9" s="2457" t="inlineStr">
        <is>
          <t>Min</t>
        </is>
      </c>
      <c r="AE9" s="2457" t="inlineStr">
        <is>
          <t>Max</t>
        </is>
      </c>
      <c r="AF9" s="1810" t="inlineStr">
        <is>
          <t>Min</t>
        </is>
      </c>
      <c r="AG9" s="1810" t="inlineStr">
        <is>
          <t>Max</t>
        </is>
      </c>
      <c r="AH9" s="2457" t="inlineStr">
        <is>
          <t>Min</t>
        </is>
      </c>
      <c r="AI9" s="1905" t="inlineStr">
        <is>
          <t>Max</t>
        </is>
      </c>
      <c r="AK9" t="inlineStr">
        <is>
          <t>Min</t>
        </is>
      </c>
      <c r="AL9" t="inlineStr">
        <is>
          <t>Max</t>
        </is>
      </c>
      <c r="AM9" t="inlineStr">
        <is>
          <t>Indice de risque d'un conflit parental</t>
        </is>
      </c>
    </row>
    <row r="10" ht="49" customHeight="1" s="2456">
      <c r="B10" s="1588" t="n"/>
      <c r="G10" s="1307" t="n"/>
      <c r="H10" s="1854" t="n"/>
      <c r="I10" s="2514" t="n"/>
      <c r="J10" s="2525" t="n"/>
      <c r="K10" s="2525" t="n"/>
      <c r="L10" s="2525" t="n"/>
      <c r="M10" s="2514" t="n"/>
      <c r="N10" s="2514" t="n"/>
      <c r="O10" s="2514" t="n"/>
      <c r="P10" s="2556" t="n"/>
      <c r="Q10" s="2556" t="n"/>
      <c r="R10" s="2557"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3" t="n"/>
      <c r="Z10" s="2563" t="n"/>
      <c r="AA10" s="2563" t="n"/>
      <c r="AB10" s="1908" t="n"/>
      <c r="AC10" s="1810" t="n"/>
      <c r="AD10" s="2457" t="n"/>
      <c r="AE10" s="2457" t="n"/>
      <c r="AF10" s="1810" t="n"/>
      <c r="AG10" s="1810" t="n"/>
      <c r="AH10" s="2457" t="n"/>
      <c r="AI10" s="1905" t="n"/>
    </row>
    <row r="11" ht="24" customHeight="1" s="2456">
      <c r="G11" s="2517" t="n"/>
      <c r="H11" s="2032" t="n"/>
      <c r="I11" s="2457" t="n"/>
      <c r="J11" s="2517" t="n"/>
      <c r="K11" s="2517" t="n"/>
      <c r="L11" s="2517" t="n"/>
      <c r="M11" s="2457" t="n"/>
      <c r="N11" s="2457" t="n"/>
      <c r="O11" s="2457" t="n"/>
      <c r="P11" s="2525" t="n"/>
      <c r="Q11" s="2525" t="n"/>
      <c r="R11" s="2525" t="n"/>
      <c r="S11" s="1254" t="n"/>
      <c r="T11" s="1254" t="n"/>
      <c r="U11" s="2059" t="n"/>
      <c r="V11" s="2035" t="n"/>
      <c r="W11" s="2035" t="n"/>
      <c r="X11" s="2035" t="n"/>
      <c r="Y11" s="2525" t="inlineStr">
        <is>
          <t>Condition d'ouverture</t>
        </is>
      </c>
      <c r="Z11" s="2525" t="inlineStr">
        <is>
          <t>Condition d'ouverture</t>
        </is>
      </c>
      <c r="AA11" s="2525" t="n"/>
      <c r="AB11" s="1908" t="n"/>
      <c r="AC11" s="1810" t="n"/>
      <c r="AF11" s="1909" t="n"/>
      <c r="AG11" s="1909" t="n"/>
      <c r="AI11" s="2567" t="n"/>
      <c r="AK11" s="2457">
        <f>AB32</f>
        <v/>
      </c>
      <c r="AL11" s="2457">
        <f>ROUND(AC32+(AD32-AC32)/2,0)</f>
        <v/>
      </c>
      <c r="AM11" t="inlineStr">
        <is>
          <t>Risque absent</t>
        </is>
      </c>
    </row>
    <row r="12" ht="103" customHeight="1" s="2456" thickBot="1">
      <c r="G12" s="2517" t="n"/>
      <c r="H12" s="2032" t="n"/>
      <c r="I12" s="2457" t="n"/>
      <c r="J12" s="2517" t="n"/>
      <c r="K12" s="2517" t="n"/>
      <c r="L12" s="2517" t="n"/>
      <c r="M12" s="2457" t="n"/>
      <c r="N12" s="2457" t="n"/>
      <c r="O12" s="53" t="n"/>
      <c r="P12" s="2550" t="n"/>
      <c r="Q12" s="2520"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094" t="inlineStr">
        <is>
          <t>L’analyse des réponses obtenues aux questionnaires révèle un risque modéré de conflit entre vous et votre coparent.</t>
        </is>
      </c>
      <c r="W12" s="2094"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094" t="inlineStr">
        <is>
          <t>L’analyse des réponses obtenues aux questionnaires révèle un risque élevé de conflit entre vous et votre coparent.</t>
        </is>
      </c>
      <c r="Y12" s="2517" t="inlineStr">
        <is>
          <t>Les comportements suivants méritent une attention particulière, car ils sont susceptibles d'affecter le développement et le bien-être psychologique de l'enfant :</t>
        </is>
      </c>
      <c r="Z12" s="2525" t="n"/>
      <c r="AA12" s="2525" t="n"/>
      <c r="AB12" s="1908" t="n"/>
      <c r="AC12" s="1810" t="n"/>
      <c r="AF12" s="1909" t="n"/>
      <c r="AG12" s="1909" t="n"/>
      <c r="AI12" s="2567" t="n"/>
      <c r="AK12" s="2457">
        <f>AL11+1</f>
        <v/>
      </c>
      <c r="AL12" s="2457">
        <f>ROUND(AE32+(AF32-AE32)/2,0)</f>
        <v/>
      </c>
      <c r="AM12" t="inlineStr">
        <is>
          <t>Risque faible</t>
        </is>
      </c>
    </row>
    <row r="13" ht="89" customHeight="1" s="2456" thickBot="1">
      <c r="A13" s="809" t="n"/>
      <c r="B13" s="826">
        <f>Test_Bible!A112</f>
        <v/>
      </c>
      <c r="C13" s="826">
        <f>Test_Bible!B112</f>
        <v/>
      </c>
      <c r="D13" s="2538" t="inlineStr">
        <is>
          <t>Climat de coparentalité</t>
        </is>
      </c>
      <c r="E13" s="826" t="n"/>
      <c r="F13" s="67">
        <f>Test_Bible!D112</f>
        <v/>
      </c>
      <c r="G13" s="67">
        <f>Test_Bible!P112</f>
        <v/>
      </c>
      <c r="H13" s="1857">
        <f>G13</f>
        <v/>
      </c>
      <c r="I13" s="6" t="n">
        <v>0</v>
      </c>
      <c r="J13" s="1310" t="inlineStr">
        <is>
          <t>1 à 3</t>
        </is>
      </c>
      <c r="K13" s="6" t="inlineStr">
        <is>
          <t>4 à 6</t>
        </is>
      </c>
      <c r="L13" s="2465" t="inlineStr">
        <is>
          <t>7 à 10</t>
        </is>
      </c>
      <c r="M13" s="1180" t="n">
        <v>10</v>
      </c>
      <c r="N13" s="2465">
        <f>IF(C13=" ","",F13*G13)</f>
        <v/>
      </c>
      <c r="O13" s="2465" t="n"/>
      <c r="P13" s="2550" t="n"/>
      <c r="Q13" s="2520">
        <f>IF(OR(C13=" ",$P$20="")," ",IF(O$20&gt;=$O$39,IF(H13&gt;=7,Y13," ")," "))</f>
        <v/>
      </c>
      <c r="R13" s="2520">
        <f>IF(OR(C13=" ",$P$20="")," ",IF(O$20&gt;=$O$39,IF(N13&gt;=O$20,Z13," ")," "))</f>
        <v/>
      </c>
      <c r="S13" s="765" t="n"/>
      <c r="T13" s="765" t="n"/>
      <c r="U13" s="2244" t="n"/>
      <c r="V13" s="2245" t="n"/>
      <c r="W13" s="2246" t="n"/>
      <c r="X13" s="2245" t="n"/>
      <c r="Y13" s="2262" t="n"/>
      <c r="Z13" s="2262" t="n"/>
      <c r="AA13" s="2315" t="n"/>
      <c r="AB13" s="1912" t="n">
        <v>0</v>
      </c>
      <c r="AC13" s="2516" t="n">
        <v>0</v>
      </c>
      <c r="AD13" s="88" t="n">
        <v>1</v>
      </c>
      <c r="AE13" s="88" t="n">
        <v>3</v>
      </c>
      <c r="AF13" s="88" t="n">
        <v>4</v>
      </c>
      <c r="AG13" s="88" t="n">
        <v>6</v>
      </c>
      <c r="AH13" s="88" t="n">
        <v>7</v>
      </c>
      <c r="AI13" s="1913" t="n">
        <v>10</v>
      </c>
      <c r="AK13" s="2457">
        <f>AL12+1</f>
        <v/>
      </c>
      <c r="AL13" s="2457">
        <f>ROUND(AG32+(AH32-AG32)/2,0)</f>
        <v/>
      </c>
      <c r="AM13" t="inlineStr">
        <is>
          <t>Risque modéré</t>
        </is>
      </c>
    </row>
    <row r="14" ht="33" customHeight="1" s="2456" thickBot="1">
      <c r="A14" s="1855" t="n"/>
      <c r="B14" s="481">
        <f>Test_Bible!A113</f>
        <v/>
      </c>
      <c r="C14" s="481">
        <f>Test_Bible!B113</f>
        <v/>
      </c>
      <c r="D14" s="2495"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65">
        <f>IF(C14=" ","",F14*G14)</f>
        <v/>
      </c>
      <c r="O14" s="2465" t="n"/>
      <c r="P14" s="2550" t="n"/>
      <c r="Q14" s="2520">
        <f>IF(OR(C14=" ",$P$20="")," ",IF(O$20&gt;=AVERAGE($O$20,$O$26,$O$32),IF(H14&gt;=7,Y14," ")," "))</f>
        <v/>
      </c>
      <c r="R14" s="2520">
        <f>IF(OR(C14=" ",$P$20="")," ",IF(O$20&gt;=$O$39,IF(N14&gt;=O$20,Z14," ")," "))</f>
        <v/>
      </c>
      <c r="S14" s="765" t="n"/>
      <c r="T14" s="765" t="n"/>
      <c r="U14" s="2244" t="n"/>
      <c r="V14" s="2245" t="n"/>
      <c r="W14" s="2246" t="n"/>
      <c r="X14" s="2245" t="n"/>
      <c r="Y14" s="2159" t="n"/>
      <c r="Z14" s="2159" t="n"/>
      <c r="AA14" s="2315" t="n"/>
      <c r="AB14" s="1912" t="n">
        <v>0</v>
      </c>
      <c r="AC14" s="2516" t="n">
        <v>0</v>
      </c>
      <c r="AD14" s="88" t="n">
        <v>1</v>
      </c>
      <c r="AE14" s="88" t="n">
        <v>3</v>
      </c>
      <c r="AF14" s="88" t="n">
        <v>4</v>
      </c>
      <c r="AG14" s="88" t="n">
        <v>6</v>
      </c>
      <c r="AH14" s="88" t="n">
        <v>7</v>
      </c>
      <c r="AI14" s="1913" t="n">
        <v>10</v>
      </c>
      <c r="AK14" s="2457">
        <f>AL13+1</f>
        <v/>
      </c>
      <c r="AL14" s="2457">
        <f>AI32</f>
        <v/>
      </c>
      <c r="AM14" t="inlineStr">
        <is>
          <t>Risque élevé</t>
        </is>
      </c>
    </row>
    <row r="15" ht="33" customHeight="1" s="2456" thickBot="1">
      <c r="A15" s="1855" t="n"/>
      <c r="B15" s="481">
        <f>Test_Bible!A114</f>
        <v/>
      </c>
      <c r="C15" s="481">
        <f>Test_Bible!B114</f>
        <v/>
      </c>
      <c r="D15" s="2495"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65">
        <f>IF(C15=" ","",F15*G15)</f>
        <v/>
      </c>
      <c r="O15" s="2465" t="n"/>
      <c r="P15" s="2550" t="n"/>
      <c r="Q15" s="2520">
        <f>IF(OR(C15=" ",$P$20="")," ",IF(O$20&gt;=AVERAGE($O$20,$O$26,$O$32),IF(H15&gt;=7,Y15," ")," "))</f>
        <v/>
      </c>
      <c r="R15" s="2520">
        <f>IF(OR(C15=" ",$P$20="")," ",IF(O$20&gt;=$O$39,IF(N15&gt;=O$20,Z15," ")," "))</f>
        <v/>
      </c>
      <c r="S15" s="765" t="n"/>
      <c r="T15" s="765" t="n"/>
      <c r="U15" s="2244" t="n"/>
      <c r="V15" s="2245" t="n"/>
      <c r="W15" s="2246" t="n"/>
      <c r="X15" s="2245" t="n"/>
      <c r="Y15" s="2159" t="n"/>
      <c r="Z15" s="2159" t="n"/>
      <c r="AA15" s="2315" t="n"/>
      <c r="AB15" s="1912" t="n">
        <v>0</v>
      </c>
      <c r="AC15" s="2516" t="n">
        <v>0</v>
      </c>
      <c r="AD15" s="88" t="n">
        <v>1</v>
      </c>
      <c r="AE15" s="88" t="n">
        <v>3</v>
      </c>
      <c r="AF15" s="88" t="n">
        <v>4</v>
      </c>
      <c r="AG15" s="88" t="n">
        <v>6</v>
      </c>
      <c r="AH15" s="88" t="n">
        <v>7</v>
      </c>
      <c r="AI15" s="1913" t="n">
        <v>10</v>
      </c>
    </row>
    <row r="16" ht="38" customHeight="1" s="2456" thickBot="1">
      <c r="A16" s="2249" t="n"/>
      <c r="B16" s="826">
        <f>Test_Bible!A210</f>
        <v/>
      </c>
      <c r="C16" s="826">
        <f>Test_Bible!B210</f>
        <v/>
      </c>
      <c r="D16" s="2495" t="n"/>
      <c r="E16" s="826" t="n"/>
      <c r="F16" s="6">
        <f>Test_Bible!D210</f>
        <v/>
      </c>
      <c r="G16" s="6">
        <f>Test_Bible!P210</f>
        <v/>
      </c>
      <c r="H16" s="1857">
        <f>G16</f>
        <v/>
      </c>
      <c r="I16" s="6" t="n">
        <v>0</v>
      </c>
      <c r="J16" s="2465" t="n">
        <v>1</v>
      </c>
      <c r="K16" s="6" t="inlineStr">
        <is>
          <t>2 à 6</t>
        </is>
      </c>
      <c r="L16" s="2465" t="inlineStr">
        <is>
          <t>7 à 10</t>
        </is>
      </c>
      <c r="M16" s="1180" t="n">
        <v>10</v>
      </c>
      <c r="N16" s="2465">
        <f>IF(C16=" ","",F16*G16)</f>
        <v/>
      </c>
      <c r="O16" s="2465" t="n"/>
      <c r="P16" s="2169" t="n"/>
      <c r="Q16" s="2520">
        <f>IF(OR(C16=" ",$P$20="")," ",IF(O$20&gt;=AVERAGE($O$20,$O$26,$O$32),IF(H16&gt;=7,Y16," ")," "))</f>
        <v/>
      </c>
      <c r="R16" s="2520">
        <f>IF(OR(C16=" ",$P$20="")," ",IF(O$20&gt;=$O$39,IF(N16&gt;=O$20,Z16," ")," "))</f>
        <v/>
      </c>
      <c r="S16" s="765" t="n"/>
      <c r="T16" s="765" t="n"/>
      <c r="U16" s="2242" t="n"/>
      <c r="V16" s="2242" t="n"/>
      <c r="W16" s="2242" t="n"/>
      <c r="X16" s="2242" t="n"/>
      <c r="Y16" s="2159" t="n"/>
      <c r="Z16" s="2159" t="n"/>
      <c r="AA16" s="2315" t="n"/>
      <c r="AB16" s="1912" t="n">
        <v>0</v>
      </c>
      <c r="AC16" s="2516" t="n">
        <v>0</v>
      </c>
      <c r="AD16" s="88" t="n">
        <v>1</v>
      </c>
      <c r="AE16" s="88" t="n">
        <v>1</v>
      </c>
      <c r="AF16" s="88" t="n">
        <v>2</v>
      </c>
      <c r="AG16" s="88" t="n">
        <v>6</v>
      </c>
      <c r="AH16" s="88" t="n">
        <v>7</v>
      </c>
      <c r="AI16" s="1913" t="n">
        <v>10</v>
      </c>
    </row>
    <row r="17" ht="47" customHeight="1" s="2456" thickBot="1">
      <c r="A17" s="1855" t="n"/>
      <c r="B17" s="2580">
        <f>BIBLE!E181</f>
        <v/>
      </c>
      <c r="C17" s="2580">
        <f>Test_Bible!B302</f>
        <v/>
      </c>
      <c r="D17" s="2495" t="n"/>
      <c r="E17" s="258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65">
        <f>IF(C17="","",F17*G17)</f>
        <v/>
      </c>
      <c r="O17" s="2465" t="n"/>
      <c r="P17" s="2169" t="n"/>
      <c r="Q17" s="2520">
        <f>IF(OR(C17=" ",$P$20="")," ",IF(O$20&gt;=AVERAGE($O$20,$O$26,$O$32),IF(H17&gt;=7,Y17," ")," "))</f>
        <v/>
      </c>
      <c r="R17" s="2520">
        <f>IF(OR(C17=" ",$P$20="")," ",IF(O$20&gt;=$O$39,IF(N17&gt;=O$20,Z17," ")," "))</f>
        <v/>
      </c>
      <c r="S17" s="765" t="n"/>
      <c r="T17" s="765" t="n"/>
      <c r="U17" s="2247" t="n"/>
      <c r="V17" s="2247" t="n"/>
      <c r="W17" s="2247" t="n"/>
      <c r="X17" s="2247" t="n"/>
      <c r="Y17" s="2159" t="n"/>
      <c r="Z17" s="2159" t="n"/>
      <c r="AA17" s="2315" t="n"/>
      <c r="AB17" s="1912" t="n">
        <v>0</v>
      </c>
      <c r="AC17" s="2516" t="n">
        <v>1</v>
      </c>
      <c r="AD17" s="88" t="n">
        <v>2</v>
      </c>
      <c r="AE17" s="88" t="n">
        <v>3</v>
      </c>
      <c r="AF17" s="88" t="n">
        <v>4</v>
      </c>
      <c r="AG17" s="88" t="n">
        <v>6</v>
      </c>
      <c r="AH17" s="88" t="n">
        <v>7</v>
      </c>
      <c r="AI17" s="1913" t="n">
        <v>10</v>
      </c>
    </row>
    <row r="18" ht="89" customHeight="1" s="2456" thickBot="1">
      <c r="A18" s="1855" t="n"/>
      <c r="B18" s="2580">
        <f>Test_Bible!A306</f>
        <v/>
      </c>
      <c r="C18" s="2580">
        <f>Test_Bible!B306</f>
        <v/>
      </c>
      <c r="D18" s="2495" t="n"/>
      <c r="E18" s="258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65">
        <f>IF(C18=" ","",F18*G18)</f>
        <v/>
      </c>
      <c r="O18" s="2465" t="n"/>
      <c r="P18" s="2169" t="n"/>
      <c r="Q18" s="2520">
        <f>IF(OR(C18=" ",$P$20="")," ",IF(O$20&gt;=AVERAGE($O$20,$O$26,$O$32),IF(H18&gt;=7,Y18," ")," "))</f>
        <v/>
      </c>
      <c r="R18" s="2520">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t>
        </is>
      </c>
      <c r="Z18" s="2159" t="n"/>
      <c r="AA18" s="2315" t="n"/>
      <c r="AB18" s="1912" t="n">
        <v>0</v>
      </c>
      <c r="AC18" s="2516" t="n">
        <v>1</v>
      </c>
      <c r="AD18" s="88" t="n">
        <v>2</v>
      </c>
      <c r="AE18" s="88" t="n">
        <v>3</v>
      </c>
      <c r="AF18" s="88" t="n">
        <v>4</v>
      </c>
      <c r="AG18" s="88" t="n">
        <v>6</v>
      </c>
      <c r="AH18" s="88" t="n">
        <v>7</v>
      </c>
      <c r="AI18" s="1913" t="n">
        <v>10</v>
      </c>
    </row>
    <row r="19" ht="33" customHeight="1" s="2456" thickBot="1">
      <c r="A19" s="1855" t="n"/>
      <c r="B19" s="826">
        <f>Test_Bible!A123</f>
        <v/>
      </c>
      <c r="C19" s="1858">
        <f>Test_Bible!B123</f>
        <v/>
      </c>
      <c r="D19" s="2496"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65">
        <f>IF(C19=" ","",F19*G19)</f>
        <v/>
      </c>
      <c r="P19" s="2550" t="n"/>
      <c r="Q19" s="2520">
        <f>IF(OR(C19=" ",$P$20="")," ",IF(O$20&gt;=AVERAGE($O$20,$O$26,$O$32),IF(H19&gt;=7,Y19," ")," "))</f>
        <v/>
      </c>
      <c r="R19" s="2520">
        <f>IF(OR(C19=" ",$P$20="")," ",IF(O$20&gt;=$O$39,IF(N19&gt;=O$20,Z19," ")," "))</f>
        <v/>
      </c>
      <c r="S19" s="765" t="n"/>
      <c r="T19" s="765" t="n"/>
      <c r="U19" s="2244" t="n"/>
      <c r="V19" s="2245" t="n"/>
      <c r="W19" s="2246" t="n"/>
      <c r="X19" s="2245" t="n"/>
      <c r="Y19" s="2263" t="n"/>
      <c r="Z19" s="2263" t="n"/>
      <c r="AA19" s="2315" t="n"/>
      <c r="AB19" s="1912" t="n">
        <v>0</v>
      </c>
      <c r="AC19" s="2516"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69" thickBot="1">
      <c r="B20" s="258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58" t="n"/>
      <c r="AA20" s="671" t="n"/>
      <c r="AB20" s="2051" t="n"/>
      <c r="AC20" s="2052" t="n"/>
      <c r="AF20" s="590" t="n"/>
      <c r="AG20" s="590" t="n"/>
      <c r="AI20" s="2053" t="n"/>
    </row>
    <row r="21" ht="57" customHeight="1" s="2456" thickBot="1">
      <c r="A21" s="1855" t="n"/>
      <c r="B21" s="2469">
        <f>Test_Bible!A53</f>
        <v/>
      </c>
      <c r="C21" s="2580">
        <f>Test_Bible!B53</f>
        <v/>
      </c>
      <c r="D21" s="2548" t="inlineStr">
        <is>
          <t>Respect de l'exercice et du temps parental</t>
        </is>
      </c>
      <c r="F21" s="2465">
        <f>Test_Bible!D53</f>
        <v/>
      </c>
      <c r="G21" s="67">
        <f>Test_Bible!P53</f>
        <v/>
      </c>
      <c r="H21" s="1857">
        <f>G21</f>
        <v/>
      </c>
      <c r="I21" s="1859" t="n">
        <v>0</v>
      </c>
      <c r="J21" s="1860" t="n">
        <v>1</v>
      </c>
      <c r="K21" s="1859" t="inlineStr">
        <is>
          <t>2 à 3</t>
        </is>
      </c>
      <c r="L21" s="1860" t="inlineStr">
        <is>
          <t>4 à 10</t>
        </is>
      </c>
      <c r="M21" s="1180" t="n">
        <v>10</v>
      </c>
      <c r="N21" s="2465">
        <f>IF(C21=" ","",F21*G21)</f>
        <v/>
      </c>
      <c r="O21" s="2465" t="n"/>
      <c r="P21" s="2169" t="n"/>
      <c r="Q21" s="2520">
        <f>IF(OR(C21=" ",$P$26="")," ",IF(O$20&gt;=$O$39,IF(H21&gt;=7,Y21," ")," "))</f>
        <v/>
      </c>
      <c r="R21" s="2520">
        <f>IF(OR(C21=" ",$P$26="")," ",IF(O$20&gt;=$O$39,IF(N21&gt;=O$20,Z21," ")," "))</f>
        <v/>
      </c>
      <c r="S21" s="765" t="n"/>
      <c r="T21" s="765" t="n"/>
      <c r="U21" s="2241" t="n"/>
      <c r="V21" s="2241" t="n"/>
      <c r="W21" s="2241" t="n"/>
      <c r="X21" s="2241" t="n"/>
      <c r="Y21" s="2264" t="n"/>
      <c r="Z21" s="2264" t="n"/>
      <c r="AA21" s="2315" t="n"/>
      <c r="AB21" s="1912" t="n">
        <v>0</v>
      </c>
      <c r="AC21" s="2516" t="n">
        <v>0</v>
      </c>
      <c r="AD21" s="88" t="n">
        <v>1</v>
      </c>
      <c r="AE21" s="88" t="n">
        <v>1</v>
      </c>
      <c r="AF21" s="88" t="n">
        <v>2</v>
      </c>
      <c r="AG21" s="88" t="n">
        <v>3</v>
      </c>
      <c r="AH21" s="88" t="n">
        <v>4</v>
      </c>
      <c r="AI21" s="1913" t="n">
        <v>10</v>
      </c>
    </row>
    <row r="22" ht="38" customHeight="1" s="2456" thickBot="1">
      <c r="A22" s="1855" t="n"/>
      <c r="B22" s="826">
        <f>Test_Bible!A136</f>
        <v/>
      </c>
      <c r="C22" s="1858">
        <f>Test_Bible!B136</f>
        <v/>
      </c>
      <c r="E22" s="2061" t="n">
        <v>12</v>
      </c>
      <c r="F22" s="2520">
        <f>IF(Test_Bible!$P$40&lt;=12,Test_Bible!D136,0)</f>
        <v/>
      </c>
      <c r="G22" s="2520">
        <f>IF(Test_Bible!P40&lt;=12,Test_Bible!P136,0)</f>
        <v/>
      </c>
      <c r="H22" s="1857">
        <f>G22</f>
        <v/>
      </c>
      <c r="I22" s="1859" t="inlineStr">
        <is>
          <t>0 à 1</t>
        </is>
      </c>
      <c r="J22" s="1860" t="inlineStr">
        <is>
          <t>2 à 3</t>
        </is>
      </c>
      <c r="K22" s="1859" t="inlineStr">
        <is>
          <t>4 à 6</t>
        </is>
      </c>
      <c r="L22" s="1860" t="inlineStr">
        <is>
          <t>7 à 10</t>
        </is>
      </c>
      <c r="M22" s="1180" t="n">
        <v>10</v>
      </c>
      <c r="N22" s="2465">
        <f>IF(C22=" ","",F22*G22)</f>
        <v/>
      </c>
      <c r="O22" s="2465" t="n"/>
      <c r="P22" s="2169" t="n"/>
      <c r="Q22" s="2520">
        <f>IF(OR(C22=" ",$P$26="")," ",IF(O$20&gt;=$O$39,IF(H22&gt;=7,Y22," ")," "))</f>
        <v/>
      </c>
      <c r="R22" s="2520">
        <f>IF(OR(C22=" ",$P$26="")," ",IF(O$20&gt;=$O$39,IF(N22&gt;=O$20,Z22," ")," "))</f>
        <v/>
      </c>
      <c r="S22" s="765" t="n"/>
      <c r="T22" s="765" t="n"/>
      <c r="U22" s="2242" t="n"/>
      <c r="V22" s="2242" t="n"/>
      <c r="W22" s="2242" t="n"/>
      <c r="X22" s="2242" t="n"/>
      <c r="Y22" s="2159" t="n"/>
      <c r="Z22" s="2159" t="n"/>
      <c r="AA22" s="2315" t="n"/>
      <c r="AB22" s="1912" t="n">
        <v>0</v>
      </c>
      <c r="AC22" s="2516" t="n">
        <v>1</v>
      </c>
      <c r="AD22" s="88" t="n">
        <v>2</v>
      </c>
      <c r="AE22" s="88" t="n">
        <v>3</v>
      </c>
      <c r="AF22" s="88" t="n">
        <v>4</v>
      </c>
      <c r="AG22" s="88" t="n">
        <v>6</v>
      </c>
      <c r="AH22" s="88" t="n">
        <v>7</v>
      </c>
      <c r="AI22" s="1913" t="n">
        <v>10</v>
      </c>
    </row>
    <row r="23" ht="44" customHeight="1" s="2456" thickBot="1">
      <c r="A23" s="1855" t="n"/>
      <c r="B23" s="826">
        <f>Test_Bible!A140</f>
        <v/>
      </c>
      <c r="C23" s="1858">
        <f>Test_Bible!B140</f>
        <v/>
      </c>
      <c r="E23" s="1858" t="n"/>
      <c r="F23" s="2520">
        <f>Test_Bible!D140</f>
        <v/>
      </c>
      <c r="G23" s="67">
        <f>Test_Bible!P140</f>
        <v/>
      </c>
      <c r="H23" s="1857">
        <f>G23</f>
        <v/>
      </c>
      <c r="I23" s="1859" t="n">
        <v>0</v>
      </c>
      <c r="J23" s="1860" t="inlineStr">
        <is>
          <t>1 à 2</t>
        </is>
      </c>
      <c r="K23" s="1859" t="inlineStr">
        <is>
          <t>3 à 6</t>
        </is>
      </c>
      <c r="L23" s="1860" t="inlineStr">
        <is>
          <t>7 à 10</t>
        </is>
      </c>
      <c r="M23" s="1180" t="n">
        <v>10</v>
      </c>
      <c r="N23" s="2465">
        <f>IF(C23=" ","",F23*G23)</f>
        <v/>
      </c>
      <c r="O23" s="2465" t="n"/>
      <c r="P23" s="2169" t="n"/>
      <c r="Q23" s="2520">
        <f>IF(OR(C23=" ",$P$26="")," ",IF(O$20&gt;=$O$39,IF(H23&gt;=7,Y23," ")," "))</f>
        <v/>
      </c>
      <c r="R23" s="2520">
        <f>IF(OR(C23=" ",$P$26="")," ",IF(O$20&gt;=$O$39,IF(N23&gt;=O$20,Z23," ")," "))</f>
        <v/>
      </c>
      <c r="S23" s="765" t="n"/>
      <c r="T23" s="765" t="n"/>
      <c r="U23" s="2242" t="n"/>
      <c r="V23" s="2242" t="n"/>
      <c r="W23" s="2242" t="n"/>
      <c r="X23" s="2242" t="n"/>
      <c r="Y23" s="2302" t="inlineStr">
        <is>
          <t>Prendre des décisions sans consulter l'autre parent ne s'inscrit pas dans une saine coparentalité.</t>
        </is>
      </c>
      <c r="Z23" s="2159" t="n"/>
      <c r="AA23" s="2315" t="n"/>
      <c r="AB23" s="1912" t="n">
        <v>0</v>
      </c>
      <c r="AC23" s="2516" t="n">
        <v>0</v>
      </c>
      <c r="AD23" s="88" t="n">
        <v>1</v>
      </c>
      <c r="AE23" s="88" t="n">
        <v>2</v>
      </c>
      <c r="AF23" s="88" t="n">
        <v>3</v>
      </c>
      <c r="AG23" s="88" t="n">
        <v>6</v>
      </c>
      <c r="AH23" s="88" t="n">
        <v>7</v>
      </c>
      <c r="AI23" s="1913" t="n">
        <v>10</v>
      </c>
    </row>
    <row r="24" ht="38" customHeight="1" s="2456" thickBot="1">
      <c r="A24" s="809" t="n"/>
      <c r="B24" s="826">
        <f>Test_Bible!A197</f>
        <v/>
      </c>
      <c r="C24" s="826">
        <f>Test_Bible!B197</f>
        <v/>
      </c>
      <c r="E24" s="826" t="n"/>
      <c r="F24" s="2465">
        <f>Test_Bible!D197</f>
        <v/>
      </c>
      <c r="G24" s="2465">
        <f>Test_Bible!P197</f>
        <v/>
      </c>
      <c r="H24" s="1857">
        <f>MAX(G24,G31)</f>
        <v/>
      </c>
      <c r="I24" s="6" t="inlineStr">
        <is>
          <t>0 à 1</t>
        </is>
      </c>
      <c r="J24" s="1310" t="inlineStr">
        <is>
          <t>2 à 3</t>
        </is>
      </c>
      <c r="K24" s="6" t="inlineStr">
        <is>
          <t>4 à 6</t>
        </is>
      </c>
      <c r="L24" s="2465" t="inlineStr">
        <is>
          <t>7 à 10</t>
        </is>
      </c>
      <c r="M24" s="1180" t="n">
        <v>10</v>
      </c>
      <c r="N24" s="2465">
        <f>IF(C24=" ","",F24*G24)</f>
        <v/>
      </c>
      <c r="O24" s="2465" t="n"/>
      <c r="P24" s="2169" t="n"/>
      <c r="Q24" s="2520">
        <f>IF(OR(C24=" ",$P$26="")," ",IF(O$20&gt;=$O$39,IF(H24&gt;=7,Y24," ")," "))</f>
        <v/>
      </c>
      <c r="R24" s="2520">
        <f>IF(OR(C24=" ",$P$26="")," ",IF(O$20&gt;=$O$39,IF(N24&gt;=O$20,Z24," ")," "))</f>
        <v/>
      </c>
      <c r="S24" s="765" t="n"/>
      <c r="T24" s="765" t="n"/>
      <c r="U24" s="2242" t="n"/>
      <c r="V24" s="2242" t="n"/>
      <c r="W24" s="2242" t="n"/>
      <c r="X24" s="2242" t="n"/>
      <c r="Y24" s="2159" t="n"/>
      <c r="Z24" s="2159" t="n"/>
      <c r="AA24" s="2315" t="n"/>
      <c r="AB24" s="1912" t="n">
        <v>0</v>
      </c>
      <c r="AC24" s="2516" t="n">
        <v>1</v>
      </c>
      <c r="AD24" s="88" t="n">
        <v>2</v>
      </c>
      <c r="AE24" s="88" t="n">
        <v>3</v>
      </c>
      <c r="AF24" s="88" t="n">
        <v>4</v>
      </c>
      <c r="AG24" s="88" t="n">
        <v>6</v>
      </c>
      <c r="AH24" s="88" t="n">
        <v>7</v>
      </c>
      <c r="AI24" s="1913" t="n">
        <v>10</v>
      </c>
    </row>
    <row r="25" ht="41" customHeight="1" s="2456" thickBot="1">
      <c r="A25" s="2250" t="inlineStr">
        <is>
          <t>Respect de l'autre</t>
        </is>
      </c>
      <c r="B25" s="826">
        <f>Test_Bible!A134</f>
        <v/>
      </c>
      <c r="C25" s="1858">
        <f>Test_Bible!B134</f>
        <v/>
      </c>
      <c r="E25" s="1858" t="n"/>
      <c r="F25" s="2520">
        <f>Test_Bible!D134</f>
        <v/>
      </c>
      <c r="G25" s="67">
        <f>Test_Bible!P134</f>
        <v/>
      </c>
      <c r="H25" s="1857">
        <f>G25</f>
        <v/>
      </c>
      <c r="I25" s="1859" t="inlineStr">
        <is>
          <t>0 à 1</t>
        </is>
      </c>
      <c r="J25" s="1860" t="inlineStr">
        <is>
          <t>2 à 3</t>
        </is>
      </c>
      <c r="K25" s="1859" t="inlineStr">
        <is>
          <t>4 à 6</t>
        </is>
      </c>
      <c r="L25" s="1860" t="inlineStr">
        <is>
          <t>7 à 10</t>
        </is>
      </c>
      <c r="M25" s="1180" t="n">
        <v>10</v>
      </c>
      <c r="N25" s="2465">
        <f>IF(C25=" ","",F25*G25)</f>
        <v/>
      </c>
      <c r="O25" s="2465" t="n"/>
      <c r="P25" s="2169" t="n"/>
      <c r="Q25" s="2520">
        <f>IF(OR(C25=" ",$P$26="")," ",IF(O$20&gt;=$O$39,IF(H25&gt;=7,Y25," ")," "))</f>
        <v/>
      </c>
      <c r="R25" s="2520">
        <f>IF(OR(C25=" ",$P$26="")," ",IF(O$20&gt;=$O$39,IF(N25&gt;=O$20,Z25," ")," "))</f>
        <v/>
      </c>
      <c r="S25" s="765" t="n"/>
      <c r="T25" s="765" t="n"/>
      <c r="U25" s="2248" t="n"/>
      <c r="V25" s="2248" t="n"/>
      <c r="W25" s="2248" t="n"/>
      <c r="X25" s="2248" t="n"/>
      <c r="Y25" s="2159" t="n"/>
      <c r="Z25" s="2159" t="n"/>
      <c r="AA25" s="2315" t="n"/>
      <c r="AB25" s="1912" t="n">
        <v>0</v>
      </c>
      <c r="AC25" s="2516" t="n">
        <v>1</v>
      </c>
      <c r="AD25" s="88" t="n">
        <v>2</v>
      </c>
      <c r="AE25" s="88" t="n">
        <v>3</v>
      </c>
      <c r="AF25" s="88" t="n">
        <v>4</v>
      </c>
      <c r="AG25" s="88" t="n">
        <v>6</v>
      </c>
      <c r="AH25" s="88" t="n">
        <v>7</v>
      </c>
      <c r="AI25" s="1913" t="n">
        <v>10</v>
      </c>
    </row>
    <row r="26" ht="111" customFormat="1" customHeight="1" s="2469"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69">
      <c r="B27" s="2048" t="inlineStr">
        <is>
          <t>Rôle du nouveau conjoint.e</t>
        </is>
      </c>
      <c r="C27" s="2580" t="n"/>
      <c r="D27" s="2257" t="n"/>
      <c r="E27" s="2258" t="n"/>
      <c r="F27" s="1053" t="n"/>
      <c r="G27" s="65" t="n"/>
      <c r="H27" s="2259" t="n"/>
      <c r="I27" s="65" t="n"/>
      <c r="J27" s="65" t="n"/>
      <c r="K27" s="65" t="n"/>
      <c r="L27" s="65" t="n"/>
      <c r="M27" s="65" t="n"/>
      <c r="N27" s="65" t="n"/>
      <c r="O27" s="2238" t="n"/>
      <c r="P27" s="2257" t="n"/>
      <c r="Q27" s="2520" t="n"/>
      <c r="R27" s="2580" t="n"/>
      <c r="S27" s="765" t="n"/>
      <c r="T27" s="765" t="n"/>
      <c r="U27" s="2260" t="n"/>
      <c r="V27" s="2260" t="n"/>
      <c r="W27" s="2260" t="n"/>
      <c r="X27" s="2261" t="n"/>
      <c r="Y27" s="2306" t="n"/>
      <c r="Z27" s="2306" t="n"/>
      <c r="AA27" s="671" t="n"/>
      <c r="AB27" s="2049" t="n"/>
      <c r="AC27" s="2481" t="n"/>
      <c r="AD27" s="68" t="n"/>
      <c r="AE27" s="68" t="n"/>
      <c r="AF27" s="68" t="n"/>
      <c r="AG27" s="68" t="n"/>
      <c r="AH27" s="68" t="n"/>
      <c r="AI27" s="2050" t="n"/>
    </row>
    <row r="28" ht="40" customHeight="1" s="2456" thickBot="1">
      <c r="A28" s="809" t="n"/>
      <c r="B28" s="826">
        <f>Test_Bible!A216</f>
        <v/>
      </c>
      <c r="C28" s="826">
        <f>Test_Bible!B216</f>
        <v/>
      </c>
      <c r="D28" s="2538" t="inlineStr">
        <is>
          <t>Rôle et statut du nouveau conjoint.e</t>
        </is>
      </c>
      <c r="E28" s="826" t="n"/>
      <c r="F28" s="6">
        <f>Test_Bible!D216</f>
        <v/>
      </c>
      <c r="G28" s="6">
        <f>Test_Bible!P216</f>
        <v/>
      </c>
      <c r="H28" s="1857">
        <f>G28</f>
        <v/>
      </c>
      <c r="I28" s="6" t="n">
        <v>0</v>
      </c>
      <c r="J28" s="2465" t="inlineStr">
        <is>
          <t>1 à 3</t>
        </is>
      </c>
      <c r="K28" s="6" t="inlineStr">
        <is>
          <t>4 à 6</t>
        </is>
      </c>
      <c r="L28" s="2465" t="inlineStr">
        <is>
          <t>7 à 10</t>
        </is>
      </c>
      <c r="M28" s="1180" t="n">
        <v>10</v>
      </c>
      <c r="N28" s="2465">
        <f>IF(C28=" ","",F28*G28)</f>
        <v/>
      </c>
      <c r="O28" s="2465" t="n"/>
      <c r="P28" s="2550" t="n"/>
      <c r="Q28" s="2520">
        <f>IF(OR(C28=" ",$P$32="")," ",IF(O$20&gt;=$O$39,IF(H28&gt;=7,Y28," ")," "))</f>
        <v/>
      </c>
      <c r="R28" s="2520">
        <f>IF(OR(C28=" ",$P$32="")," ",IF(O$20&gt;=$O$39,IF(N28&gt;=O$20,Z28," ")," "))</f>
        <v/>
      </c>
      <c r="S28" s="765" t="n"/>
      <c r="T28" s="765" t="n"/>
      <c r="U28" s="2242" t="n"/>
      <c r="V28" s="2242" t="n"/>
      <c r="W28" s="2242" t="n"/>
      <c r="X28" s="2242" t="n"/>
      <c r="Y28" s="2239" t="n"/>
      <c r="Z28" s="2239" t="n"/>
      <c r="AA28" s="2580" t="n"/>
      <c r="AB28" s="1912" t="n">
        <v>0</v>
      </c>
      <c r="AC28" s="2516" t="n">
        <v>0</v>
      </c>
      <c r="AD28" s="88" t="n">
        <v>1</v>
      </c>
      <c r="AE28" s="88" t="n">
        <v>3</v>
      </c>
      <c r="AF28" s="88" t="n">
        <v>4</v>
      </c>
      <c r="AG28" s="88" t="n">
        <v>6</v>
      </c>
      <c r="AH28" s="88" t="n">
        <v>7</v>
      </c>
      <c r="AI28" s="1913" t="n">
        <v>10</v>
      </c>
    </row>
    <row r="29" ht="55" customHeight="1" s="2456" thickBot="1">
      <c r="A29" s="809" t="n"/>
      <c r="B29" s="541">
        <f>Test_Bible!A425</f>
        <v/>
      </c>
      <c r="C29" s="826">
        <f>Test_Bible!B425</f>
        <v/>
      </c>
      <c r="D29" s="2495" t="n"/>
      <c r="E29" s="826" t="n"/>
      <c r="F29" s="6">
        <f>Test_Bible!D425</f>
        <v/>
      </c>
      <c r="G29" s="6">
        <f>Test_Bible!P425</f>
        <v/>
      </c>
      <c r="H29" s="1857">
        <f>G29</f>
        <v/>
      </c>
      <c r="I29" s="6" t="inlineStr">
        <is>
          <t>0 à 1</t>
        </is>
      </c>
      <c r="J29" s="1310" t="inlineStr">
        <is>
          <t>2 à 3</t>
        </is>
      </c>
      <c r="K29" s="6" t="inlineStr">
        <is>
          <t>4 à 6</t>
        </is>
      </c>
      <c r="L29" s="2465" t="inlineStr">
        <is>
          <t>7 à 10</t>
        </is>
      </c>
      <c r="M29" s="1180" t="n">
        <v>10</v>
      </c>
      <c r="N29" s="2465">
        <f>IF(C29=" ","",F29*G29)</f>
        <v/>
      </c>
      <c r="O29" s="2465" t="n"/>
      <c r="P29" s="2483" t="n"/>
      <c r="Q29" s="2520">
        <f>IF(OR(C29=" ",$P$32="")," ",IF(O$20&gt;=$O$39,IF(H29&gt;=7,Y29," ")," "))</f>
        <v/>
      </c>
      <c r="R29" s="2520">
        <f>IF(OR(C29=" ",$P$32="")," ",IF(O$20&gt;=$O$39,IF(N29&gt;=O$20,Z29," ")," "))</f>
        <v/>
      </c>
      <c r="S29" s="765" t="n"/>
      <c r="T29" s="765" t="n"/>
      <c r="U29" s="2242" t="n"/>
      <c r="V29" s="2242" t="n"/>
      <c r="W29" s="2242" t="n"/>
      <c r="X29" s="2242" t="n"/>
      <c r="Y29" s="2239" t="n"/>
      <c r="Z29" s="2239" t="n"/>
      <c r="AA29" s="2580" t="n"/>
      <c r="AB29" s="1912" t="n">
        <v>0</v>
      </c>
      <c r="AC29" s="2516" t="n">
        <v>1</v>
      </c>
      <c r="AD29" s="88" t="n">
        <v>2</v>
      </c>
      <c r="AE29" s="88" t="n">
        <v>3</v>
      </c>
      <c r="AF29" s="88" t="n">
        <v>4</v>
      </c>
      <c r="AG29" s="88" t="n">
        <v>6</v>
      </c>
      <c r="AH29" s="88" t="n">
        <v>7</v>
      </c>
      <c r="AI29" s="1913" t="n">
        <v>10</v>
      </c>
    </row>
    <row r="30" ht="37" customFormat="1" customHeight="1" s="2469" thickBot="1">
      <c r="A30" s="1914" t="n"/>
      <c r="B30" s="21">
        <f>Test_Bible!A405</f>
        <v/>
      </c>
      <c r="C30" s="21">
        <f>Test_Bible!B405</f>
        <v/>
      </c>
      <c r="D30" s="2495" t="n"/>
      <c r="F30" s="6">
        <f>Test_Bible!D405</f>
        <v/>
      </c>
      <c r="G30" s="6">
        <f>Test_Bible!P405</f>
        <v/>
      </c>
      <c r="H30" s="1857">
        <f>G30</f>
        <v/>
      </c>
      <c r="I30" s="6" t="inlineStr">
        <is>
          <t>0 à 1</t>
        </is>
      </c>
      <c r="J30" s="1310" t="inlineStr">
        <is>
          <t>2 à 3</t>
        </is>
      </c>
      <c r="K30" s="6" t="inlineStr">
        <is>
          <t>4 à 6</t>
        </is>
      </c>
      <c r="L30" s="2465" t="inlineStr">
        <is>
          <t>7 à 10</t>
        </is>
      </c>
      <c r="M30" s="1180" t="n">
        <v>10</v>
      </c>
      <c r="N30" s="2465">
        <f>IF(C30=" ","",F30*G30)</f>
        <v/>
      </c>
      <c r="O30" s="2465" t="n"/>
      <c r="P30" s="2483" t="n"/>
      <c r="Q30" s="2520">
        <f>IF(OR(C30=" ",$P$32="")," ",IF(O$20&gt;=$O$39,IF(H30&gt;=7,Y30," ")," "))</f>
        <v/>
      </c>
      <c r="R30" s="2520">
        <f>IF(OR(C30=" ",$P$32="")," ",IF(O$20&gt;=$O$39,IF(N30&gt;=O$20,Z30," ")," "))</f>
        <v/>
      </c>
      <c r="S30" s="765" t="n"/>
      <c r="T30" s="765" t="n"/>
      <c r="U30" s="2242" t="n"/>
      <c r="V30" s="2242" t="n"/>
      <c r="W30" s="2242" t="n"/>
      <c r="X30" s="2242" t="n"/>
      <c r="Y30" s="2239" t="n"/>
      <c r="Z30" s="2239" t="n"/>
      <c r="AA30" s="2580" t="n"/>
      <c r="AB30" s="1912" t="n">
        <v>0</v>
      </c>
      <c r="AC30" s="2516" t="n">
        <v>1</v>
      </c>
      <c r="AD30" s="88" t="n">
        <v>2</v>
      </c>
      <c r="AE30" s="88" t="n">
        <v>3</v>
      </c>
      <c r="AF30" s="88" t="n">
        <v>4</v>
      </c>
      <c r="AG30" s="88" t="n">
        <v>6</v>
      </c>
      <c r="AH30" s="88" t="n">
        <v>7</v>
      </c>
      <c r="AI30" s="1913" t="n">
        <v>10</v>
      </c>
    </row>
    <row r="31" ht="54" customHeight="1" s="2456" thickBot="1">
      <c r="A31" s="809" t="n"/>
      <c r="B31" s="541">
        <f>Test_Bible!A419</f>
        <v/>
      </c>
      <c r="C31" s="826">
        <f>Test_Bible!B419</f>
        <v/>
      </c>
      <c r="D31" s="2496" t="n"/>
      <c r="E31" s="826" t="n"/>
      <c r="F31" s="2465">
        <f>Test_Bible!D419</f>
        <v/>
      </c>
      <c r="G31" s="2465">
        <f>Test_Bible!P419</f>
        <v/>
      </c>
      <c r="H31" s="1857">
        <f>G31</f>
        <v/>
      </c>
      <c r="I31" s="6" t="inlineStr">
        <is>
          <t>0 à 1</t>
        </is>
      </c>
      <c r="J31" s="1310" t="inlineStr">
        <is>
          <t>2 à 3</t>
        </is>
      </c>
      <c r="K31" s="6" t="inlineStr">
        <is>
          <t>4 à 6</t>
        </is>
      </c>
      <c r="L31" s="2465" t="inlineStr">
        <is>
          <t>7 à 10</t>
        </is>
      </c>
      <c r="M31" s="1180" t="n">
        <v>10</v>
      </c>
      <c r="N31" s="2465">
        <f>IF(C31=" ","",F31*G31)</f>
        <v/>
      </c>
      <c r="O31" s="2465" t="n"/>
      <c r="P31" s="2483" t="n"/>
      <c r="Q31" s="2520">
        <f>IF(OR(C31=" ",$P$32="")," ",IF(O$20&gt;=$O$39,IF(H31&gt;=7,Y31," ")," "))</f>
        <v/>
      </c>
      <c r="R31" s="2520">
        <f>IF(OR(C31=" ",$P$32="")," ",IF(O$20&gt;=$O$39,IF(N31&gt;=O$20,Z31," ")," "))</f>
        <v/>
      </c>
      <c r="S31" s="765" t="n"/>
      <c r="T31" s="765" t="n"/>
      <c r="U31" s="2242" t="n"/>
      <c r="V31" s="2242" t="n"/>
      <c r="W31" s="2242" t="n"/>
      <c r="X31" s="2242" t="n"/>
      <c r="Y31" s="2239" t="n"/>
      <c r="Z31" s="2239" t="n"/>
      <c r="AA31" s="2580" t="n"/>
      <c r="AB31" s="1912" t="n">
        <v>0</v>
      </c>
      <c r="AC31" s="2516" t="n">
        <v>1</v>
      </c>
      <c r="AD31" s="88" t="n">
        <v>2</v>
      </c>
      <c r="AE31" s="88" t="n">
        <v>3</v>
      </c>
      <c r="AF31" s="88" t="n">
        <v>4</v>
      </c>
      <c r="AG31" s="88" t="n">
        <v>6</v>
      </c>
      <c r="AH31" s="88" t="n">
        <v>7</v>
      </c>
      <c r="AI31" s="1913" t="n">
        <v>10</v>
      </c>
    </row>
    <row r="32" ht="132" customFormat="1" customHeight="1" s="2469"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56">
      <c r="A33" s="2543" t="inlineStr">
        <is>
          <t>Q Indépend.</t>
        </is>
      </c>
      <c r="B33" s="481">
        <f>Test_Bible!A212</f>
        <v/>
      </c>
      <c r="C33" s="481">
        <f>Test_Bible!B212</f>
        <v/>
      </c>
      <c r="D33" s="2054" t="n"/>
      <c r="E33" s="826" t="n"/>
      <c r="F33" s="6" t="n"/>
      <c r="G33" s="246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 xml:space="preserve">Appeler le nouveau ou la nouvelle conjoint·e « papa » ou « maman » peut semer de la confusion chez l'enfant ou affecter la valeur symbolique de l’autre parent. </t>
        </is>
      </c>
      <c r="Z33" s="2159" t="n"/>
      <c r="AA33" s="2315" t="n"/>
      <c r="AB33" s="2328" t="n"/>
      <c r="AC33" s="2457" t="n"/>
      <c r="AD33" s="2457" t="n"/>
      <c r="AE33" s="2457" t="n"/>
      <c r="AF33" s="2457" t="n"/>
      <c r="AG33" s="2457" t="n"/>
      <c r="AH33" s="2457" t="n"/>
      <c r="AI33" s="1905" t="n"/>
    </row>
    <row r="34" ht="92" customHeight="1" s="2456">
      <c r="B34" s="2469">
        <f>Test_Bible!A152</f>
        <v/>
      </c>
      <c r="C34" s="2559">
        <f>Test_Bible!B152</f>
        <v/>
      </c>
      <c r="D34" s="2580" t="n"/>
      <c r="E34" s="2559" t="n"/>
      <c r="F34" s="6" t="n"/>
      <c r="G34" s="246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57" t="n"/>
      <c r="AD34" s="2457" t="n"/>
      <c r="AE34" s="2457" t="n"/>
      <c r="AF34" s="2457" t="n"/>
      <c r="AG34" s="2457" t="n"/>
      <c r="AH34" s="2457" t="n"/>
      <c r="AI34" s="1905" t="n"/>
    </row>
    <row r="35" ht="136" customHeight="1" s="2456">
      <c r="A35" s="2543" t="n"/>
      <c r="B35" s="2469">
        <f>Test_Bible!A21</f>
        <v/>
      </c>
      <c r="C35" s="2580">
        <f>Test_Bible!B21</f>
        <v/>
      </c>
      <c r="D35" s="2378" t="inlineStr">
        <is>
          <t>Vie commune</t>
        </is>
      </c>
      <c r="E35" s="2559" t="n"/>
      <c r="F35" s="6" t="n"/>
      <c r="G35" s="246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59" t="n"/>
      <c r="Z35" s="2329" t="n"/>
      <c r="AA35" s="2578" t="n"/>
      <c r="AB35" s="2457" t="n"/>
      <c r="AC35" s="2457" t="n"/>
      <c r="AD35" s="2457" t="n"/>
      <c r="AE35" s="2457" t="n"/>
      <c r="AF35" s="2457" t="n"/>
      <c r="AG35" s="2457" t="n"/>
      <c r="AH35" s="2457" t="n"/>
      <c r="AI35" s="2457" t="n"/>
    </row>
    <row r="36" ht="31" customHeight="1" s="2456">
      <c r="B36" s="82" t="n"/>
      <c r="C36" s="82" t="n"/>
      <c r="D36" s="82" t="n"/>
      <c r="E36" s="82" t="n"/>
      <c r="F36" s="11" t="n"/>
      <c r="G36" s="11" t="n"/>
      <c r="H36" s="1261" t="inlineStr">
        <is>
          <t>Score</t>
        </is>
      </c>
      <c r="I36" s="2545" t="inlineStr">
        <is>
          <t>Score</t>
        </is>
      </c>
      <c r="J36" s="2546" t="n"/>
      <c r="K36" s="2546" t="n"/>
      <c r="L36" s="2546" t="n"/>
      <c r="M36" s="2547" t="n"/>
      <c r="AB36" s="2457" t="n"/>
      <c r="AC36" s="2457" t="n"/>
      <c r="AD36" s="2457" t="n"/>
      <c r="AE36" s="2457" t="n"/>
      <c r="AF36" s="2457" t="n"/>
      <c r="AG36" s="2457" t="n"/>
      <c r="AH36" s="2457" t="n"/>
      <c r="AI36" s="2457" t="n"/>
    </row>
    <row r="37" ht="20" customHeight="1" s="2456" thickBot="1">
      <c r="H37" s="1308">
        <f>SUM(H11:H31)</f>
        <v/>
      </c>
      <c r="I37" s="2457">
        <f>I8</f>
        <v/>
      </c>
      <c r="J37" s="2457">
        <f>J8</f>
        <v/>
      </c>
      <c r="K37" s="2457">
        <f>K8</f>
        <v/>
      </c>
      <c r="L37" s="2457">
        <f>L8</f>
        <v/>
      </c>
      <c r="M37" s="1298" t="inlineStr">
        <is>
          <t>Score Max</t>
        </is>
      </c>
      <c r="Z37" s="2189" t="inlineStr">
        <is>
          <t>Drapeaux rouges par thème iraient en bas de la section dans le rapport</t>
        </is>
      </c>
      <c r="AA37" s="2189" t="n"/>
      <c r="AB37" s="2457" t="n"/>
      <c r="AC37" s="2457" t="n"/>
      <c r="AD37" s="2457" t="n"/>
      <c r="AE37" s="2457" t="n"/>
      <c r="AF37" s="2457" t="n"/>
      <c r="AG37" s="2457" t="n"/>
      <c r="AH37" s="2457" t="n"/>
      <c r="AI37" s="2457" t="n"/>
    </row>
    <row r="38">
      <c r="H38" s="2524">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57" t="n"/>
      <c r="AE38" s="2457" t="n"/>
      <c r="AF38" s="2457" t="n"/>
      <c r="AG38" s="2457" t="n"/>
      <c r="AH38" s="2457" t="n"/>
      <c r="AI38" s="2457" t="n"/>
    </row>
    <row r="39" ht="25" customHeight="1" s="2456">
      <c r="N39" t="inlineStr">
        <is>
          <t>Moyenne</t>
        </is>
      </c>
      <c r="O39" s="90">
        <f>AVERAGE(O20,O26,O32)</f>
        <v/>
      </c>
      <c r="U39" s="2457" t="inlineStr">
        <is>
          <t>2 ans -</t>
        </is>
      </c>
      <c r="V39" s="2457" t="inlineStr">
        <is>
          <t>2 ans +</t>
        </is>
      </c>
      <c r="W39" s="2457" t="inlineStr">
        <is>
          <t>2 ans -</t>
        </is>
      </c>
      <c r="X39" s="2457" t="inlineStr">
        <is>
          <t>2 ans +</t>
        </is>
      </c>
      <c r="Y39" s="2464" t="n"/>
      <c r="Z39" s="15" t="n"/>
      <c r="AA39" s="15" t="n"/>
    </row>
    <row r="40" ht="75" customHeight="1" s="2456">
      <c r="D40" s="2402" t="inlineStr">
        <is>
          <t>Constats généraux</t>
        </is>
      </c>
      <c r="K40" s="2457" t="n"/>
      <c r="M40" s="2457" t="n"/>
      <c r="N40" s="2457" t="n"/>
      <c r="O40" s="2457" t="n"/>
      <c r="P40" s="2129">
        <f>IF(HLOOKUP(1,U10:X41,31)="","",HLOOKUP(1,U10:X41,31))</f>
        <v/>
      </c>
      <c r="R40" s="2469" t="n"/>
      <c r="S40" s="2225" t="n"/>
      <c r="T40" s="2225" t="n"/>
      <c r="U40" s="2304" t="n"/>
      <c r="V40" s="2304" t="n"/>
      <c r="W40" s="2304" t="n"/>
      <c r="X40" s="2304" t="n"/>
      <c r="Y40" s="2407" t="n"/>
      <c r="Z40" s="2407" t="n"/>
    </row>
    <row r="41" ht="163" customHeight="1" s="2456">
      <c r="D41" s="2501" t="inlineStr">
        <is>
          <t>Ressources</t>
        </is>
      </c>
      <c r="H41" s="2457" t="n"/>
      <c r="I41" s="2457" t="n"/>
      <c r="J41" s="2457" t="n"/>
      <c r="K41" s="2457" t="n"/>
      <c r="R41" s="2314" t="n"/>
      <c r="S41" s="1824" t="inlineStr">
        <is>
          <t>N'hésitez pas à consulter la section Coparentalité de l'onglet Ressources afin de connaitre les meilleures pratiques en matière de coparentalité.
= lien actif</t>
        </is>
      </c>
      <c r="T41" s="1824" t="inlineStr">
        <is>
          <t>N'hésitez pas à consulter la section Coparentalité de l'onglet Ressources afin de connaitre les meilleures pratiques en matière de coparentalité.
= lien actif</t>
        </is>
      </c>
      <c r="U41" s="1824" t="inlineStr">
        <is>
          <t>Nous vous invitons à consulter la section coparentalité de l'onglet Ressources afin de connaitre les meilleures pratiques en matière de coparentalité.
= lien actif</t>
        </is>
      </c>
      <c r="V41" s="1824" t="inlineStr">
        <is>
          <t>Nous vous invitons à consulter la section coparentalité de l'onglet Ressources afin de connaitre les meilleures pratiques en matière de coparentalité.
= lien actif</t>
        </is>
      </c>
      <c r="W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57" t="n"/>
    </row>
    <row r="42" ht="116" customHeight="1" s="2456">
      <c r="H42" s="2457" t="n"/>
      <c r="I42" s="2457" t="n"/>
      <c r="J42" s="2457" t="n"/>
      <c r="K42" s="2457" t="n"/>
    </row>
    <row r="43">
      <c r="H43" s="2457" t="n"/>
      <c r="I43" s="2457" t="n"/>
      <c r="J43" s="2457" t="n"/>
      <c r="K43" s="2457" t="n"/>
      <c r="U43" t="inlineStr">
        <is>
          <t xml:space="preserve">. </t>
        </is>
      </c>
    </row>
    <row r="44">
      <c r="H44" s="2457" t="n"/>
      <c r="I44" s="2457" t="n"/>
      <c r="J44" s="2457" t="n"/>
      <c r="K44" s="2457" t="n"/>
    </row>
    <row r="45">
      <c r="H45" s="2457" t="n"/>
      <c r="I45" s="2457" t="n"/>
      <c r="J45" s="2457" t="n"/>
      <c r="K45" s="2457" t="n"/>
    </row>
    <row r="46">
      <c r="H46" s="2457" t="n"/>
      <c r="I46" s="2457" t="n"/>
      <c r="J46" s="2457" t="n"/>
      <c r="K46" s="245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57" min="6" max="6"/>
    <col width="9.1640625" bestFit="1" customWidth="1" style="2457"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57" min="13" max="13"/>
    <col width="9.1640625" bestFit="1" customWidth="1" style="2457" min="14" max="14"/>
    <col width="14.5" bestFit="1" customWidth="1" style="2456" min="15" max="15"/>
    <col width="4.1640625" customWidth="1" style="2456" min="16" max="16"/>
    <col width="23.33203125" bestFit="1" customWidth="1" style="2456" min="17" max="17"/>
    <col width="25.5" bestFit="1" customWidth="1" style="2457" min="18" max="18"/>
    <col width="42.83203125" customWidth="1" style="2457"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5" t="n"/>
      <c r="S1" s="1925" t="n"/>
      <c r="T1" s="1925" t="n"/>
      <c r="U1" s="1925" t="n"/>
    </row>
    <row r="2" ht="24" customHeight="1" s="2456">
      <c r="B2" s="80" t="n"/>
      <c r="R2" s="1925" t="n"/>
      <c r="S2" s="1925" t="n"/>
      <c r="T2" s="1925" t="n"/>
      <c r="U2" s="1925" t="n"/>
    </row>
    <row r="3" ht="19" customHeight="1" s="2456">
      <c r="B3" s="407" t="inlineStr">
        <is>
          <t>Deux baromètres étudiés ici:</t>
        </is>
      </c>
      <c r="C3" s="407" t="n"/>
    </row>
    <row r="4" ht="24" customHeight="1" s="2456">
      <c r="B4" s="407" t="n"/>
      <c r="C4" s="407" t="inlineStr">
        <is>
          <t>Le désir de coparentalité, engagement à faire équipe, et respect de la valeur parentale du coparent</t>
        </is>
      </c>
      <c r="R4" s="726" t="n"/>
      <c r="S4" s="726" t="n"/>
      <c r="T4" s="726" t="n"/>
      <c r="U4" s="726" t="n"/>
    </row>
    <row r="5" ht="19" customHeight="1" s="2456">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56">
      <c r="B6" s="407" t="n"/>
      <c r="C6" s="407" t="n"/>
      <c r="D6" s="80" t="n"/>
    </row>
    <row r="7" ht="22" customHeight="1" s="2456">
      <c r="B7" s="407" t="inlineStr">
        <is>
          <t>Présentation du baromètre (À propos)</t>
        </is>
      </c>
      <c r="C7" s="407" t="n"/>
      <c r="D7" s="2445"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56">
      <c r="E8" s="407" t="n"/>
      <c r="F8" s="1885" t="n"/>
      <c r="G8" s="1885" t="n"/>
    </row>
    <row r="9" ht="37" customHeight="1" s="2456">
      <c r="E9" s="407" t="n"/>
      <c r="F9" s="1885" t="n"/>
      <c r="G9" s="1885" t="n"/>
    </row>
    <row r="10" ht="37" customHeight="1" s="2456">
      <c r="C10" s="407" t="n"/>
      <c r="F10" s="1885" t="n"/>
      <c r="G10" s="1885" t="n"/>
      <c r="V10" s="34" t="inlineStr">
        <is>
          <t>Zone "Constat" du baromètre</t>
        </is>
      </c>
    </row>
    <row r="11" ht="24" customHeight="1" s="2456">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37" t="inlineStr">
        <is>
          <t>Zone de programmation</t>
        </is>
      </c>
      <c r="U11" s="2505" t="n"/>
      <c r="V11" s="2554" t="inlineStr">
        <is>
          <t>Bloc Constats</t>
        </is>
      </c>
      <c r="W11" s="2487" t="n"/>
      <c r="X11" s="2544" t="inlineStr">
        <is>
          <t>SECTION DRAPEAUX</t>
        </is>
      </c>
    </row>
    <row r="12" ht="37" customHeight="1" s="2456">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58" t="n"/>
      <c r="X12" s="2557" t="inlineStr">
        <is>
          <t>Drapeaux jaunes (à surveiller)</t>
        </is>
      </c>
      <c r="Y12" s="2557" t="inlineStr">
        <is>
          <t>Drapeaux rouges (par thème et par comportements)</t>
        </is>
      </c>
    </row>
    <row r="13" ht="29" customHeight="1" s="2456">
      <c r="R13" s="2028" t="n"/>
      <c r="S13" s="2556" t="inlineStr">
        <is>
          <t>Conseils sur le constat émis si son poids moyen est plus élevé que la moyenne globale.</t>
        </is>
      </c>
      <c r="T13" s="2557" t="inlineStr">
        <is>
          <t>Pour les constats à soulever, quels sont les cpts d'impact et soulever les drapeaux jaunes. (Évaluer la valeur du cpt par sa fréquence et non son amplitude)</t>
        </is>
      </c>
      <c r="U13" s="2558"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56">
      <c r="R14" s="2027" t="n"/>
      <c r="U14" s="2505" t="n"/>
      <c r="V14" s="2372">
        <f>IF(AND(F27&lt;4,M27&lt;4),1,0)</f>
        <v/>
      </c>
      <c r="W14" s="2373">
        <f>IF(OR(F27&gt;=4,M27&gt;=4),1,0)</f>
        <v/>
      </c>
      <c r="X14" s="2312" t="n"/>
      <c r="Y14" s="2312" t="n"/>
    </row>
    <row r="15" ht="37" customHeight="1" s="2456">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17" t="n"/>
      <c r="Q15" s="2520" t="inlineStr">
        <is>
          <t>Thèmes :</t>
        </is>
      </c>
      <c r="R15" s="2550" t="inlineStr">
        <is>
          <t>Ecart de F*I (PFA-PCR)</t>
        </is>
      </c>
      <c r="V15" s="2550" t="n"/>
      <c r="W15" s="2091" t="n"/>
      <c r="X15" s="2520" t="n"/>
      <c r="Y15" s="2520" t="n"/>
      <c r="AB15" s="288" t="inlineStr">
        <is>
          <t>ZONE Graphique Divergence - Valeurs</t>
        </is>
      </c>
    </row>
    <row r="16" ht="37" customHeight="1" s="2456">
      <c r="A16" s="2371" t="inlineStr">
        <is>
          <t>Si intensité d'une question est 0 = cacher la question des deux parents</t>
        </is>
      </c>
      <c r="B16" s="407" t="n"/>
      <c r="C16" s="407" t="n"/>
      <c r="D16" s="80" t="n"/>
      <c r="E16" s="407" t="n"/>
      <c r="P16" s="2517" t="n"/>
      <c r="R16" s="2550" t="n"/>
      <c r="V16" s="2550" t="n"/>
      <c r="W16" s="2091" t="n"/>
      <c r="X16" s="2520" t="n"/>
      <c r="Y16" s="2520" t="n"/>
      <c r="AB16" s="288" t="n"/>
    </row>
    <row r="17" ht="33" customHeight="1" s="2456">
      <c r="A17" s="2371" t="inlineStr">
        <is>
          <t>Si une des deux questions est fermée = cacher la question pour les deux parents</t>
        </is>
      </c>
      <c r="B17" s="2030" t="n"/>
      <c r="C17" s="2520" t="n"/>
      <c r="D17" s="2578" t="n"/>
      <c r="P17" s="2517" t="n"/>
      <c r="Q17" s="1373" t="inlineStr">
        <is>
          <t>Mettre en ordre d'écart décroissant</t>
        </is>
      </c>
      <c r="R17" s="2550" t="n"/>
      <c r="V17" s="2550" t="n"/>
      <c r="W17" s="2091" t="n"/>
      <c r="X17" s="2520" t="n"/>
      <c r="Y17" s="2520" t="n"/>
      <c r="AB17" s="288" t="n"/>
    </row>
    <row r="18" ht="65" customHeight="1" s="2456" thickBot="1">
      <c r="A18" t="inlineStr">
        <is>
          <t>Question affichée ou non</t>
        </is>
      </c>
      <c r="B18" s="728" t="inlineStr">
        <is>
          <t>Thème</t>
        </is>
      </c>
      <c r="C18" s="2520" t="n"/>
      <c r="D18" s="2578" t="n"/>
      <c r="E18" s="2520" t="inlineStr">
        <is>
          <t>Intensité</t>
        </is>
      </c>
      <c r="F18" s="2520" t="inlineStr">
        <is>
          <t>Fréquence</t>
        </is>
      </c>
      <c r="G18" s="2520" t="inlineStr">
        <is>
          <t>F*I</t>
        </is>
      </c>
      <c r="H18" s="598" t="n"/>
      <c r="I18" s="598" t="n"/>
      <c r="J18" s="2520" t="n"/>
      <c r="K18" s="2578" t="n"/>
      <c r="L18" s="2520" t="inlineStr">
        <is>
          <t>Intensité</t>
        </is>
      </c>
      <c r="M18" s="2520" t="inlineStr">
        <is>
          <t>Fréquence</t>
        </is>
      </c>
      <c r="N18" s="2520" t="inlineStr">
        <is>
          <t>F*I</t>
        </is>
      </c>
      <c r="O18" s="598" t="n"/>
      <c r="P18" s="2457" t="n"/>
      <c r="Q18" s="2520" t="n"/>
      <c r="U18" s="2465" t="inlineStr">
        <is>
          <t>Introduction=&gt;</t>
        </is>
      </c>
      <c r="V18" s="2550"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20" t="n"/>
      <c r="Y18" s="2520" t="n"/>
      <c r="Z18" s="2265" t="inlineStr">
        <is>
          <t>Mettre en ordre d'écart décroissant</t>
        </is>
      </c>
      <c r="AA18" s="2266" t="n"/>
      <c r="AC18" t="inlineStr">
        <is>
          <t>PFA</t>
        </is>
      </c>
      <c r="AD18" t="inlineStr">
        <is>
          <t>PCR</t>
        </is>
      </c>
    </row>
    <row r="19" ht="59" customHeight="1" s="2456" thickBot="1">
      <c r="A19" s="2517">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69" t="n"/>
      <c r="J19" s="626">
        <f>BIBLE!E72</f>
        <v/>
      </c>
      <c r="K19" s="1657">
        <f>Test_Bible!B154</f>
        <v/>
      </c>
      <c r="L19" s="626">
        <f>Test_Bible!D154</f>
        <v/>
      </c>
      <c r="M19" s="1891">
        <f>Test_Bible!P154</f>
        <v/>
      </c>
      <c r="N19" s="1890">
        <f>L19*M19</f>
        <v/>
      </c>
      <c r="O19" s="1894">
        <f>BIBLE!V72</f>
        <v/>
      </c>
      <c r="P19" s="2457" t="n"/>
      <c r="Q19" s="2538" t="inlineStr">
        <is>
          <t>Le désir de coparentalité, engagement à faire équipe, et respect de la valeur parentale du coparent</t>
        </is>
      </c>
      <c r="R19" s="1895">
        <f>IF(A19="oui",G19+N19,"")</f>
        <v/>
      </c>
      <c r="S19" s="2403">
        <f>IF(A19="oui",IF(R19&gt;$Q$27,HLOOKUP(1,$V$14:$W$28,6),""),"")</f>
        <v/>
      </c>
      <c r="T19" s="2403" t="n"/>
      <c r="U19" s="2403" t="n"/>
      <c r="V19" s="2235" t="n"/>
      <c r="W19" s="2234" t="inlineStr">
        <is>
          <t xml:space="preserve">n’est pas sereins face à la séparation amoureuse ou face à l’éclatement de la famille. </t>
        </is>
      </c>
      <c r="X19" s="2235" t="n"/>
      <c r="Y19" s="2235" t="n"/>
      <c r="Z19" s="2369" t="n"/>
      <c r="AA19" s="2370" t="n"/>
      <c r="AB19" s="2559">
        <f>B19</f>
        <v/>
      </c>
      <c r="AC19" s="55">
        <f>IF(OR(D19="",E19=0),"",G19)</f>
        <v/>
      </c>
      <c r="AD19" s="55">
        <f>IF(OR(K19="",L19=0),"",N19)</f>
        <v/>
      </c>
    </row>
    <row r="20" ht="73" customHeight="1" s="2456" thickBot="1">
      <c r="A20" s="2517">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65" t="n"/>
      <c r="Q20" s="2495" t="n"/>
      <c r="R20" s="1895">
        <f>IF(A20="oui",G20+N20,"")</f>
        <v/>
      </c>
      <c r="S20" s="2403">
        <f>IF(A20="oui",IF(R20&gt;$Q$27,HLOOKUP(1,$V$14:$W$28,7),""),"")</f>
        <v/>
      </c>
      <c r="T20" s="2403" t="n"/>
      <c r="U20" s="2403" t="n"/>
      <c r="V20" s="2235" t="n"/>
      <c r="W20" s="2234" t="inlineStr">
        <is>
          <t xml:space="preserve">accepte difficilement ou rejette les exigences qu’impose la coparentalité (logistique horaires, transport, vacances, etc.). </t>
        </is>
      </c>
      <c r="X20" s="2235" t="n"/>
      <c r="Y20" s="2235" t="n"/>
      <c r="Z20" s="2369" t="n"/>
      <c r="AA20" s="2370" t="n"/>
      <c r="AB20" s="2559">
        <f>B20</f>
        <v/>
      </c>
      <c r="AC20" s="55">
        <f>IF(OR(D20="",E20=0),"",G20)</f>
        <v/>
      </c>
      <c r="AD20" s="55">
        <f>IF(OR(K20="",L20=0),"",N20)</f>
        <v/>
      </c>
    </row>
    <row r="21" ht="73" customHeight="1" s="2456" thickBot="1">
      <c r="A21" s="2517">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65" t="n"/>
      <c r="Q21" s="2495" t="n"/>
      <c r="R21" s="1895">
        <f>IF(A21="oui",G21+N21,"")</f>
        <v/>
      </c>
      <c r="S21" s="2403">
        <f>IF(A21="oui",IF(R21&gt;$Q$27,HLOOKUP(1,$V$14:$W$28,8),""),"")</f>
        <v/>
      </c>
      <c r="T21" s="2403" t="n"/>
      <c r="U21" s="2403" t="n"/>
      <c r="V21" s="2235" t="n"/>
      <c r="W21" s="2234" t="inlineStr">
        <is>
          <t xml:space="preserve">doit marcher sur des œufs en présence de l’autre parent ou doit faire des compromis à sens unique afin d’assurer une bonne entente de garde. </t>
        </is>
      </c>
      <c r="X21" s="2235" t="n"/>
      <c r="Y21" s="2235" t="n"/>
      <c r="AB21" s="2559">
        <f>B21</f>
        <v/>
      </c>
      <c r="AC21" s="55">
        <f>IF(OR(D21="",E21=0),"",G21)</f>
        <v/>
      </c>
      <c r="AD21" s="55">
        <f>IF(OR(K21="",L21=0),"",N21)</f>
        <v/>
      </c>
    </row>
    <row r="22" ht="50" customHeight="1" s="2456" thickBot="1">
      <c r="A22" s="2517">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495" t="n"/>
      <c r="R22" s="1895">
        <f>IF(A22="oui",G22+N22,"")</f>
        <v/>
      </c>
      <c r="S22" s="2403">
        <f>IF(A22="oui",IF(R22&gt;$Q$27,HLOOKUP(1,$V$14:$W$28,9),""),"")</f>
        <v/>
      </c>
      <c r="T22" s="2403" t="n"/>
      <c r="U22" s="2403" t="n"/>
      <c r="V22" s="2236" t="n"/>
      <c r="W22" s="2234" t="inlineStr">
        <is>
          <t xml:space="preserve">ne reconnaît pas ou ne respecte pas la valeur parentale et l’autorité parentale du coparent. </t>
        </is>
      </c>
      <c r="X22" s="2235" t="n"/>
      <c r="Y22" s="2235" t="n"/>
      <c r="AB22" s="2559">
        <f>B22</f>
        <v/>
      </c>
      <c r="AC22" s="55">
        <f>IF(OR(D22="",E22=0),"",G22)</f>
        <v/>
      </c>
      <c r="AD22" s="55">
        <f>IF(OR(K22="",L22=0),"",N22)</f>
        <v/>
      </c>
    </row>
    <row r="23" ht="52" customHeight="1" s="2456" thickBot="1">
      <c r="A23" s="2517">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495" t="n"/>
      <c r="R23" s="1895">
        <f>IF(A23="oui",G23+N23,"")</f>
        <v/>
      </c>
      <c r="S23" s="2403">
        <f>IF(A23="oui",IF(R23&gt;$Q$27,HLOOKUP(1,$V$14:$W$28,10),""),"")</f>
        <v/>
      </c>
      <c r="T23" s="2403" t="n"/>
      <c r="U23" s="2403" t="n"/>
      <c r="V23" s="2237" t="n"/>
      <c r="W23" s="2234" t="inlineStr">
        <is>
          <t>ignore l’autre parent lorsqu’il ou elle le croise durant les changements de garde ou lors d’événements culturels ou sportifs de l’enfant.</t>
        </is>
      </c>
      <c r="X23" s="2235" t="n"/>
      <c r="Y23" s="2235" t="n"/>
      <c r="AB23" s="2559">
        <f>B23</f>
        <v/>
      </c>
      <c r="AC23" s="55">
        <f>IF(OR(D23="",E23=0),"",G23)</f>
        <v/>
      </c>
      <c r="AD23" s="55">
        <f>IF(OR(K23="",L23=0),"",N23)</f>
        <v/>
      </c>
    </row>
    <row r="24" ht="65" customHeight="1" s="2456" thickBot="1">
      <c r="A24" s="2517">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65" t="n"/>
      <c r="Q24" s="2495" t="n"/>
      <c r="R24" s="1895">
        <f>IF(A24="oui",G24+N24,"")</f>
        <v/>
      </c>
      <c r="S24" s="2403">
        <f>IF(A24="oui",IF(R24&gt;$Q$27,HLOOKUP(1,$V$14:$W$28,11),""),"")</f>
        <v/>
      </c>
      <c r="T24" s="2403" t="n"/>
      <c r="U24" s="2403" t="n"/>
      <c r="V24" s="2236" t="n"/>
      <c r="W24" s="2234" t="inlineStr">
        <is>
          <t xml:space="preserve">prend des décisions concernant l’enfant sans consulter l’autre parent. </t>
        </is>
      </c>
      <c r="X24" s="2235" t="n"/>
      <c r="Y24" s="2235" t="n"/>
      <c r="AB24" s="2559">
        <f>B24</f>
        <v/>
      </c>
      <c r="AC24" s="55">
        <f>IF(OR(D24="",E24=0),"",G24)</f>
        <v/>
      </c>
      <c r="AD24" s="55">
        <f>IF(OR(K24="",L24=0),"",N24)</f>
        <v/>
      </c>
    </row>
    <row r="25" ht="55" customHeight="1" s="2456" thickBot="1">
      <c r="A25" s="2517">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495" t="n"/>
      <c r="R25" s="1895">
        <f>IF(A25="oui",G25+N25,"")</f>
        <v/>
      </c>
      <c r="S25" s="2403">
        <f>IF(A25="oui",IF(R25&gt;$Q$27,HLOOKUP(1,$V$14:$W$28,12),""),"")</f>
        <v/>
      </c>
      <c r="T25" s="2403" t="n"/>
      <c r="U25" s="2403" t="n"/>
      <c r="V25" s="2237" t="n"/>
      <c r="W25" s="2234" t="inlineStr">
        <is>
          <t>s’ingère dans la routine ou les méthodes parentales du coparent.</t>
        </is>
      </c>
      <c r="X25" s="2235" t="n"/>
      <c r="Y25" s="2235" t="n"/>
      <c r="AB25" s="2559">
        <f>B25</f>
        <v/>
      </c>
      <c r="AC25" s="55">
        <f>IF(OR(D25="",E25=0),"",G25)</f>
        <v/>
      </c>
      <c r="AD25" s="55">
        <f>IF(OR(K25="",L25=0),"",N25)</f>
        <v/>
      </c>
    </row>
    <row r="26" ht="65" customHeight="1" s="2456" thickBot="1">
      <c r="A26" s="2517">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496" t="n"/>
      <c r="R26" s="1895">
        <f>IF(A26="oui",G26+N26,"")</f>
        <v/>
      </c>
      <c r="S26" s="2403">
        <f>IF(A26="oui",IF(R26&gt;$Q$27,HLOOKUP(1,$V$14:$W$28,13),""),"")</f>
        <v/>
      </c>
      <c r="T26" s="2403" t="n"/>
      <c r="U26" s="2403" t="n"/>
      <c r="V26" s="2237" t="n"/>
      <c r="W26" s="2234" t="inlineStr">
        <is>
          <t xml:space="preserve">fait des reproches à l'autre parent ou le dénigre en présence de l’enfant. </t>
        </is>
      </c>
      <c r="X26" s="2235" t="n"/>
      <c r="Y26" s="2235" t="n"/>
      <c r="AB26" s="2559">
        <f>B26</f>
        <v/>
      </c>
      <c r="AC26" s="55">
        <f>IF(OR(D26="",E26=0),"",G26)</f>
        <v/>
      </c>
      <c r="AD26" s="55">
        <f>IF(OR(K26="",L26=0),"",N26)</f>
        <v/>
      </c>
    </row>
    <row r="27" ht="95" customHeight="1" s="2456">
      <c r="B27" s="2580" t="n"/>
      <c r="D27" s="291" t="n"/>
      <c r="E27" s="2" t="inlineStr">
        <is>
          <t>Max Fréquence</t>
        </is>
      </c>
      <c r="F27" s="90">
        <f>(MAX(F19:F26))</f>
        <v/>
      </c>
      <c r="G27" s="6" t="n"/>
      <c r="H27" s="751" t="n"/>
      <c r="K27" s="2521" t="n"/>
      <c r="L27" s="2" t="inlineStr">
        <is>
          <t>Max Fréquence</t>
        </is>
      </c>
      <c r="M27" s="90">
        <f>(MAX(M19:M26))</f>
        <v/>
      </c>
      <c r="N27" s="6" t="n"/>
      <c r="O27" s="751" t="inlineStr">
        <is>
          <t>Moyenne</t>
        </is>
      </c>
      <c r="P27" s="6" t="n"/>
      <c r="Q27" s="90">
        <f>AVERAGE(R19:R26)</f>
        <v/>
      </c>
      <c r="S27" s="2403">
        <f>IF(HLOOKUP(1,$V$14:$W$28,14)="","",HLOOKUP(1,$V$14:$W$28,14))</f>
        <v/>
      </c>
      <c r="T27" s="576">
        <f>IF(OR(F27&gt;=4,M27&gt;=4),X27,"")</f>
        <v/>
      </c>
      <c r="U27" s="2404">
        <f>IF(OR(F27&gt;=4,M27&gt;=4),Y27,"")</f>
        <v/>
      </c>
      <c r="V27" s="2237" t="n"/>
      <c r="W27" s="2237" t="n"/>
      <c r="X27" s="2318" t="n"/>
      <c r="Y27" s="2318" t="n"/>
      <c r="Z27" s="2580" t="n"/>
      <c r="AB27" s="2559" t="n"/>
      <c r="AC27" s="55" t="n"/>
    </row>
    <row r="28" ht="95" customHeight="1" s="2456">
      <c r="B28" s="2580" t="n"/>
      <c r="D28" s="291" t="n"/>
      <c r="E28" s="2457" t="n"/>
      <c r="G28" s="6" t="n"/>
      <c r="H28" s="751" t="n"/>
      <c r="K28" s="2521" t="n"/>
      <c r="L28" s="2457" t="n"/>
      <c r="N28" s="6" t="n"/>
      <c r="O28" s="751" t="n"/>
      <c r="P28" s="6" t="n"/>
      <c r="S28" s="2469" t="n"/>
      <c r="T28" s="2469" t="n"/>
      <c r="U28" s="2469" t="n"/>
      <c r="V28" s="2168" t="n"/>
      <c r="W28" s="2386"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13" t="n"/>
      <c r="Y28" s="2313" t="n"/>
      <c r="Z28" s="2580" t="n"/>
      <c r="AC28" s="55" t="n"/>
    </row>
    <row r="29" ht="95" customHeight="1" s="2456">
      <c r="B29" s="2580" t="n"/>
      <c r="D29" s="291" t="n"/>
      <c r="E29" s="2457" t="n"/>
      <c r="G29" s="6" t="n"/>
      <c r="H29" s="751" t="n"/>
      <c r="K29" s="2521" t="n"/>
      <c r="L29" s="2457" t="n"/>
      <c r="N29" s="6" t="n"/>
      <c r="O29" s="751" t="n"/>
      <c r="P29" s="6" t="n"/>
      <c r="R29" s="2469" t="n"/>
      <c r="S29" s="2469" t="n"/>
      <c r="T29" s="2469" t="n"/>
      <c r="U29" s="2469" t="n"/>
      <c r="V29" s="2319" t="n"/>
      <c r="W29" s="2320" t="n"/>
      <c r="X29" s="2097" t="n"/>
      <c r="Y29" s="2097" t="n"/>
      <c r="Z29" s="2580" t="n"/>
      <c r="AC29" s="55" t="n"/>
    </row>
    <row r="30" ht="34" customHeight="1" s="2456">
      <c r="B30" s="2580" t="n"/>
      <c r="D30" s="291" t="n"/>
      <c r="E30" s="2457" t="n"/>
      <c r="G30" s="6" t="n"/>
      <c r="H30" s="751" t="n"/>
      <c r="K30" s="2521" t="n"/>
      <c r="L30" s="2457" t="n"/>
      <c r="N30" s="6" t="n"/>
      <c r="O30" s="751" t="n"/>
      <c r="P30" s="6" t="n"/>
      <c r="R30" s="2469" t="n"/>
      <c r="S30" s="2469" t="n"/>
      <c r="T30" s="2469" t="n"/>
      <c r="U30" s="2469" t="n"/>
      <c r="V30" s="2372">
        <f>IF(AND(F38&lt;4,M38&lt;4),1,0)</f>
        <v/>
      </c>
      <c r="W30" s="2373">
        <f>IF(OR(F38&gt;=4,M38&gt;=4),1,0)</f>
        <v/>
      </c>
      <c r="X30" s="2520" t="inlineStr">
        <is>
          <t>Drapeaux jaunes (à surveiller)</t>
        </is>
      </c>
      <c r="Y30" s="2520" t="inlineStr">
        <is>
          <t>Drapeaux rouges (par thème et par comportements)</t>
        </is>
      </c>
      <c r="Z30" s="2580" t="n"/>
      <c r="AC30" s="55" t="n"/>
    </row>
    <row r="31" ht="95" customHeight="1" s="2456" thickBot="1">
      <c r="B31" s="603" t="inlineStr">
        <is>
          <t>Thème</t>
        </is>
      </c>
      <c r="D31" s="291" t="n"/>
      <c r="E31" s="2457" t="n"/>
      <c r="G31" s="6" t="n"/>
      <c r="H31" s="751" t="n"/>
      <c r="K31" s="2521" t="n"/>
      <c r="L31" s="2457" t="n"/>
      <c r="N31" s="6" t="n"/>
      <c r="O31" s="751" t="n"/>
      <c r="P31" s="6" t="n"/>
      <c r="S31" s="2465" t="n"/>
      <c r="T31" s="2465" t="n"/>
      <c r="U31" s="2465" t="inlineStr">
        <is>
          <t>Introduction =&gt;</t>
        </is>
      </c>
      <c r="V31" s="2550" t="inlineStr">
        <is>
          <t xml:space="preserve">Les réponses obtenues aux différents questionnaires indiquent que votre enfant évolue dans une dynamique de coparentalité saine et favorable à son développement. </t>
        </is>
      </c>
      <c r="W31" s="2091"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80" t="n"/>
      <c r="AC31" t="inlineStr">
        <is>
          <t>PFA</t>
        </is>
      </c>
      <c r="AD31" t="inlineStr">
        <is>
          <t>PCR</t>
        </is>
      </c>
    </row>
    <row r="32" ht="61" customHeight="1" s="2456" thickBot="1">
      <c r="A32" s="2517">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38" t="inlineStr">
        <is>
          <t>La liberté d'aimer les deux parents, sécuriser et ne pas être impliqué dans la logistique et conflits</t>
        </is>
      </c>
      <c r="R32" s="1895">
        <f>IF(A32="oui",G32+N32,"")</f>
        <v/>
      </c>
      <c r="S32" s="2403">
        <f>IF(A32="oui",IF(R32&gt;$Q$38,HLOOKUP(1,$V$30:$W$39,3),""),"")</f>
        <v/>
      </c>
      <c r="T32" s="2403">
        <f>IF(A32="oui",IF(R32&gt;$Q$38,X32,""))</f>
        <v/>
      </c>
      <c r="U32" s="2403">
        <f>IF(A32="oui",IF(R32&gt;$Q$38,Y32,""))</f>
        <v/>
      </c>
      <c r="V32" s="2237" t="n"/>
      <c r="W32" s="2234" t="inlineStr">
        <is>
          <t xml:space="preserve">n’est pas libre d’apporter avec lui ou elle ses vêtements, ses jouets ou autres effets personnels d’une maison à l’autre. </t>
        </is>
      </c>
      <c r="X32" s="2235" t="n"/>
      <c r="Y32" s="2235" t="n"/>
      <c r="AB32" s="2559">
        <f>B32</f>
        <v/>
      </c>
      <c r="AC32" s="55">
        <f>IF(OR(D32="",E32=0),"",G32)</f>
        <v/>
      </c>
      <c r="AD32" s="55">
        <f>IF(OR(K32="",L32=0),"",N32)</f>
        <v/>
      </c>
    </row>
    <row r="33" ht="81" customHeight="1" s="2456" thickBot="1">
      <c r="A33" s="2517">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495" t="n"/>
      <c r="R33" s="1895">
        <f>IF(A33="oui",G33+N33,"")</f>
        <v/>
      </c>
      <c r="S33" s="2403">
        <f>IF(A33="oui",IF(R33&gt;$Q$38,HLOOKUP(1,$V$30:$W$39,4),""),"")</f>
        <v/>
      </c>
      <c r="T33" s="2403">
        <f>IF(A33="oui",IF(R33&gt;$Q$38,X33,""),"")</f>
        <v/>
      </c>
      <c r="U33" s="2403">
        <f>IF(A33="oui",IF(R33&gt;$Q$38,Y33,""),"")</f>
        <v/>
      </c>
      <c r="V33" s="2237" t="n"/>
      <c r="W33" s="2234" t="inlineStr">
        <is>
          <t xml:space="preserve">est appelé à tenir le rôle de messager entre ses parents, devenant indirectement responsable des conflits parentaux ou des horaires, activités et rendez-vous qui le concernent. </t>
        </is>
      </c>
      <c r="X33" s="2235" t="n"/>
      <c r="Y33" s="2235" t="n"/>
      <c r="AB33" s="2559">
        <f>B33</f>
        <v/>
      </c>
      <c r="AC33" s="55">
        <f>IF(OR(D33="",E33=0),"",G33)</f>
        <v/>
      </c>
      <c r="AD33" s="55">
        <f>IF(OR(K33="",L33=0),"",N33)</f>
        <v/>
      </c>
    </row>
    <row r="34" ht="81" customHeight="1" s="2456" thickBot="1">
      <c r="A34" s="2517">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495" t="n"/>
      <c r="R34" s="1895">
        <f>IF(A34="oui",G34+N34,"")</f>
        <v/>
      </c>
      <c r="S34" s="2403">
        <f>IF(A34="oui",IF(R34&gt;$Q$38,HLOOKUP(1,$V$30:$W$39,5),""),"")</f>
        <v/>
      </c>
      <c r="T34" s="2403">
        <f>IF(A34="oui",IF(R34&gt;$Q$38,X34,""),"")</f>
        <v/>
      </c>
      <c r="U34" s="2403">
        <f>IF(A34="oui",IF(R34&gt;$Q$38,Y34,""),"")</f>
        <v/>
      </c>
      <c r="V34" s="2237" t="n"/>
      <c r="W34" s="2234" t="inlineStr">
        <is>
          <t xml:space="preserve">est au courant des échanges texto et/ou courriels entre vous et votre coparent devenant indirectement responsable des enjeux qui vous opposent à l’autre parent. </t>
        </is>
      </c>
      <c r="X34" s="2235" t="n"/>
      <c r="Y34" s="2235" t="n"/>
      <c r="AB34" s="2559">
        <f>B34</f>
        <v/>
      </c>
      <c r="AC34" s="55">
        <f>IF(OR(D34="",E34=0),"",G34)</f>
        <v/>
      </c>
      <c r="AD34" s="55">
        <f>IF(OR(K34="",L34=0),"",N34)</f>
        <v/>
      </c>
    </row>
    <row r="35" ht="53" customHeight="1" s="2456" thickBot="1">
      <c r="A35" s="2517">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495" t="n"/>
      <c r="R35" s="1895">
        <f>IF(A35="oui",G35+N35,"")</f>
        <v/>
      </c>
      <c r="S35" s="2403">
        <f>IF(A35="oui",IF(R35&gt;$Q$38,HLOOKUP(1,$V$30:$W$39,6),""),"")</f>
        <v/>
      </c>
      <c r="T35" s="2403">
        <f>IF(A35="oui",IF(R35&gt;$Q$38,X35,""),"")</f>
        <v/>
      </c>
      <c r="U35" s="2403">
        <f>IF(A35="oui",IF(R35&gt;$Q$38,Y35,""),"")</f>
        <v/>
      </c>
      <c r="V35" s="2237" t="n"/>
      <c r="W35" s="2234" t="inlineStr">
        <is>
          <t xml:space="preserve">est questionné à son retour de garde au sujet de la routine et/ou des activités faites chez l’autre parent. </t>
        </is>
      </c>
      <c r="X35" s="2235" t="n"/>
      <c r="Y35" s="2235" t="n"/>
      <c r="AB35" s="2559">
        <f>B35</f>
        <v/>
      </c>
      <c r="AC35" s="55">
        <f>IF(OR(D35="",E35=0),"",G35)</f>
        <v/>
      </c>
      <c r="AD35" s="55">
        <f>IF(OR(K35="",L35=0),"",N35)</f>
        <v/>
      </c>
    </row>
    <row r="36" ht="61" customHeight="1" s="2456" thickBot="1">
      <c r="A36" s="2517">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65" t="n"/>
      <c r="Q36" s="2495" t="n"/>
      <c r="R36" s="1895">
        <f>IF(A36="oui",G36+N36,"")</f>
        <v/>
      </c>
      <c r="S36" s="2403">
        <f>IF(A36="oui",IF(R36&gt;$Q$38,HLOOKUP(1,$V$30:$W$39,7),""),"")</f>
        <v/>
      </c>
      <c r="T36" s="2403">
        <f>IF(A36="oui",IF(R36&gt;$Q$38,X36,""),"")</f>
        <v/>
      </c>
      <c r="U36" s="2403">
        <f>IF(A36="oui",IF(R36&gt;$Q$38,Y36,""),"")</f>
        <v/>
      </c>
      <c r="V36" s="2236" t="n"/>
      <c r="W36" s="2234" t="inlineStr">
        <is>
          <t xml:space="preserve">a la responsabilité direct ou indirecte de choisir la fréquence des visites et le temps qu’il passe avec l’un ou l’autre de ses parents.  </t>
        </is>
      </c>
      <c r="X36" s="2235" t="n"/>
      <c r="Y36" s="2235" t="n"/>
      <c r="AB36" s="2559">
        <f>B36</f>
        <v/>
      </c>
      <c r="AC36" s="55">
        <f>IF(OR(D36="",E36=0),"",G36)</f>
        <v/>
      </c>
      <c r="AD36" s="55">
        <f>IF(OR(K36="",L36=0),"",N36)</f>
        <v/>
      </c>
    </row>
    <row r="37" ht="54" customHeight="1" s="2456" thickBot="1">
      <c r="A37" s="2517">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65" t="n"/>
      <c r="Q37" s="2496" t="n"/>
      <c r="R37" s="1895">
        <f>IF(A37="oui",G37+N37,"")</f>
        <v/>
      </c>
      <c r="S37" s="2403">
        <f>IF(A37="oui",IF(R37&gt;$Q$38,HLOOKUP(1,$V$30:$W$39,8),""),"")</f>
        <v/>
      </c>
      <c r="T37" s="2403">
        <f>IF(A37="oui",IF(R37&gt;$Q$38,X37,""),"")</f>
        <v/>
      </c>
      <c r="U37" s="2403">
        <f>IF(A37="oui",IF(R37&gt;$Q$38,Y37,""),"")</f>
        <v/>
      </c>
      <c r="V37" s="2236" t="n"/>
      <c r="W37" s="2234" t="inlineStr">
        <is>
          <t xml:space="preserve">a la responsabilité direct ou indirecte de choisir avec quel parent et où il souhaite vivre.  </t>
        </is>
      </c>
      <c r="X37" s="2235" t="n"/>
      <c r="Y37" s="2235" t="n"/>
      <c r="AB37" s="2559">
        <f>B37</f>
        <v/>
      </c>
      <c r="AC37" s="55">
        <f>IF(OR(D37="",E37=0),"",G37)</f>
        <v/>
      </c>
      <c r="AD37" s="55">
        <f>IF(OR(K37="",L37=0),"",N37)</f>
        <v/>
      </c>
    </row>
    <row r="38" ht="150" customHeight="1" s="2456">
      <c r="A38" s="2457" t="n"/>
      <c r="B38" s="2580" t="n"/>
      <c r="C38" s="2520" t="n"/>
      <c r="D38" s="2578"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8" t="inlineStr">
        <is>
          <t>Conseils généraux (Autres) : attention : conditon d'ouverture ici ? Si + de 3 cpts ?</t>
        </is>
      </c>
      <c r="S38" s="2403">
        <f>IF(HLOOKUP(1,$V$30:$W$39,9)="","",HLOOKUP(1,$V$30:$W$39,9))</f>
        <v/>
      </c>
      <c r="T38" s="576">
        <f>IF(OR(F38&gt;=4,M38&gt;=4),X38,"")</f>
        <v/>
      </c>
      <c r="U38" s="2404">
        <f>IF(OR(F38&gt;=4,M38&gt;=4),Y38,"")</f>
        <v/>
      </c>
      <c r="V38" s="2317" t="n"/>
      <c r="W38" s="2387" t="n"/>
      <c r="X38" s="239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56">
      <c r="A39" s="2457" t="n"/>
      <c r="B39" s="2580" t="n"/>
      <c r="C39" s="2520" t="n"/>
      <c r="D39" s="2578" t="n"/>
      <c r="E39" s="2520" t="n"/>
      <c r="F39" s="67" t="n"/>
      <c r="G39" s="67" t="n"/>
      <c r="H39" s="1872" t="n"/>
      <c r="J39" s="604" t="n"/>
      <c r="K39" s="2023" t="n"/>
      <c r="L39" s="604" t="n"/>
      <c r="M39" s="2024" t="n"/>
      <c r="N39" s="67" t="n"/>
      <c r="O39" s="1517" t="n"/>
      <c r="S39" s="2469" t="n"/>
      <c r="T39" s="2469" t="n"/>
      <c r="U39" s="2469" t="inlineStr">
        <is>
          <t>Références</t>
        </is>
      </c>
      <c r="V39" s="2168" t="n"/>
      <c r="W39" s="2385"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13" t="n"/>
      <c r="Y39" s="2313" t="n"/>
      <c r="AA39" s="57" t="n"/>
    </row>
    <row r="40" ht="76" customHeight="1" s="2456">
      <c r="B40" s="2580" t="n"/>
      <c r="C40" s="2520" t="n"/>
      <c r="D40" s="2578" t="n"/>
      <c r="E40" s="2520"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56">
      <c r="B41" s="2580" t="n"/>
      <c r="C41" s="2520" t="n"/>
      <c r="D41" s="2578" t="n"/>
      <c r="E41" s="2520"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56">
      <c r="B42" s="2580" t="n"/>
      <c r="C42" s="2520" t="n"/>
      <c r="D42" s="2578" t="n"/>
      <c r="E42" s="2520"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56">
      <c r="B43" s="2580" t="n"/>
      <c r="C43" s="2520" t="n"/>
      <c r="D43" s="2578" t="n"/>
      <c r="E43" s="2520"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56">
      <c r="B44" s="2580" t="n"/>
      <c r="C44" s="2520" t="n"/>
      <c r="D44" s="2578" t="n"/>
      <c r="E44" s="2520"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56">
      <c r="B45" s="2580" t="n"/>
      <c r="C45" s="2520" t="n"/>
      <c r="D45" s="2578" t="n"/>
      <c r="E45" s="2520"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56">
      <c r="B46" s="2580" t="n"/>
      <c r="C46" s="2520" t="n"/>
      <c r="D46" s="2578" t="n"/>
      <c r="E46" s="2520"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56">
      <c r="B47" s="2580" t="n"/>
      <c r="C47" s="2520" t="n"/>
      <c r="D47" s="2578" t="n"/>
      <c r="E47" s="2520"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56">
      <c r="B48" s="2580" t="n"/>
      <c r="C48" s="2520" t="n"/>
      <c r="D48" s="2578" t="n"/>
      <c r="E48" s="2520"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56">
      <c r="B49" s="2580" t="n"/>
      <c r="C49" s="2520" t="n"/>
      <c r="D49" s="2578" t="n"/>
      <c r="E49" s="2520"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56">
      <c r="B50" s="2580" t="n"/>
      <c r="C50" s="2520" t="n"/>
      <c r="D50" s="2578" t="n"/>
      <c r="E50" s="2520"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56">
      <c r="B51" s="2580" t="n"/>
      <c r="C51" s="2520" t="n"/>
      <c r="D51" s="2578" t="n"/>
      <c r="E51" s="2520"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56">
      <c r="B52" s="2580" t="n"/>
      <c r="C52" s="2520" t="n"/>
      <c r="D52" s="2578" t="n"/>
      <c r="E52" s="2520"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56">
      <c r="B53" s="2580" t="n"/>
      <c r="C53" s="2520" t="n"/>
      <c r="D53" s="2578" t="n"/>
      <c r="E53" s="2520"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56">
      <c r="B54" s="2580" t="n"/>
      <c r="C54" s="2520" t="n"/>
      <c r="D54" s="2578" t="n"/>
      <c r="E54" s="2520"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56">
      <c r="B55" s="2580" t="n"/>
      <c r="C55" s="2520" t="n"/>
      <c r="D55" s="2578" t="n"/>
      <c r="E55" s="2520"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56">
      <c r="B56" s="2580" t="n"/>
      <c r="C56" s="2520" t="n"/>
      <c r="D56" s="2578" t="n"/>
      <c r="E56" s="2520"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56">
      <c r="B57" s="2580" t="n"/>
      <c r="C57" s="2520" t="n"/>
      <c r="D57" s="2578" t="n"/>
      <c r="E57" s="2520"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56">
      <c r="B58" s="2580" t="n"/>
      <c r="C58" s="2520" t="n"/>
      <c r="D58" s="2578" t="n"/>
      <c r="E58" s="2520"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56">
      <c r="B59" s="2580" t="n"/>
      <c r="C59" s="2520" t="n"/>
      <c r="D59" s="2578" t="n"/>
      <c r="E59" s="2520"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56">
      <c r="B60" s="2580" t="n"/>
      <c r="C60" s="2520" t="n"/>
      <c r="D60" s="2578" t="n"/>
      <c r="E60" s="2520"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56">
      <c r="B61" s="2580" t="n"/>
      <c r="C61" s="2520" t="n"/>
      <c r="D61" s="2578" t="n"/>
      <c r="E61" s="2520"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56">
      <c r="B62" s="2580" t="n"/>
      <c r="C62" s="2520" t="n"/>
      <c r="D62" s="2578" t="n"/>
      <c r="E62" s="2520"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56">
      <c r="B63" s="2580" t="n"/>
      <c r="C63" s="2520" t="n"/>
      <c r="D63" s="2578" t="n"/>
      <c r="E63" s="2520"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56">
      <c r="B64" s="2580" t="n"/>
      <c r="C64" s="2520" t="n"/>
      <c r="D64" s="2578" t="n"/>
      <c r="E64" s="2520"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56">
      <c r="B65" s="2580" t="n"/>
      <c r="C65" s="2520" t="n"/>
      <c r="D65" s="2578" t="n"/>
      <c r="E65" s="2520"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56">
      <c r="B66" s="2580" t="n"/>
      <c r="C66" s="2520" t="n"/>
      <c r="D66" s="2578" t="n"/>
      <c r="E66" s="2520"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56">
      <c r="B67" s="2580" t="n"/>
      <c r="C67" s="2520" t="n"/>
      <c r="D67" s="2578" t="n"/>
      <c r="E67" s="2520"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56">
      <c r="B68" s="2580" t="n"/>
      <c r="C68" s="2520" t="n"/>
      <c r="D68" s="2578" t="n"/>
      <c r="E68" s="2520"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56">
      <c r="B69" s="2580" t="n"/>
      <c r="C69" s="2520" t="n"/>
      <c r="D69" s="2578" t="n"/>
      <c r="E69" s="2520"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56">
      <c r="B70" s="2580" t="n"/>
      <c r="C70" s="2520" t="n"/>
      <c r="D70" s="2578" t="n"/>
      <c r="E70" s="2520"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56">
      <c r="B71" s="2580" t="n"/>
      <c r="C71" s="2520" t="n"/>
      <c r="D71" s="2578" t="n"/>
      <c r="E71" s="2520"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56">
      <c r="B72" s="2580" t="n"/>
      <c r="C72" s="2520" t="n"/>
      <c r="D72" s="2578" t="n"/>
      <c r="E72" s="2520"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56">
      <c r="B73" s="2580" t="n"/>
      <c r="C73" s="2520" t="n"/>
      <c r="D73" s="2578" t="n"/>
      <c r="E73" s="2520"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56">
      <c r="B74" s="2580" t="n"/>
      <c r="C74" s="2520" t="n"/>
      <c r="D74" s="2578" t="n"/>
      <c r="E74" s="2520"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56">
      <c r="B75" s="2580" t="n"/>
      <c r="C75" s="2520" t="n"/>
      <c r="D75" s="2578" t="n"/>
      <c r="E75" s="2520"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56">
      <c r="B76" s="2580" t="n"/>
      <c r="C76" s="2520" t="n"/>
      <c r="D76" s="2578" t="n"/>
      <c r="E76" s="2520"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56">
      <c r="B77" s="2580" t="n"/>
      <c r="C77" s="2520" t="n"/>
      <c r="D77" s="2578" t="n"/>
      <c r="E77" s="2520"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56">
      <c r="B78" s="2580" t="n"/>
      <c r="C78" s="2520" t="n"/>
      <c r="D78" s="2578" t="n"/>
      <c r="E78" s="2520"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56">
      <c r="B79" s="2580" t="n"/>
      <c r="C79" s="2520" t="n"/>
      <c r="D79" s="2578" t="n"/>
      <c r="E79" s="2520"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56">
      <c r="B80" s="2580" t="n"/>
      <c r="C80" s="2520" t="n"/>
      <c r="D80" s="2578" t="n"/>
      <c r="E80" s="2520"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56">
      <c r="B81" s="2580" t="n"/>
      <c r="C81" s="2520" t="n"/>
      <c r="D81" s="2578" t="n"/>
      <c r="E81" s="2520"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56">
      <c r="B82" s="2580" t="n"/>
      <c r="C82" s="2520" t="n"/>
      <c r="D82" s="2578" t="n"/>
      <c r="E82" s="2520"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56">
      <c r="B83" s="2580" t="n"/>
      <c r="C83" s="2520" t="n"/>
      <c r="D83" s="2578" t="n"/>
      <c r="E83" s="2520"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56">
      <c r="B84" s="2580" t="n"/>
      <c r="C84" s="2520" t="n"/>
      <c r="D84" s="2578" t="n"/>
      <c r="E84" s="2520"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56">
      <c r="B85" s="2580" t="n"/>
      <c r="C85" s="2520" t="n"/>
      <c r="D85" s="2578" t="n"/>
      <c r="E85" s="2520"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56">
      <c r="B86" s="2580" t="n"/>
      <c r="C86" s="2520" t="n"/>
      <c r="D86" s="2578" t="n"/>
      <c r="E86" s="2520"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56">
      <c r="B87" s="2580" t="n"/>
      <c r="C87" s="2520" t="n"/>
      <c r="D87" s="2578" t="n"/>
      <c r="E87" s="2520"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56">
      <c r="B88" s="2580" t="n"/>
      <c r="C88" s="2520" t="n"/>
      <c r="D88" s="2578" t="n"/>
      <c r="E88" s="2520"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56">
      <c r="B89" s="2580" t="n"/>
      <c r="C89" s="2520" t="n"/>
      <c r="D89" s="2578" t="n"/>
      <c r="E89" s="2520"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56">
      <c r="B90" s="2580" t="n"/>
      <c r="C90" s="2520" t="n"/>
      <c r="D90" s="2578" t="n"/>
      <c r="E90" s="2520"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56">
      <c r="B91" s="2580" t="n"/>
      <c r="C91" s="2520" t="n"/>
      <c r="D91" s="2578" t="n"/>
      <c r="E91" s="2520"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56">
      <c r="B92" s="2580" t="n"/>
      <c r="C92" s="2520" t="n"/>
      <c r="D92" s="2578" t="n"/>
      <c r="E92" s="2520"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56">
      <c r="B93" s="2580" t="n"/>
      <c r="C93" s="2520" t="n"/>
      <c r="D93" s="2578" t="n"/>
      <c r="E93" s="2520"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56">
      <c r="B94" s="2580" t="n"/>
      <c r="C94" s="2520" t="n"/>
      <c r="D94" s="2578" t="n"/>
      <c r="E94" s="2520"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56">
      <c r="B95" s="2580" t="n"/>
      <c r="C95" s="2520" t="n"/>
      <c r="D95" s="2578" t="n"/>
      <c r="E95" s="2520"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56">
      <c r="B96" s="2580" t="n"/>
      <c r="C96" s="2520" t="n"/>
      <c r="D96" s="2578" t="n"/>
      <c r="E96" s="2520"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56">
      <c r="B97" s="2580" t="n"/>
      <c r="C97" s="2520" t="n"/>
      <c r="D97" s="2578" t="n"/>
      <c r="E97" s="2520"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56">
      <c r="B98" s="2580" t="n"/>
      <c r="C98" s="2520" t="n"/>
      <c r="D98" s="2578" t="n"/>
      <c r="E98" s="2520"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56">
      <c r="B99" s="2580" t="n"/>
      <c r="C99" s="2520" t="n"/>
      <c r="D99" s="2578" t="n"/>
      <c r="E99" s="2520"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56">
      <c r="B100" s="2580" t="n"/>
      <c r="C100" s="2520" t="n"/>
      <c r="D100" s="2578" t="n"/>
      <c r="E100" s="2520"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56">
      <c r="B101" s="2580" t="n"/>
      <c r="C101" s="2520" t="n"/>
      <c r="D101" s="2578" t="n"/>
      <c r="E101" s="2520"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56">
      <c r="B102" s="2580" t="n"/>
      <c r="C102" s="2520" t="n"/>
      <c r="D102" s="2578" t="n"/>
      <c r="E102" s="2520"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56">
      <c r="B103" s="2580" t="n"/>
      <c r="C103" s="2520" t="n"/>
      <c r="D103" s="2578" t="n"/>
      <c r="E103" s="2520"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56">
      <c r="B104" s="2580" t="n"/>
      <c r="C104" s="2520" t="n"/>
      <c r="D104" s="2578" t="n"/>
      <c r="E104" s="2520"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56">
      <c r="B105" s="2580" t="n"/>
      <c r="C105" s="2520" t="n"/>
      <c r="D105" s="2578" t="n"/>
      <c r="E105" s="2520"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56">
      <c r="B106" s="2580" t="n"/>
      <c r="C106" s="2520" t="n"/>
      <c r="D106" s="2578" t="n"/>
      <c r="E106" s="2520"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56">
      <c r="B107" s="2580" t="n"/>
      <c r="C107" s="2520" t="n"/>
      <c r="D107" s="2578" t="n"/>
      <c r="E107" s="2520"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56">
      <c r="B108" s="2580" t="n"/>
      <c r="C108" s="2520" t="n"/>
      <c r="D108" s="2578" t="n"/>
      <c r="E108" s="2520" t="n"/>
      <c r="F108" s="67" t="n"/>
      <c r="G108" s="67" t="n"/>
      <c r="H108" s="1872" t="n"/>
      <c r="J108" s="604" t="n"/>
      <c r="K108" s="2023" t="n"/>
      <c r="L108" s="604" t="n"/>
      <c r="M108" s="2024" t="n"/>
      <c r="N108" s="67" t="n"/>
      <c r="O108" s="1517" t="n"/>
      <c r="R108" s="2025" t="n"/>
      <c r="S108" s="2025" t="n"/>
      <c r="T108" s="2025" t="n"/>
      <c r="U108" s="2025" t="n"/>
    </row>
    <row r="109" ht="65" customHeight="1" s="2456">
      <c r="B109" s="2580" t="n"/>
      <c r="C109" s="2520" t="n"/>
      <c r="D109" s="2578" t="n"/>
      <c r="E109" s="2520"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56">
      <c r="B110" s="2580" t="n"/>
      <c r="C110" s="2520" t="n"/>
      <c r="D110" s="2578" t="n"/>
      <c r="E110" s="2520" t="n"/>
      <c r="F110" s="67" t="n"/>
      <c r="G110" s="67" t="n"/>
      <c r="H110" s="1872" t="n"/>
      <c r="J110" s="604" t="n"/>
      <c r="K110" s="2023" t="n"/>
      <c r="L110" s="604" t="n"/>
      <c r="M110" s="2024" t="n"/>
      <c r="N110" s="67" t="n"/>
      <c r="O110" s="1517" t="n"/>
      <c r="R110" s="2025" t="n"/>
      <c r="S110" s="2025" t="n"/>
      <c r="T110" s="2025" t="n"/>
      <c r="U110" s="2025" t="n"/>
      <c r="V110" s="2554" t="inlineStr">
        <is>
          <t>Bloc contenu "conseils intégrés au constat" à compléter par Joanna</t>
        </is>
      </c>
      <c r="W110" s="2487" t="n"/>
      <c r="X110" s="2310" t="n"/>
      <c r="Y110" s="2310" t="n"/>
    </row>
    <row r="111" ht="29" customHeight="1" s="2456">
      <c r="B111" s="2578" t="n"/>
      <c r="C111" s="2520" t="n"/>
      <c r="D111" s="2578" t="n"/>
      <c r="E111" s="2520" t="n"/>
      <c r="F111" s="2520" t="n"/>
      <c r="G111" s="2520" t="n"/>
      <c r="H111" s="1517" t="n"/>
      <c r="J111" s="2465" t="n"/>
      <c r="K111" s="2578" t="n"/>
      <c r="L111" s="2465" t="n"/>
      <c r="M111" s="2465" t="n"/>
      <c r="N111" s="2465" t="n"/>
      <c r="O111" s="1872" t="n"/>
      <c r="V111" s="2088" t="n"/>
      <c r="W111" s="2558" t="n"/>
      <c r="X111" s="2557" t="n"/>
      <c r="Y111" s="2557" t="n"/>
    </row>
    <row r="112" ht="29" customHeight="1" s="2456">
      <c r="B112" s="2578" t="n"/>
      <c r="C112" s="2520" t="n"/>
      <c r="D112" s="2578" t="n"/>
      <c r="E112" s="2520" t="n"/>
      <c r="F112" s="2520" t="n"/>
      <c r="G112" s="2520" t="n"/>
      <c r="H112" s="1517" t="n"/>
      <c r="J112" s="2465" t="n"/>
      <c r="K112" s="2578" t="n"/>
      <c r="L112" s="2465" t="n"/>
      <c r="M112" s="2465" t="n"/>
      <c r="N112" s="246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56">
      <c r="C113" s="2520" t="n"/>
      <c r="D113" s="2578" t="n"/>
      <c r="E113" s="2520" t="n"/>
      <c r="F113" s="2520" t="n"/>
      <c r="G113" s="2520" t="n"/>
      <c r="H113" s="1517" t="n"/>
      <c r="J113" s="2465" t="n"/>
      <c r="K113" s="2578" t="n"/>
      <c r="L113" s="2465" t="n"/>
      <c r="M113" s="2465" t="n"/>
      <c r="N113" s="2465" t="n"/>
      <c r="O113" s="1872" t="n"/>
      <c r="V113" s="2090" t="n"/>
      <c r="W113" s="2099" t="n"/>
      <c r="X113" s="2312" t="n"/>
      <c r="Y113" s="2312" t="n"/>
      <c r="AC113" t="inlineStr">
        <is>
          <t>PFA</t>
        </is>
      </c>
      <c r="AD113" t="inlineStr">
        <is>
          <t>PCR</t>
        </is>
      </c>
    </row>
    <row r="114" ht="35" customHeight="1" s="2456">
      <c r="B114" s="2578" t="n"/>
      <c r="C114" s="2520" t="n"/>
      <c r="D114" s="2578" t="n"/>
      <c r="E114" s="2520" t="n"/>
      <c r="F114" s="2520" t="n"/>
      <c r="G114" s="2520" t="n"/>
      <c r="H114" s="1517" t="n"/>
      <c r="J114" s="2465" t="n"/>
      <c r="K114" s="2578" t="n"/>
      <c r="L114" s="2465" t="n"/>
      <c r="M114" s="2465" t="n"/>
      <c r="N114" s="2465" t="n"/>
      <c r="O114" s="1872" t="n"/>
      <c r="R114" s="2465" t="inlineStr">
        <is>
          <t>Ecart de fréquence (PFA-PCR)</t>
        </is>
      </c>
      <c r="S114" s="2465" t="n"/>
      <c r="T114" s="2465" t="n"/>
      <c r="U114" s="2465" t="n"/>
      <c r="V114" s="2550" t="inlineStr">
        <is>
          <t>Attitude des deux parents positive</t>
        </is>
      </c>
      <c r="W114" s="2091" t="inlineStr">
        <is>
          <t>Les deux parents ont certaines méthodes éducatives qui peuvent mener au CSS</t>
        </is>
      </c>
      <c r="X114" s="2520" t="n"/>
      <c r="Y114" s="2520" t="n"/>
      <c r="AB114">
        <f>B35</f>
        <v/>
      </c>
      <c r="AC114" s="55">
        <f>F35</f>
        <v/>
      </c>
      <c r="AD114" s="55">
        <f>M35</f>
        <v/>
      </c>
    </row>
    <row r="115" ht="55" customHeight="1" s="2456" thickBot="1">
      <c r="B115" s="1133" t="n"/>
      <c r="C115" s="609" t="n"/>
      <c r="D115" s="1133" t="n"/>
      <c r="E115" s="609" t="n"/>
      <c r="F115" s="609" t="n"/>
      <c r="G115" s="2520" t="inlineStr">
        <is>
          <t>Résultats (priorités)</t>
        </is>
      </c>
      <c r="H115" s="2021" t="n"/>
      <c r="I115" s="2462" t="n"/>
      <c r="J115" s="1180" t="n"/>
      <c r="K115" s="1133" t="n"/>
      <c r="L115" s="1180" t="n"/>
      <c r="M115" s="1180" t="n"/>
      <c r="N115" s="2520" t="inlineStr">
        <is>
          <t>Résultats (priorités)</t>
        </is>
      </c>
      <c r="O115" s="2022" t="n"/>
      <c r="V115" s="2550" t="n"/>
      <c r="W115" s="2091" t="n"/>
      <c r="X115" s="2520" t="n"/>
      <c r="Y115" s="2520" t="n"/>
      <c r="AB115">
        <f>B23</f>
        <v/>
      </c>
      <c r="AC115" s="55">
        <f>F23</f>
        <v/>
      </c>
      <c r="AD115" s="55">
        <f>M23</f>
        <v/>
      </c>
    </row>
    <row r="116" ht="13" customHeight="1" s="2456">
      <c r="B116" s="2580" t="n"/>
      <c r="C116" s="1251" t="n"/>
      <c r="D116" s="1656" t="n"/>
      <c r="E116" s="1888" t="n"/>
      <c r="F116" s="1888" t="n"/>
      <c r="G116" s="1888" t="n"/>
      <c r="H116" s="1870" t="n"/>
      <c r="I116" s="599" t="n"/>
      <c r="J116" s="1251" t="n"/>
      <c r="K116" s="1656" t="n"/>
      <c r="L116" s="1888" t="n"/>
      <c r="M116" s="1888" t="n"/>
      <c r="N116" s="1888" t="n"/>
      <c r="O116" s="1870" t="n"/>
      <c r="Q116" s="2231" t="n"/>
      <c r="R116" s="2465" t="n"/>
      <c r="S116" s="2465" t="n"/>
      <c r="T116" s="2465" t="n"/>
      <c r="U116" s="2465" t="n"/>
      <c r="V116" s="2483" t="n"/>
      <c r="W116" s="2505" t="n"/>
      <c r="AB116">
        <f>B26</f>
        <v/>
      </c>
      <c r="AC116" s="55">
        <f>F26</f>
        <v/>
      </c>
      <c r="AD116" s="55">
        <f>M26</f>
        <v/>
      </c>
    </row>
    <row r="117">
      <c r="B117" s="2580" t="n"/>
      <c r="D117" s="291" t="n"/>
      <c r="E117" s="2457" t="n"/>
      <c r="H117" s="751" t="n"/>
      <c r="K117" s="291" t="n"/>
      <c r="L117" s="2457" t="n"/>
      <c r="O117" s="751" t="n"/>
      <c r="Q117" s="2231" t="n"/>
      <c r="R117" s="2465" t="n"/>
      <c r="S117" s="2465" t="n"/>
      <c r="T117" s="2465" t="n"/>
      <c r="U117" s="2465" t="n"/>
      <c r="V117" s="2483" t="n"/>
      <c r="W117" s="2505" t="n"/>
      <c r="AB117">
        <f>B33</f>
        <v/>
      </c>
      <c r="AC117" s="55">
        <f>F33</f>
        <v/>
      </c>
      <c r="AD117" s="55">
        <f>M33</f>
        <v/>
      </c>
    </row>
    <row r="119" ht="35" customHeight="1" s="2456">
      <c r="Q119" s="1807" t="n"/>
      <c r="V119" s="2108" t="n"/>
      <c r="W119" s="2109" t="n"/>
      <c r="X119" s="1446" t="n"/>
      <c r="Y119" s="1446" t="n"/>
      <c r="AB119">
        <f>B32</f>
        <v/>
      </c>
      <c r="AC119" s="55">
        <f>F32</f>
        <v/>
      </c>
      <c r="AD119" s="55">
        <f>M32</f>
        <v/>
      </c>
    </row>
    <row r="120">
      <c r="B120" s="2580" t="n"/>
      <c r="C120" s="2520" t="n"/>
      <c r="D120" s="2578" t="n"/>
      <c r="E120" s="2520" t="n"/>
      <c r="F120" s="2520" t="n"/>
      <c r="G120" s="2520" t="n"/>
      <c r="H120" s="1517" t="n"/>
      <c r="K120" s="291" t="n"/>
      <c r="L120" s="2457" t="n"/>
      <c r="O120" s="751" t="n"/>
      <c r="Q120" s="2229" t="n"/>
      <c r="R120" s="2465" t="n"/>
      <c r="S120" s="2465" t="n"/>
      <c r="T120" s="2465" t="n"/>
      <c r="U120" s="2465" t="n"/>
      <c r="V120" s="2483" t="n"/>
      <c r="W120" s="2505" t="n"/>
      <c r="AC120" s="55" t="n"/>
      <c r="AD120" s="55" t="n"/>
    </row>
    <row r="121">
      <c r="B121" s="2580" t="n"/>
      <c r="C121" s="2520" t="n"/>
      <c r="D121" s="2578" t="n"/>
      <c r="E121" s="2520" t="n"/>
      <c r="F121" s="2520" t="n"/>
      <c r="G121" s="2520" t="n"/>
      <c r="H121" s="1517" t="n"/>
      <c r="J121" s="604" t="n"/>
      <c r="K121" s="2578" t="n"/>
      <c r="L121" s="2520" t="n"/>
      <c r="M121" s="2520" t="n"/>
      <c r="N121" s="2520" t="n"/>
      <c r="O121" s="1517" t="n"/>
      <c r="Q121" s="2229" t="n"/>
      <c r="R121" s="2465" t="n"/>
      <c r="S121" s="2465" t="n"/>
      <c r="T121" s="2465" t="n"/>
      <c r="U121" s="2465" t="n"/>
      <c r="V121" s="2483" t="n"/>
      <c r="W121" s="2505" t="n"/>
      <c r="AC121" s="55" t="n"/>
      <c r="AD121" s="55" t="n"/>
    </row>
    <row r="122" ht="31" customHeight="1" s="2456">
      <c r="B122" s="2580" t="n"/>
      <c r="C122" s="2520" t="n"/>
      <c r="D122" s="2578" t="n"/>
      <c r="E122" s="2520" t="n"/>
      <c r="F122" s="2520" t="n"/>
      <c r="G122" s="2520" t="n"/>
      <c r="H122" s="1517" t="n"/>
      <c r="J122" s="2465" t="n"/>
      <c r="K122" s="2578" t="n"/>
      <c r="L122" s="2520" t="n"/>
      <c r="M122" s="2520" t="n"/>
      <c r="N122" s="2520" t="n"/>
      <c r="O122" s="1872" t="n"/>
      <c r="Q122" s="1807" t="n"/>
      <c r="R122" s="2465" t="n"/>
      <c r="S122" s="2465" t="n"/>
      <c r="T122" s="2465" t="n"/>
      <c r="U122" s="2465" t="n"/>
      <c r="V122" s="2108" t="n"/>
      <c r="W122" s="2109" t="n"/>
      <c r="X122" s="1446" t="n"/>
      <c r="Y122" s="1446" t="n"/>
      <c r="AC122" s="55" t="n"/>
      <c r="AD122" s="55" t="n"/>
    </row>
    <row r="123">
      <c r="B123" s="2578" t="n"/>
      <c r="C123" s="604" t="n"/>
      <c r="D123" s="2578" t="n"/>
      <c r="E123" s="2520" t="n"/>
      <c r="F123" s="2520" t="n"/>
      <c r="G123" s="2520" t="n"/>
      <c r="H123" s="1517" t="n"/>
      <c r="J123" s="604" t="n"/>
      <c r="K123" s="2578" t="n"/>
      <c r="L123" s="2520" t="n"/>
      <c r="M123" s="2520" t="n"/>
      <c r="N123" s="2520" t="n"/>
      <c r="O123" s="1517" t="n"/>
      <c r="Q123" s="2229" t="n"/>
      <c r="R123" s="2465" t="n"/>
      <c r="S123" s="2465" t="n"/>
      <c r="T123" s="2465" t="n"/>
      <c r="U123" s="2465" t="n"/>
      <c r="V123" s="2483" t="n"/>
      <c r="W123" s="2505" t="n"/>
      <c r="AC123" s="55" t="n"/>
      <c r="AD123" s="55" t="n"/>
    </row>
    <row r="124" ht="34" customHeight="1" s="2456">
      <c r="J124" s="604" t="n"/>
      <c r="K124" s="2578" t="n"/>
      <c r="L124" s="2578" t="n"/>
      <c r="M124" s="2520" t="n"/>
      <c r="N124" s="2520" t="n"/>
      <c r="O124" s="598" t="n"/>
      <c r="Q124" s="1807" t="n"/>
      <c r="V124" s="2108" t="n"/>
      <c r="W124" s="2109" t="n"/>
      <c r="X124" s="1446" t="n"/>
      <c r="Y124" s="1446" t="n"/>
      <c r="AC124" s="55" t="n"/>
      <c r="AD124" s="55" t="n"/>
    </row>
    <row r="125" ht="55" customHeight="1" s="2456">
      <c r="R125" s="2029" t="n"/>
      <c r="S125" s="2029" t="n"/>
      <c r="T125" s="2029" t="n"/>
      <c r="U125" s="2029" t="n"/>
      <c r="V125" s="2484" t="n"/>
      <c r="W125" s="2506" t="n"/>
      <c r="AC125" s="55" t="n"/>
      <c r="AD125" s="55" t="n"/>
    </row>
    <row r="126" ht="59" customHeight="1" s="2456">
      <c r="R126" s="2103" t="inlineStr">
        <is>
          <t>Constat =&gt;</t>
        </is>
      </c>
      <c r="S126" s="2025" t="n"/>
      <c r="T126" s="2025" t="n"/>
      <c r="U126" s="2025" t="n"/>
      <c r="V126" s="2098" t="n"/>
      <c r="W126" s="2098" t="n"/>
      <c r="X126" s="2098" t="n"/>
      <c r="Y126" s="2098" t="n"/>
      <c r="AC126" s="55" t="n"/>
      <c r="AD126" s="55" t="n"/>
    </row>
    <row r="127" ht="22" customHeight="1" s="2456">
      <c r="R127" s="2025" t="n"/>
      <c r="S127" s="2025" t="n"/>
      <c r="T127" s="2025" t="n"/>
      <c r="U127" s="2025" t="n"/>
      <c r="V127" s="2098" t="n"/>
      <c r="W127" s="2098" t="n"/>
      <c r="X127" s="2098" t="n"/>
      <c r="Y127" s="2098" t="n"/>
    </row>
    <row r="128" ht="37" customHeight="1" s="2456">
      <c r="B128" s="2580" t="n"/>
      <c r="C128" s="2520" t="n"/>
      <c r="D128" s="2578" t="n"/>
      <c r="E128" s="2520" t="n"/>
      <c r="F128" s="67" t="n"/>
      <c r="G128" s="67" t="n"/>
      <c r="H128" s="1872" t="n"/>
      <c r="J128" s="604" t="n"/>
      <c r="K128" s="2023" t="n"/>
      <c r="L128" s="604" t="n"/>
      <c r="M128" s="2024" t="n"/>
      <c r="N128" s="67" t="n"/>
      <c r="O128" s="1517" t="n"/>
      <c r="Q128" s="2520" t="n"/>
      <c r="R128" s="2029" t="n"/>
      <c r="S128" s="2368" t="n"/>
      <c r="T128" s="2368" t="n"/>
      <c r="U128" s="2368" t="n"/>
      <c r="V128" s="2192" t="n"/>
      <c r="W128" s="2192" t="n"/>
      <c r="X128" s="2192" t="n"/>
      <c r="Y128" s="2192" t="n"/>
      <c r="AC128" s="55" t="n"/>
      <c r="AD128" s="55" t="n"/>
    </row>
    <row r="129" ht="37" customHeight="1" s="2456">
      <c r="B129" s="2580" t="n"/>
      <c r="C129" s="2520" t="n"/>
      <c r="D129" s="2578" t="n"/>
      <c r="E129" s="2520" t="n"/>
      <c r="F129" s="67" t="n"/>
      <c r="G129" s="67" t="n"/>
      <c r="H129" s="1872" t="n"/>
      <c r="J129" s="604" t="n"/>
      <c r="K129" s="2023" t="n"/>
      <c r="L129" s="604" t="n"/>
      <c r="M129" s="2024" t="n"/>
      <c r="N129" s="67" t="n"/>
      <c r="O129" s="1517" t="n"/>
      <c r="Q129" s="2520" t="n"/>
      <c r="R129" s="2029" t="n"/>
      <c r="S129" s="2368" t="n"/>
      <c r="T129" s="2368" t="n"/>
      <c r="U129" s="2368" t="n"/>
      <c r="V129" s="2192" t="n"/>
      <c r="W129" s="2192" t="n"/>
      <c r="X129" s="2192" t="n"/>
      <c r="Y129" s="2192" t="n"/>
      <c r="AC129" s="55" t="n"/>
      <c r="AD129" s="55" t="n"/>
    </row>
    <row r="130" ht="78" customHeight="1" s="2456">
      <c r="V130" s="1824" t="inlineStr">
        <is>
          <t>Donner des références utiles au besoin</t>
        </is>
      </c>
    </row>
    <row r="131" ht="78" customHeight="1" s="2456" thickBot="1">
      <c r="W131" s="2161" t="inlineStr">
        <is>
          <t>Générer un drapeau rouge et conseils sur CSS dans le bas de la section du rapport</t>
        </is>
      </c>
      <c r="X131" s="2161" t="n"/>
      <c r="Y131" s="2161" t="n"/>
    </row>
    <row r="132" ht="78" customHeight="1" s="2456"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55" t="inlineStr">
        <is>
          <t>Acceptation de la séparation et de ses exigences</t>
        </is>
      </c>
      <c r="V132" s="1446" t="n"/>
      <c r="W132" s="1446" t="n"/>
      <c r="X132" s="1446" t="n"/>
      <c r="Y132" s="1446" t="n"/>
    </row>
    <row r="133" ht="17" customHeight="1" s="2456" thickBot="1">
      <c r="B133" s="2580" t="n"/>
      <c r="D133" s="291" t="n"/>
      <c r="E133" s="2457" t="n"/>
      <c r="H133" s="751" t="n"/>
      <c r="K133" s="2521" t="n"/>
      <c r="L133" s="2457" t="n"/>
      <c r="O133" s="751" t="n"/>
      <c r="Q133" s="2483" t="n"/>
    </row>
    <row r="134" ht="52" customHeight="1" s="2456"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84" t="n"/>
    </row>
    <row r="139" ht="17" customHeight="1" s="2456" thickBot="1"/>
    <row r="140" ht="58" customHeight="1" s="2456"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55" t="inlineStr">
        <is>
          <t>La valeur parentale de l'autre parent</t>
        </is>
      </c>
    </row>
    <row r="141" ht="17" customHeight="1" s="2456" thickBot="1">
      <c r="B141" s="2580" t="n"/>
      <c r="C141" s="2520" t="n"/>
      <c r="D141" s="2578" t="n"/>
      <c r="E141" s="2520" t="n"/>
      <c r="F141" s="2520" t="n"/>
      <c r="G141" s="2520" t="n"/>
      <c r="H141" s="1517" t="n"/>
      <c r="J141" s="494" t="n"/>
      <c r="K141" s="2578" t="n"/>
      <c r="L141" s="2520" t="n"/>
      <c r="M141" s="2520" t="n"/>
      <c r="N141" s="2520" t="n"/>
      <c r="O141" s="1872" t="n"/>
      <c r="P141" s="2465" t="n"/>
      <c r="Q141" s="2483" t="n"/>
    </row>
    <row r="142" ht="69" customHeight="1" s="2456"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65" t="n"/>
      <c r="Q142" s="2484" t="n"/>
    </row>
    <row r="143" ht="17" customHeight="1" s="2456" thickBot="1"/>
    <row r="144" ht="65" customHeight="1" s="2456"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3" t="n"/>
      <c r="W144" s="2505" t="n"/>
    </row>
    <row r="145" ht="17" customHeight="1" s="2456" thickBot="1">
      <c r="B145" s="2580" t="n"/>
      <c r="C145" s="2520" t="n"/>
      <c r="D145" s="2578" t="n"/>
      <c r="E145" s="2520" t="n"/>
      <c r="F145" s="2520" t="n"/>
      <c r="G145" s="2520" t="n"/>
      <c r="H145" s="1517" t="n"/>
      <c r="K145" s="291" t="n"/>
      <c r="L145" s="2457" t="n"/>
      <c r="O145" s="751" t="n"/>
      <c r="R145" s="2465" t="n"/>
      <c r="S145" s="2465" t="n"/>
      <c r="T145" s="2465" t="n"/>
      <c r="U145" s="2465" t="n"/>
      <c r="V145" s="2483" t="n"/>
      <c r="W145" s="2505" t="n"/>
      <c r="AC145" s="55" t="n"/>
      <c r="AD145" s="55" t="n"/>
    </row>
    <row r="146" ht="71" customHeight="1" s="2456"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style="2456" min="1" max="1"/>
    <col width="49.1640625" customWidth="1" style="2456" min="2" max="2"/>
    <col width="70.1640625" bestFit="1" customWidth="1" style="2456" min="3" max="3"/>
    <col width="9.5" bestFit="1" customWidth="1" style="2465" min="4" max="4"/>
    <col width="15.1640625" bestFit="1" customWidth="1" style="2456" min="5" max="5"/>
    <col width="9.6640625" bestFit="1" customWidth="1" style="2457" min="6" max="6"/>
    <col width="22.1640625" customWidth="1" style="2457" min="7" max="7"/>
    <col width="43.5" customWidth="1" style="2457" min="8" max="8"/>
    <col width="43.5" customWidth="1" style="2517" min="9" max="10"/>
    <col width="18" customWidth="1" style="2457" min="11" max="11"/>
    <col width="85.83203125" customWidth="1" style="2517" min="12" max="12"/>
    <col width="62.33203125" customWidth="1" style="2580" min="13" max="13"/>
    <col width="62.5" customWidth="1" style="2559"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7" t="inlineStr">
        <is>
          <t>Catégorisation des comportements des parents acteurs</t>
        </is>
      </c>
    </row>
    <row r="2" ht="53" customHeight="1" s="2456">
      <c r="A2" s="407" t="inlineStr">
        <is>
          <t>Titre du baromètre</t>
        </is>
      </c>
      <c r="C2" s="2163" t="inlineStr">
        <is>
          <t xml:space="preserve">À quels comportements préjudiciables votre enfant-il exposé ? </t>
        </is>
      </c>
      <c r="N2" s="2560" t="n"/>
      <c r="Q2" s="80" t="n"/>
      <c r="R2" s="80" t="n"/>
    </row>
    <row r="3" ht="399" customHeight="1" s="2456">
      <c r="C3" s="82" t="inlineStr">
        <is>
          <t>Mettre par catégorie et faire légende avec définition de chaque catégorie</t>
        </is>
      </c>
      <c r="D3" s="2559" t="n"/>
      <c r="E3" s="2559" t="n"/>
      <c r="F3" s="2559" t="n"/>
      <c r="G3" s="2521" t="n"/>
      <c r="H3" s="82" t="inlineStr">
        <is>
          <t>Ce sera les résultats des 7 catégories qui viendront se dessiner.</t>
        </is>
      </c>
      <c r="I3" s="826" t="n"/>
      <c r="J3" s="826" t="n"/>
      <c r="K3" s="2521" t="n"/>
      <c r="O3" s="1752" t="n"/>
    </row>
    <row r="4" ht="156" customHeight="1" s="2456">
      <c r="A4" s="407" t="inlineStr">
        <is>
          <t>Présentation du baromètre (À propos)</t>
        </is>
      </c>
      <c r="C4" s="2389"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46" t="n"/>
      <c r="E4" s="1446" t="n"/>
      <c r="F4" s="1446" t="n"/>
      <c r="G4" s="1446" t="n"/>
      <c r="O4" s="1752" t="n"/>
    </row>
    <row r="5" ht="36" customHeight="1" s="2456">
      <c r="A5" s="600" t="n"/>
      <c r="H5" s="2537" t="inlineStr">
        <is>
          <t>Zone de programmation</t>
        </is>
      </c>
      <c r="J5" s="2505" t="n"/>
      <c r="K5" s="2554" t="inlineStr">
        <is>
          <t>Zone de contenu - Bloc Constats</t>
        </is>
      </c>
      <c r="L5" s="2487" t="n"/>
      <c r="M5" s="2544" t="inlineStr">
        <is>
          <t>SECTION DRAPEAUX</t>
        </is>
      </c>
      <c r="O5" s="1752" t="n"/>
    </row>
    <row r="6" ht="69" customHeight="1" s="2456">
      <c r="L6" s="2578" t="n"/>
      <c r="M6" s="2580" t="inlineStr">
        <is>
          <t>Drapeaux jaunes</t>
        </is>
      </c>
      <c r="N6" s="2559" t="inlineStr">
        <is>
          <t>Drapeaux rouges</t>
        </is>
      </c>
    </row>
    <row r="7" ht="85" customHeight="1" s="2456">
      <c r="B7" t="inlineStr">
        <is>
          <t>Catégories</t>
        </is>
      </c>
      <c r="C7" s="2465" t="inlineStr">
        <is>
          <t>Comportements</t>
        </is>
      </c>
      <c r="D7" s="2520" t="inlineStr">
        <is>
          <t>Coparent</t>
        </is>
      </c>
      <c r="E7" s="2520" t="inlineStr">
        <is>
          <t>Nouveau|nouvelle conjoint·e</t>
        </is>
      </c>
      <c r="F7" s="1718" t="inlineStr">
        <is>
          <t>Parent répondant</t>
        </is>
      </c>
      <c r="G7" s="2520" t="inlineStr">
        <is>
          <t>Poids de la classe:
Max (Co+NC) + Répondant Cpts</t>
        </is>
      </c>
      <c r="H7" s="2520" t="inlineStr">
        <is>
          <t>Cpts qui s'ouvrent (plus élevé que la moyenne ou plus que 20 de score)</t>
        </is>
      </c>
      <c r="I7" s="2520" t="inlineStr">
        <is>
          <t>Drapeaux jaunes</t>
        </is>
      </c>
      <c r="J7" s="2520" t="inlineStr">
        <is>
          <t>Drapeaux rouges</t>
        </is>
      </c>
      <c r="K7" s="246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20" t="n"/>
      <c r="N7" s="2559" t="inlineStr">
        <is>
          <t>Les comportements suivants méritent une attention particulière, car ils sont susceptibles d'affecter le bien-être psychologique et le développement de l'enfant :</t>
        </is>
      </c>
      <c r="P7" s="2520" t="n"/>
      <c r="S7" s="2520" t="n"/>
      <c r="T7" s="2520" t="n"/>
      <c r="U7" s="49" t="n"/>
    </row>
    <row r="8" ht="21" customHeight="1" s="2456">
      <c r="C8" s="2465" t="n"/>
      <c r="D8" s="2520" t="n"/>
      <c r="E8" s="2520" t="n"/>
      <c r="F8" s="1718" t="n"/>
      <c r="G8" s="2520" t="n"/>
      <c r="H8" s="2520" t="n"/>
      <c r="I8" s="2520" t="n"/>
      <c r="J8" s="2520" t="n"/>
      <c r="K8" s="2520" t="n"/>
      <c r="L8" s="2578" t="n">
        <v>1</v>
      </c>
      <c r="M8" s="2520" t="n"/>
      <c r="P8" s="2520" t="n"/>
      <c r="S8" s="2520" t="n"/>
      <c r="T8" s="2520" t="n"/>
      <c r="U8" s="49" t="n"/>
    </row>
    <row r="9" ht="17" customHeight="1" s="2456">
      <c r="A9" t="inlineStr">
        <is>
          <t>PFA04</t>
        </is>
      </c>
      <c r="B9">
        <f>BIBLE!V85</f>
        <v/>
      </c>
      <c r="C9" s="55">
        <f>BIBLE!R85</f>
        <v/>
      </c>
      <c r="D9" s="6">
        <f>IF(Test_Bible!B171="","",Test_Bible!Q171)</f>
        <v/>
      </c>
      <c r="F9" s="1713" t="n"/>
      <c r="G9" s="90">
        <f>IF(AND(D9="",E9="",F9=""),"",MAX(D9,E9)+F9)</f>
        <v/>
      </c>
      <c r="H9" s="2405">
        <f>IF(G9="","",IF(OR(G9&gt;$G$15,G9&gt;20),"à inclure",""))</f>
        <v/>
      </c>
      <c r="I9" s="2405">
        <f>IF(G9="","",IF(OR(G9&gt;$G$15,G9&gt;20),M9,""))</f>
        <v/>
      </c>
      <c r="J9" s="2405">
        <f>IF(G9="","",IF(OR(G9&gt;$G$15,G9&gt;20),N9,""))</f>
        <v/>
      </c>
      <c r="K9" s="90" t="n"/>
      <c r="L9" s="2398" t="n"/>
      <c r="M9" s="2394" t="n"/>
      <c r="N9" s="2390" t="n"/>
      <c r="P9" s="90" t="n"/>
      <c r="S9" s="90" t="n"/>
      <c r="T9" s="90" t="n"/>
    </row>
    <row r="10" ht="17" customHeight="1" s="2456">
      <c r="A10" t="inlineStr">
        <is>
          <t>PFA04a</t>
        </is>
      </c>
      <c r="B10">
        <f>BIBLE!V86</f>
        <v/>
      </c>
      <c r="C10" s="55">
        <f>BIBLE!R86</f>
        <v/>
      </c>
      <c r="D10" s="6">
        <f>IF(Test_Bible!B172="","",Test_Bible!Q172)</f>
        <v/>
      </c>
      <c r="F10" s="1711" t="n"/>
      <c r="G10" s="2457">
        <f>IF(AND(D10="",E10="",F10=""),"",MAX(D10,E10)+F10)</f>
        <v/>
      </c>
      <c r="H10" s="2405">
        <f>IF(G10="","",IF(OR(G10&gt;$G$15,G10&gt;20),"à inclure",""))</f>
        <v/>
      </c>
      <c r="I10" s="2405">
        <f>IF(G10="","",IF(OR(G10&gt;$G$15,G10&gt;20),M10,""))</f>
        <v/>
      </c>
      <c r="J10" s="2405">
        <f>IF(G10="","",IF(OR(G10&gt;$G$15,G10&gt;20),N10,""))</f>
        <v/>
      </c>
      <c r="K10" s="90" t="n"/>
      <c r="L10" s="2399" t="n"/>
      <c r="M10" s="2394" t="n"/>
      <c r="N10" s="2394" t="n"/>
      <c r="P10" s="90" t="n"/>
      <c r="Q10" s="90" t="n"/>
      <c r="R10" s="90" t="n"/>
      <c r="S10" s="90" t="n"/>
      <c r="T10" s="90" t="n"/>
    </row>
    <row r="11" ht="17" customHeight="1" s="2456">
      <c r="A11" t="inlineStr">
        <is>
          <t>PFA05 et NC02</t>
        </is>
      </c>
      <c r="B11">
        <f>BIBLE!V87</f>
        <v/>
      </c>
      <c r="C11" s="55">
        <f>BIBLE!R87</f>
        <v/>
      </c>
      <c r="D11" s="6">
        <f>IF(Test_Bible!B173="","",Test_Bible!Q173)</f>
        <v/>
      </c>
      <c r="E11" s="90">
        <f>IF(Test_Bible!B406="","",Test_Bible!Q406)</f>
        <v/>
      </c>
      <c r="F11" s="1711" t="n"/>
      <c r="G11" s="2457">
        <f>IF(AND(D11="",E11="",F11=""),"",MAX(D11,E11)+F11)</f>
        <v/>
      </c>
      <c r="H11" s="2405">
        <f>IF(G11="","",IF(OR(G11&gt;$G$15,G11&gt;20),"à inclure",""))</f>
        <v/>
      </c>
      <c r="I11" s="2405">
        <f>IF(G11="","",IF(OR(G11&gt;$G$15,G11&gt;20),M11,""))</f>
        <v/>
      </c>
      <c r="J11" s="2405">
        <f>IF(G11="","",IF(OR(G11&gt;$G$15,G11&gt;20),N11,""))</f>
        <v/>
      </c>
      <c r="K11" s="90" t="n"/>
      <c r="L11" s="2399" t="n"/>
      <c r="M11" s="2394" t="n"/>
      <c r="N11" s="2394" t="n"/>
      <c r="P11" s="90" t="n"/>
      <c r="Q11" s="90" t="n"/>
      <c r="R11" s="90" t="n"/>
      <c r="S11" s="90" t="n"/>
      <c r="T11" s="90" t="n"/>
    </row>
    <row r="12" ht="17" customHeight="1" s="2456">
      <c r="A12" t="inlineStr">
        <is>
          <t>PFA05a</t>
        </is>
      </c>
      <c r="B12">
        <f>BIBLE!V88</f>
        <v/>
      </c>
      <c r="C12" s="55">
        <f>BIBLE!R88</f>
        <v/>
      </c>
      <c r="D12" s="6">
        <f>IF(Test_Bible!B174="","",Test_Bible!Q174)</f>
        <v/>
      </c>
      <c r="F12" s="1711" t="n"/>
      <c r="G12" s="2457">
        <f>IF(AND(D12="",E12="",F12=""),"",MAX(D12,E12)+F12)</f>
        <v/>
      </c>
      <c r="H12" s="2405">
        <f>IF(G12="","",IF(OR(G12&gt;$G$15,G12&gt;20),"à inclure",""))</f>
        <v/>
      </c>
      <c r="I12" s="2405">
        <f>IF(G12="","",IF(OR(G12&gt;$G$15,G12&gt;20),M12,""))</f>
        <v/>
      </c>
      <c r="J12" s="2405">
        <f>IF(G12="","",IF(OR(G12&gt;$G$15,G12&gt;20),N12,""))</f>
        <v/>
      </c>
      <c r="K12" s="90" t="n"/>
      <c r="L12" s="2399" t="n"/>
      <c r="M12" s="2394" t="n"/>
      <c r="N12" s="2394" t="n"/>
      <c r="P12" s="90" t="n"/>
      <c r="Q12" s="90" t="n"/>
      <c r="R12" s="90" t="n"/>
      <c r="S12" s="90" t="n"/>
      <c r="T12" s="90" t="n"/>
    </row>
    <row r="13" ht="34" customHeight="1" s="2456">
      <c r="A13" t="inlineStr">
        <is>
          <t>PFA06</t>
        </is>
      </c>
      <c r="B13">
        <f>BIBLE!V89</f>
        <v/>
      </c>
      <c r="C13" s="55">
        <f>BIBLE!R89</f>
        <v/>
      </c>
      <c r="D13" s="6">
        <f>IF(Test_Bible!B175="","",Test_Bible!Q175)</f>
        <v/>
      </c>
      <c r="F13" s="1711" t="n"/>
      <c r="G13" s="2457">
        <f>IF(AND(D13="",E13="",F13=""),"",MAX(D13,E13)+F13)</f>
        <v/>
      </c>
      <c r="H13" s="2405">
        <f>IF(G13="","",IF(OR(G13&gt;$G$15,G13&gt;20),"à inclure",""))</f>
        <v/>
      </c>
      <c r="I13" s="2405">
        <f>IF(G13="","",IF(OR(G13&gt;$G$15,G13&gt;20),M13,""))</f>
        <v/>
      </c>
      <c r="J13" s="2405">
        <f>IF(G13="","",IF(OR(G13&gt;$G$15,G13&gt;20),N13,""))</f>
        <v/>
      </c>
      <c r="K13" s="90" t="n"/>
      <c r="L13" s="2399" t="n"/>
      <c r="M13" s="2394" t="n"/>
      <c r="N13" s="2394" t="inlineStr">
        <is>
          <t>Ce comportement mérite un DRAPEAU ROUGE. Lorem ipsum dolor sit amet. Id voluptatem galisum.</t>
        </is>
      </c>
      <c r="P13" s="90" t="n"/>
      <c r="Q13" s="90" t="n"/>
      <c r="R13" s="90" t="n"/>
      <c r="S13" s="90" t="n"/>
      <c r="T13" s="90" t="n"/>
    </row>
    <row r="14" ht="51" customHeight="1" s="2456">
      <c r="A14" s="2490" t="inlineStr">
        <is>
          <t>PFA06a</t>
        </is>
      </c>
      <c r="B14" s="2490">
        <f>BIBLE!V90</f>
        <v/>
      </c>
      <c r="C14" s="1708">
        <f>BIBLE!R90</f>
        <v/>
      </c>
      <c r="D14" s="1710">
        <f>IF(Test_Bible!B176="","",Test_Bible!Q176)</f>
        <v/>
      </c>
      <c r="E14" s="2490" t="n"/>
      <c r="F14" s="1712" t="n"/>
      <c r="G14" s="2457">
        <f>IF(AND(D14="",E14="",F14=""),"",MAX(D14,E14)+F14)</f>
        <v/>
      </c>
      <c r="H14" s="2405">
        <f>IF(G14="","",IF(OR(G14&gt;$G$15,G14&gt;20),"à inclure",""))</f>
        <v/>
      </c>
      <c r="I14" s="2405">
        <f>IF(G14="","",IF(OR(G14&gt;$G$15,G14&gt;20),M14,""))</f>
        <v/>
      </c>
      <c r="J14" s="2405">
        <f>IF(G14="","",IF(OR(G14&gt;$G$15,G14&gt;20),N14,""))</f>
        <v/>
      </c>
      <c r="K14" s="90" t="n"/>
      <c r="L14" s="2399" t="n"/>
      <c r="M14" s="2395" t="n"/>
      <c r="N14" s="2394" t="inlineStr">
        <is>
          <t>Ce comportement mérite un DRAPEAU ROUGE. Lorem ipsum dolor sit amet. Id voluptatem galisum.</t>
        </is>
      </c>
      <c r="P14" s="90" t="n"/>
      <c r="Q14" s="90" t="n"/>
      <c r="R14" s="90" t="n"/>
      <c r="S14" s="90" t="n"/>
      <c r="T14" s="90" t="n"/>
    </row>
    <row r="15" ht="71" customHeight="1" s="2456">
      <c r="C15" s="55" t="n"/>
      <c r="D15" s="6" t="n"/>
      <c r="G15" s="2381">
        <f>AVERAGE(G9:G14)</f>
        <v/>
      </c>
      <c r="H15" s="2447">
        <f>IF(G15&gt;=$G$54,HLOOKUP(1,$L$8:$L$56,8),"")</f>
        <v/>
      </c>
      <c r="I15" s="2406">
        <f>IF(G15&gt;=$G$54,M15,"")</f>
        <v/>
      </c>
      <c r="J15" s="2406">
        <f>IF(G15&gt;=$G$54,N15,"")</f>
        <v/>
      </c>
      <c r="K15" s="2367" t="n"/>
      <c r="L15" s="2396"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48"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394" t="n"/>
      <c r="P15" s="90" t="n"/>
      <c r="Q15" s="90" t="n"/>
      <c r="R15" s="90" t="n"/>
      <c r="S15" s="90" t="n"/>
      <c r="T15" s="90" t="n"/>
    </row>
    <row r="16" ht="17" customHeight="1" s="2456">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5">
        <f>IF(G16="","",IF(OR(G16&gt;$G$22,G16&gt;20),"à inclure",""))</f>
        <v/>
      </c>
      <c r="I16" s="2405">
        <f>IF(G16="","",IF(OR(G16&gt;$G$22,G16&gt;20),M16,""))</f>
        <v/>
      </c>
      <c r="J16" s="2405">
        <f>IF(G16="","",IF(OR(G16&gt;$G$22,G16&gt;20),N16,""))</f>
        <v/>
      </c>
      <c r="K16" s="90" t="n"/>
      <c r="L16" s="2399" t="n"/>
      <c r="M16" s="2394" t="n"/>
      <c r="N16" s="2390" t="n"/>
      <c r="P16" s="90" t="n"/>
      <c r="Q16" s="90" t="n"/>
      <c r="R16" s="90" t="n"/>
      <c r="S16" s="90" t="n"/>
      <c r="T16" s="90" t="n"/>
    </row>
    <row r="17" ht="17" customHeight="1" s="2456">
      <c r="A17" t="inlineStr">
        <is>
          <t>PCR04 &amp; PFA12</t>
        </is>
      </c>
      <c r="B17">
        <f>BIBLE!V57</f>
        <v/>
      </c>
      <c r="C17">
        <f>BIBLE!R57</f>
        <v/>
      </c>
      <c r="D17" s="6">
        <f>IF(Test_Bible!B185="","",Test_Bible!Q185)</f>
        <v/>
      </c>
      <c r="E17" s="2457" t="n"/>
      <c r="F17" s="1714">
        <f>IF(Test_Bible!B125="","",Test_Bible!Q125)</f>
        <v/>
      </c>
      <c r="G17" s="2174">
        <f>IF(AND(D17="",E17="",F17=""),"",MAX(D17,E17)+F17)</f>
        <v/>
      </c>
      <c r="H17" s="2405">
        <f>IF(G17="","",IF(OR(G17&gt;$G$22,G17&gt;20),"à inclure",""))</f>
        <v/>
      </c>
      <c r="I17" s="2405">
        <f>IF(G17="","",IF(OR(G17&gt;$G$22,G17&gt;20),M17,""))</f>
        <v/>
      </c>
      <c r="J17" s="2405">
        <f>IF(G17="","",IF(OR(G17&gt;$G$22,G17&gt;20),N17,""))</f>
        <v/>
      </c>
      <c r="K17" s="90" t="n"/>
      <c r="L17" s="2399" t="n"/>
      <c r="M17" s="2394" t="n"/>
      <c r="N17" s="2390" t="n"/>
      <c r="P17" s="90" t="n"/>
      <c r="Q17" s="90" t="n"/>
      <c r="R17" s="90" t="n"/>
      <c r="S17" s="90" t="n"/>
      <c r="T17" s="90" t="n"/>
    </row>
    <row r="18" ht="17" customHeight="1" s="2456">
      <c r="A18" t="inlineStr">
        <is>
          <t>PFA07</t>
        </is>
      </c>
      <c r="B18">
        <f>BIBLE!V91</f>
        <v/>
      </c>
      <c r="C18" s="55">
        <f>BIBLE!R91</f>
        <v/>
      </c>
      <c r="D18" s="6">
        <f>IF(Test_Bible!B177="","",Test_Bible!Q177)</f>
        <v/>
      </c>
      <c r="F18" s="1711" t="n"/>
      <c r="G18" s="11">
        <f>IF(AND(D18="",E18="",F18=""),"",MAX(D18,E18)+F18)</f>
        <v/>
      </c>
      <c r="H18" s="2405">
        <f>IF(G18="","",IF(OR(G18&gt;$G$22,G18&gt;20),"à inclure",""))</f>
        <v/>
      </c>
      <c r="I18" s="2405">
        <f>IF(G18="","",IF(OR(G18&gt;$G$22,G18&gt;20),M18,""))</f>
        <v/>
      </c>
      <c r="J18" s="2405">
        <f>IF(G18="","",IF(OR(G18&gt;$G$22,G18&gt;20),N18,""))</f>
        <v/>
      </c>
      <c r="K18" s="90" t="n"/>
      <c r="L18" s="2399" t="n"/>
      <c r="M18" s="2394" t="n"/>
      <c r="N18" s="2390" t="n"/>
      <c r="P18" s="90" t="n"/>
      <c r="Q18" s="90" t="n"/>
      <c r="R18" s="90" t="n"/>
      <c r="S18" s="90" t="n"/>
      <c r="T18" s="90" t="n"/>
    </row>
    <row r="19" ht="17" customHeight="1" s="2456">
      <c r="A19" t="inlineStr">
        <is>
          <t>PFA07a</t>
        </is>
      </c>
      <c r="B19">
        <f>BIBLE!V92</f>
        <v/>
      </c>
      <c r="C19" s="55">
        <f>BIBLE!R92</f>
        <v/>
      </c>
      <c r="D19" s="6">
        <f>IF(Test_Bible!B178="","",Test_Bible!Q178)</f>
        <v/>
      </c>
      <c r="F19" s="1711" t="n"/>
      <c r="G19" s="11">
        <f>IF(AND(D19="",E19="",F19=""),"",MAX(D19,E19)+F19)</f>
        <v/>
      </c>
      <c r="H19" s="2405">
        <f>IF(G19="","",IF(OR(G19&gt;$G$22,G19&gt;20),"à inclure",""))</f>
        <v/>
      </c>
      <c r="I19" s="2405">
        <f>IF(G19="","",IF(OR(G19&gt;$G$22,G19&gt;20),M19,""))</f>
        <v/>
      </c>
      <c r="J19" s="2405">
        <f>IF(G19="","",IF(OR(G19&gt;$G$22,G19&gt;20),N19,""))</f>
        <v/>
      </c>
      <c r="K19" s="90" t="n"/>
      <c r="L19" s="2399" t="n"/>
      <c r="M19" s="2394" t="n"/>
      <c r="N19" s="2390" t="n"/>
      <c r="P19" s="90" t="n"/>
      <c r="Q19" s="90" t="n"/>
      <c r="R19" s="1757">
        <f>B9</f>
        <v/>
      </c>
      <c r="S19" s="90">
        <f>G15</f>
        <v/>
      </c>
      <c r="T19" s="90" t="n"/>
    </row>
    <row r="20" ht="34" customHeight="1" s="2456">
      <c r="A20" t="inlineStr">
        <is>
          <t>PFA07a1</t>
        </is>
      </c>
      <c r="B20">
        <f>BIBLE!V93</f>
        <v/>
      </c>
      <c r="C20" s="55">
        <f>BIBLE!R93</f>
        <v/>
      </c>
      <c r="D20" s="6">
        <f>IF(Test_Bible!B179="","",Test_Bible!Q179)</f>
        <v/>
      </c>
      <c r="F20" s="1711" t="n"/>
      <c r="G20" s="11">
        <f>IF(AND(D20="",E20="",F20=""),"",MAX(D20,E20)+F20)</f>
        <v/>
      </c>
      <c r="H20" s="2405">
        <f>IF(G20="","",IF(OR(G20&gt;$G$22,G20&gt;20),"à inclure",""))</f>
        <v/>
      </c>
      <c r="I20" s="2405">
        <f>IF(G20="","",IF(OR(G20&gt;$G$22,G20&gt;20),M20,""))</f>
        <v/>
      </c>
      <c r="J20" s="2405">
        <f>IF(G20="","",IF(OR(G20&gt;$G$22,G20&gt;20),N20,""))</f>
        <v/>
      </c>
      <c r="K20" s="90" t="n"/>
      <c r="L20" s="2399" t="n"/>
      <c r="M20" s="2394" t="n"/>
      <c r="N20" s="2394" t="inlineStr">
        <is>
          <t>L'enfant enregistre indirectement le message suivant : il n'est pas autorisé à être en relation avec son autre parent.</t>
        </is>
      </c>
      <c r="P20" s="90" t="n"/>
      <c r="Q20" s="90" t="n"/>
      <c r="R20" s="1757">
        <f>B16</f>
        <v/>
      </c>
      <c r="S20" s="90">
        <f>G22</f>
        <v/>
      </c>
      <c r="T20" s="90" t="n"/>
    </row>
    <row r="21" ht="17" customHeight="1" s="2456">
      <c r="A21" s="2490" t="inlineStr">
        <is>
          <t>PFA36</t>
        </is>
      </c>
      <c r="B21" s="2490">
        <f>BIBLE!V146</f>
        <v/>
      </c>
      <c r="C21" s="1708">
        <f>BIBLE!R146</f>
        <v/>
      </c>
      <c r="D21" s="1710">
        <f>IF(Test_Bible!B250="","",Test_Bible!Q250)</f>
        <v/>
      </c>
      <c r="E21" s="2490" t="n"/>
      <c r="F21" s="1712" t="n"/>
      <c r="G21" s="11">
        <f>IF(AND(D21="",E21="",F21=""),"",MAX(D21,E21)+F21)</f>
        <v/>
      </c>
      <c r="H21" s="2405">
        <f>IF(G21="","",IF(OR(G21&gt;$G$22,G21&gt;20),"à inclure",""))</f>
        <v/>
      </c>
      <c r="I21" s="2405">
        <f>IF(G21="","",IF(OR(G21&gt;$G$22,G21&gt;20),M21,""))</f>
        <v/>
      </c>
      <c r="J21" s="2405">
        <f>IF(G21="","",IF(OR(G21&gt;$G$22,G21&gt;20),N21,""))</f>
        <v/>
      </c>
      <c r="K21" s="90" t="n"/>
      <c r="L21" s="2399" t="n"/>
      <c r="M21" s="2394" t="n"/>
      <c r="N21" s="2392" t="n"/>
      <c r="P21" s="90" t="n"/>
      <c r="Q21" s="90" t="n"/>
      <c r="R21" s="1757">
        <f>B23</f>
        <v/>
      </c>
      <c r="S21" s="90">
        <f>G27</f>
        <v/>
      </c>
      <c r="T21" s="90" t="n"/>
    </row>
    <row r="22" ht="85" customHeight="1" s="2456">
      <c r="C22" s="55" t="n"/>
      <c r="D22" s="6" t="n"/>
      <c r="G22" s="2381">
        <f>AVERAGE(G16:G21)</f>
        <v/>
      </c>
      <c r="H22" s="2406">
        <f>IF(G22&gt;=$G$54,HLOOKUP(1,$L$8:$L$56,15),"")</f>
        <v/>
      </c>
      <c r="I22" s="2406">
        <f>IF(G22&gt;=$G$54,M22,"")</f>
        <v/>
      </c>
      <c r="J22" s="2406">
        <f>IF(G22&gt;=$G$54,N22,"")</f>
        <v/>
      </c>
      <c r="K22" s="2367" t="n"/>
      <c r="L22" s="2396" t="inlineStr">
        <is>
          <t xml:space="preserve">Chantage affectif, manipulation : lorsque le comportement d’un parent induit directement ou indirectement et de manière volontaire ou involontaire un conflit de loyauté chez l’enfant. </t>
        </is>
      </c>
      <c r="M22" s="2448"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1" t="n"/>
      <c r="P22" s="90" t="n"/>
      <c r="Q22" s="90" t="n"/>
      <c r="R22" s="1757">
        <f>B28</f>
        <v/>
      </c>
      <c r="S22" s="90">
        <f>G37</f>
        <v/>
      </c>
      <c r="T22" s="90" t="n"/>
    </row>
    <row r="23" ht="17" customHeight="1" s="2456">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5">
        <f>IF(G23="","",IF(OR(G23&gt;$G$27,G23&gt;20),"à inclure",""))</f>
        <v/>
      </c>
      <c r="I23" s="2405">
        <f>IF(G23="","",IF(OR(G23&gt;$G$27,G23&gt;20),M23,""))</f>
        <v/>
      </c>
      <c r="J23" s="2405">
        <f>IF(G23="","",IF(OR(G23&gt;$G$27,G23&gt;20),N23,""))</f>
        <v/>
      </c>
      <c r="K23" s="90" t="n"/>
      <c r="L23" s="2399" t="n"/>
      <c r="M23" s="2394" t="n"/>
      <c r="N23" s="2390" t="n"/>
      <c r="P23" s="90" t="n"/>
      <c r="Q23" s="90" t="n"/>
      <c r="R23" s="1757">
        <f>B38</f>
        <v/>
      </c>
      <c r="S23" s="90">
        <f>G43</f>
        <v/>
      </c>
      <c r="T23" s="90" t="n"/>
    </row>
    <row r="24" ht="17" customHeight="1" s="2456">
      <c r="A24" t="inlineStr">
        <is>
          <t>PFA14 &amp; NC04b</t>
        </is>
      </c>
      <c r="B24">
        <f>BIBLE!V104</f>
        <v/>
      </c>
      <c r="C24" s="55">
        <f>BIBLE!R104</f>
        <v/>
      </c>
      <c r="D24" s="6">
        <f>IF(Test_Bible!B190="","",Test_Bible!Q190)</f>
        <v/>
      </c>
      <c r="E24" s="90">
        <f>IF(Test_Bible!B416="","",Test_Bible!Q416)</f>
        <v/>
      </c>
      <c r="F24" s="1711" t="n"/>
      <c r="G24" s="11">
        <f>IF(AND(D24="",E24="",F24=""),"",MAX(D24,E24)+F24)</f>
        <v/>
      </c>
      <c r="H24" s="2405">
        <f>IF(G24="","",IF(OR(G24&gt;$G$27,G24&gt;20),"à inclure",""))</f>
        <v/>
      </c>
      <c r="I24" s="2405">
        <f>IF(G24="","",IF(OR(G24&gt;$G$27,G24&gt;20),M24,""))</f>
        <v/>
      </c>
      <c r="J24" s="2405">
        <f>IF(G24="","",IF(OR(G24&gt;$G$27,G24&gt;20),N24,""))</f>
        <v/>
      </c>
      <c r="K24" s="90" t="n"/>
      <c r="L24" s="2399" t="n"/>
      <c r="M24" s="2394" t="n"/>
      <c r="N24" s="2390" t="n"/>
      <c r="P24" s="90" t="n"/>
      <c r="Q24" s="90" t="n"/>
      <c r="R24" s="1757">
        <f>B44</f>
        <v/>
      </c>
      <c r="S24" s="90">
        <f>G48</f>
        <v/>
      </c>
      <c r="T24" s="90" t="n"/>
    </row>
    <row r="25" ht="17" customHeight="1" s="2456">
      <c r="A25" t="inlineStr">
        <is>
          <t>PFA15</t>
        </is>
      </c>
      <c r="B25">
        <f>BIBLE!V105</f>
        <v/>
      </c>
      <c r="C25" s="55">
        <f>BIBLE!R105</f>
        <v/>
      </c>
      <c r="D25" s="6">
        <f>IF(Test_Bible!B191="","",Test_Bible!Q191)</f>
        <v/>
      </c>
      <c r="F25" s="1711" t="n"/>
      <c r="G25" s="11">
        <f>IF(AND(D25="",E25="",F25=""),"",MAX(D25,E25)+F25)</f>
        <v/>
      </c>
      <c r="H25" s="2405">
        <f>IF(G25="","",IF(OR(G25&gt;$G$27,G25&gt;20),"à inclure",""))</f>
        <v/>
      </c>
      <c r="I25" s="2405">
        <f>IF(G25="","",IF(OR(G25&gt;$G$27,G25&gt;20),M25,""))</f>
        <v/>
      </c>
      <c r="J25" s="2405">
        <f>IF(G25="","",IF(OR(G25&gt;$G$27,G25&gt;20),N25,""))</f>
        <v/>
      </c>
      <c r="K25" s="90" t="n"/>
      <c r="L25" s="2399" t="n"/>
      <c r="M25" s="2394" t="n"/>
      <c r="N25" s="2390" t="n"/>
      <c r="P25" s="90" t="n"/>
      <c r="Q25" s="90" t="n"/>
      <c r="R25" s="1757">
        <f>B49</f>
        <v/>
      </c>
      <c r="S25" s="90">
        <f>G53</f>
        <v/>
      </c>
      <c r="T25" s="90" t="n"/>
    </row>
    <row r="26" ht="34" customHeight="1" s="2456">
      <c r="A26" s="2490" t="inlineStr">
        <is>
          <t>PFA15a</t>
        </is>
      </c>
      <c r="B26" s="2490">
        <f>BIBLE!V106</f>
        <v/>
      </c>
      <c r="C26" s="1708">
        <f>BIBLE!R106</f>
        <v/>
      </c>
      <c r="D26" s="1710">
        <f>IF(Test_Bible!B192="","",Test_Bible!Q192)</f>
        <v/>
      </c>
      <c r="E26" s="2490" t="n"/>
      <c r="F26" s="1712" t="n"/>
      <c r="G26" s="11">
        <f>IF(AND(D26="",E26="",F26=""),"",MAX(D26,E26)+F26)</f>
        <v/>
      </c>
      <c r="H26" s="2405">
        <f>IF(G26="","",IF(OR(G26&gt;$G$27,G26&gt;20),"à inclure",""))</f>
        <v/>
      </c>
      <c r="I26" s="2405">
        <f>IF(G26="","",IF(OR(G26&gt;$G$27,G26&gt;20),M26,""))</f>
        <v/>
      </c>
      <c r="J26" s="2405">
        <f>IF(G26="","",IF(OR(G26&gt;$G$27,G26&gt;20),N26,""))</f>
        <v/>
      </c>
      <c r="K26" s="90" t="n"/>
      <c r="L26" s="2399" t="n"/>
      <c r="M26" s="2394" t="n"/>
      <c r="N26" s="2390" t="inlineStr">
        <is>
          <t>Ce comportement mérite un DRAPEAU ROUGE. Lorem ipsum dolor sit amet. Id voluptatem galisum.</t>
        </is>
      </c>
      <c r="P26" s="90" t="n"/>
      <c r="Q26" s="90" t="n"/>
      <c r="R26" s="90" t="n"/>
      <c r="S26" s="90" t="n"/>
      <c r="T26" s="90" t="n"/>
    </row>
    <row r="27" ht="34" customHeight="1" s="2456">
      <c r="C27" s="55" t="n"/>
      <c r="E27" s="90" t="n"/>
      <c r="G27" s="2381">
        <f>AVERAGE(G23:G26)</f>
        <v/>
      </c>
      <c r="H27" s="2406">
        <f>IF(G27&gt;=$G$54,HLOOKUP(1,$L$8:$L$56,20),"")</f>
        <v/>
      </c>
      <c r="I27" s="2406">
        <f>IF(G27&gt;=$G$54,M27,"")</f>
        <v/>
      </c>
      <c r="J27" s="2406">
        <f>IF(G27&gt;=$G$54,N27,"")</f>
        <v/>
      </c>
      <c r="K27" s="2367" t="n"/>
      <c r="L27" s="2396" t="inlineStr">
        <is>
          <t xml:space="preserve">Dénigrement : lorsque la valeur ou l'autorié morale ou parentale de l’autre parent est diminuée ou discréditée aux yeux de l’enfant. </t>
        </is>
      </c>
      <c r="M27" s="2396" t="inlineStr">
        <is>
          <t xml:space="preserve">Cette section entière mérite un drapeau jaune soulevant les principes rencontrés dans les comportements de la section. </t>
        </is>
      </c>
      <c r="N27" s="2391" t="n"/>
      <c r="P27" s="90" t="n"/>
      <c r="Q27" s="90" t="n"/>
      <c r="R27" s="90" t="n"/>
      <c r="S27" s="90" t="n"/>
      <c r="T27" s="90" t="n"/>
    </row>
    <row r="28" ht="17" customHeight="1" s="2456">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5">
        <f>IF(G28="","",IF(OR(G28&gt;$G$37,G28&gt;20),"à inclure",""))</f>
        <v/>
      </c>
      <c r="I28" s="2405">
        <f>IF(G28="","",IF(OR(G28&gt;$G$37,G28&gt;20),M28,""))</f>
        <v/>
      </c>
      <c r="J28" s="2405">
        <f>IF(G28="","",IF(OR(G28&gt;$G$37,G28&gt;20),N28,""))</f>
        <v/>
      </c>
      <c r="K28" s="90" t="n"/>
      <c r="L28" s="2399" t="n"/>
      <c r="M28" s="2394" t="n"/>
      <c r="N28" s="2390" t="n"/>
      <c r="P28" s="90" t="n"/>
      <c r="Q28" s="90" t="n"/>
      <c r="R28" s="90" t="n"/>
      <c r="S28" s="90" t="n"/>
      <c r="T28" s="90" t="n"/>
    </row>
    <row r="29" ht="17" customHeight="1" s="2456">
      <c r="A29" t="inlineStr">
        <is>
          <t>PCR09</t>
        </is>
      </c>
      <c r="B29">
        <f>BIBLE!V62</f>
        <v/>
      </c>
      <c r="C29">
        <f>BIBLE!R62</f>
        <v/>
      </c>
      <c r="E29" s="2457" t="n"/>
      <c r="F29" s="1714">
        <f>IF(Test_Bible!B136="","",Test_Bible!Q136)</f>
        <v/>
      </c>
      <c r="G29" s="2174">
        <f>IF(AND(D29="",E29="",F29=""),"",MAX(D29,E29)+F29)</f>
        <v/>
      </c>
      <c r="H29" s="2405">
        <f>IF(G29="","",IF(OR(G29&gt;$G$37,G29&gt;20),"à inclure",""))</f>
        <v/>
      </c>
      <c r="I29" s="2405">
        <f>IF(G29="","",IF(OR(G29&gt;$G$37,G29&gt;20),M29,""))</f>
        <v/>
      </c>
      <c r="J29" s="2405">
        <f>IF(G29="","",IF(OR(G29&gt;$G$37,G29&gt;20),N29,""))</f>
        <v/>
      </c>
      <c r="K29" s="90" t="n"/>
      <c r="L29" s="2399" t="n"/>
      <c r="M29" s="2394" t="n"/>
      <c r="N29" s="2390" t="n"/>
      <c r="P29" s="90" t="n"/>
      <c r="Q29" s="90" t="n"/>
      <c r="R29" s="90" t="n"/>
      <c r="S29" s="90" t="n"/>
      <c r="T29" s="90" t="n"/>
    </row>
    <row r="30" ht="17" customHeight="1" s="2456">
      <c r="A30" t="inlineStr">
        <is>
          <t>PFA16 &amp; NC07</t>
        </is>
      </c>
      <c r="B30">
        <f>BIBLE!V107</f>
        <v/>
      </c>
      <c r="C30" s="55">
        <f>BIBLE!R107</f>
        <v/>
      </c>
      <c r="D30" s="6">
        <f>IF(Test_Bible!B193="","",Test_Bible!Q193)</f>
        <v/>
      </c>
      <c r="E30" s="90">
        <f>IF(Test_Bible!B417="","",Test_Bible!Q417)</f>
        <v/>
      </c>
      <c r="F30" s="1711" t="n"/>
      <c r="G30" s="11">
        <f>IF(AND(D30="",E30="",F30=""),"",MAX(D30,E30)+F30)</f>
        <v/>
      </c>
      <c r="H30" s="2405">
        <f>IF(G30="","",IF(OR(G30&gt;$G$37,G30&gt;20),"à inclure",""))</f>
        <v/>
      </c>
      <c r="I30" s="2405">
        <f>IF(G30="","",IF(OR(G30&gt;$G$37,G30&gt;20),M30,""))</f>
        <v/>
      </c>
      <c r="J30" s="2405">
        <f>IF(G30="","",IF(OR(G30&gt;$G$37,G30&gt;20),N30,""))</f>
        <v/>
      </c>
      <c r="K30" s="90" t="n"/>
      <c r="L30" s="2399" t="n"/>
      <c r="M30" s="2401" t="n"/>
      <c r="N30" s="2390" t="n"/>
      <c r="P30" s="90" t="n"/>
      <c r="Q30" s="90" t="n"/>
      <c r="R30" s="90" t="n"/>
      <c r="S30" s="90" t="n"/>
      <c r="T30" s="90" t="n"/>
    </row>
    <row r="31" ht="17" customHeight="1" s="2456">
      <c r="A31" t="inlineStr">
        <is>
          <t>PFA16a</t>
        </is>
      </c>
      <c r="B31">
        <f>BIBLE!V108</f>
        <v/>
      </c>
      <c r="C31" s="55">
        <f>BIBLE!R108</f>
        <v/>
      </c>
      <c r="D31" s="6">
        <f>IF(Test_Bible!B194="","",Test_Bible!Q194)</f>
        <v/>
      </c>
      <c r="F31" s="1711" t="n"/>
      <c r="G31" s="11">
        <f>IF(AND(D31="",E31="",F31=""),"",MAX(D31,E31)+F31)</f>
        <v/>
      </c>
      <c r="H31" s="2405">
        <f>IF(G31="","",IF(OR(G31&gt;$G$37,G31&gt;20),"à inclure",""))</f>
        <v/>
      </c>
      <c r="I31" s="2405">
        <f>IF(G31="","",IF(OR(G31&gt;$G$37,G31&gt;20),M31,""))</f>
        <v/>
      </c>
      <c r="J31" s="2405">
        <f>IF(G31="","",IF(OR(G31&gt;$G$37,G31&gt;20),N31,""))</f>
        <v/>
      </c>
      <c r="K31" s="90" t="n"/>
      <c r="L31" s="2399" t="n"/>
      <c r="M31" s="2394" t="n"/>
      <c r="N31" s="2390" t="n"/>
      <c r="P31" s="90" t="n"/>
      <c r="Q31" s="90" t="n"/>
      <c r="R31" s="90" t="n"/>
      <c r="S31" s="90" t="n"/>
      <c r="T31" s="90" t="n"/>
    </row>
    <row r="32" ht="17" customHeight="1" s="2456">
      <c r="A32" t="inlineStr">
        <is>
          <t>PFA16b</t>
        </is>
      </c>
      <c r="B32">
        <f>BIBLE!V109</f>
        <v/>
      </c>
      <c r="C32" s="55">
        <f>BIBLE!R109</f>
        <v/>
      </c>
      <c r="D32" s="6">
        <f>IF(Test_Bible!B195="","",Test_Bible!Q195)</f>
        <v/>
      </c>
      <c r="F32" s="1711" t="n"/>
      <c r="G32" s="11">
        <f>IF(AND(D32="",E32="",F32=""),"",MAX(D32,E32)+F32)</f>
        <v/>
      </c>
      <c r="H32" s="2405">
        <f>IF(G32="","",IF(OR(G32&gt;$G$37,G32&gt;20),"à inclure",""))</f>
        <v/>
      </c>
      <c r="I32" s="2405">
        <f>IF(G32="","",IF(OR(G32&gt;$G$37,G32&gt;20),M32,""))</f>
        <v/>
      </c>
      <c r="J32" s="2405">
        <f>IF(G32="","",IF(OR(G32&gt;$G$37,G32&gt;20),N32,""))</f>
        <v/>
      </c>
      <c r="K32" s="90" t="n"/>
      <c r="L32" s="2399" t="n"/>
      <c r="M32" s="2401" t="n"/>
      <c r="N32" s="2390" t="n"/>
      <c r="P32" s="90" t="n"/>
      <c r="Q32" s="90" t="n"/>
      <c r="R32" s="90" t="n"/>
      <c r="S32" s="90" t="n"/>
      <c r="T32" s="90" t="n"/>
    </row>
    <row r="33" ht="340" customHeight="1" s="2456">
      <c r="A33" t="inlineStr">
        <is>
          <t>PFA16b1 &amp; NC07a</t>
        </is>
      </c>
      <c r="B33">
        <f>BIBLE!V110</f>
        <v/>
      </c>
      <c r="C33" s="55">
        <f>BIBLE!R110</f>
        <v/>
      </c>
      <c r="D33" s="6">
        <f>IF(Test_Bible!B196="","",Test_Bible!Q196)</f>
        <v/>
      </c>
      <c r="E33" s="90">
        <f>IF(Test_Bible!B418="","",Test_Bible!Q418)</f>
        <v/>
      </c>
      <c r="F33" s="1711" t="n"/>
      <c r="G33" s="11">
        <f>IF(AND(D33="",E33="",F33=""),"",MAX(D33,E33)+F33)</f>
        <v/>
      </c>
      <c r="H33" s="2405">
        <f>IF(G33="","",IF(OR(G33&gt;$G$37,G33&gt;20),"à inclure",""))</f>
        <v/>
      </c>
      <c r="I33" s="2405">
        <f>IF(G33="","",IF(OR(G33&gt;$G$37,G33&gt;20),M33,""))</f>
        <v/>
      </c>
      <c r="J33" s="2446">
        <f>IF(G33="","",IF(OR(G33&gt;$G$37,G33&gt;20),N33,""))</f>
        <v/>
      </c>
      <c r="K33" s="90" t="n"/>
      <c r="L33" s="2399" t="n"/>
      <c r="M33" s="2394" t="n"/>
      <c r="N33" s="2225"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s="2456">
      <c r="A34" t="inlineStr">
        <is>
          <t>PFA17 &amp; NC09</t>
        </is>
      </c>
      <c r="B34">
        <f>BIBLE!V111</f>
        <v/>
      </c>
      <c r="C34" s="55">
        <f>BIBLE!R111</f>
        <v/>
      </c>
      <c r="D34" s="6">
        <f>IF(Test_Bible!B197="","",Test_Bible!Q197)</f>
        <v/>
      </c>
      <c r="E34" s="90">
        <f>IF(Test_Bible!B419="","",Test_Bible!Q419)</f>
        <v/>
      </c>
      <c r="F34" s="1711" t="n"/>
      <c r="G34" s="11">
        <f>IF(AND(D34="",E34="",F34=""),"",MAX(D34,E34)+F34)</f>
        <v/>
      </c>
      <c r="H34" s="2405">
        <f>IF(G34="","",IF(OR(G34&gt;$G$37,G34&gt;20),"à inclure",""))</f>
        <v/>
      </c>
      <c r="I34" s="2405">
        <f>IF(G34="","",IF(OR(G34&gt;$G$37,G34&gt;20),M34,""))</f>
        <v/>
      </c>
      <c r="J34" s="2405">
        <f>IF(G34="","",IF(OR(G34&gt;$G$37,G34&gt;20),N34,""))</f>
        <v/>
      </c>
      <c r="K34" s="90" t="n"/>
      <c r="L34" s="2399" t="n"/>
      <c r="M34" s="2394" t="n"/>
      <c r="N34" s="2390" t="n"/>
      <c r="P34" s="90" t="n"/>
      <c r="Q34" s="90" t="n"/>
      <c r="R34" s="90" t="n"/>
      <c r="S34" s="90" t="n"/>
      <c r="T34" s="90" t="n"/>
    </row>
    <row r="35" ht="51" customHeight="1" s="2456">
      <c r="A35" t="inlineStr">
        <is>
          <t>PFA19a &amp; NC13</t>
        </is>
      </c>
      <c r="B35">
        <f>BIBLE!V114</f>
        <v/>
      </c>
      <c r="C35" s="55">
        <f>BIBLE!R114</f>
        <v/>
      </c>
      <c r="D35" s="6">
        <f>IF(Test_Bible!B200="","",Test_Bible!Q200)</f>
        <v/>
      </c>
      <c r="E35" s="90">
        <f>IF(Test_Bible!B423="","",Test_Bible!Q423)</f>
        <v/>
      </c>
      <c r="F35" s="1711" t="n"/>
      <c r="G35" s="11">
        <f>IF(AND(D35="",E35="",F35=""),"",MAX(D35,E35)+F35)</f>
        <v/>
      </c>
      <c r="H35" s="2405">
        <f>IF(G35="","",IF(OR(G35&gt;$G$37,G35&gt;20),"à inclure",""))</f>
        <v/>
      </c>
      <c r="I35" s="2405">
        <f>IF(G35="","",IF(OR(G35&gt;$G$37,G35&gt;20),M35,""))</f>
        <v/>
      </c>
      <c r="J35" s="2405">
        <f>IF(G35="","",IF(OR(G35&gt;$G$37,G35&gt;20),N35,""))</f>
        <v/>
      </c>
      <c r="K35" s="90" t="n"/>
      <c r="L35" s="2399" t="n"/>
      <c r="M35" s="2394" t="n"/>
      <c r="N35" s="2390" t="inlineStr">
        <is>
          <t>Ce comportement mérite un DRAPEAU ROUGE. Lorem ipsum dolor sit amet. Id voluptatem galisum.</t>
        </is>
      </c>
      <c r="P35" s="90" t="n"/>
      <c r="Q35" s="90" t="n"/>
      <c r="R35" s="90" t="n"/>
      <c r="S35" s="90" t="n"/>
      <c r="T35" s="90" t="n"/>
    </row>
    <row r="36" ht="17" customHeight="1" s="2456">
      <c r="A36" s="2490" t="inlineStr">
        <is>
          <t>PFA20a &amp; NC10</t>
        </is>
      </c>
      <c r="B36" s="2490">
        <f>BIBLE!V116</f>
        <v/>
      </c>
      <c r="C36" s="1708">
        <f>BIBLE!R116</f>
        <v/>
      </c>
      <c r="D36" s="1710">
        <f>IF(Test_Bible!B202="","",Test_Bible!Q202)</f>
        <v/>
      </c>
      <c r="E36" s="1709">
        <f>IF(Test_Bible!B420="","",Test_Bible!Q420)</f>
        <v/>
      </c>
      <c r="F36" s="1712" t="n"/>
      <c r="G36" s="11">
        <f>IF(AND(D36="",E36="",F36=""),"",MAX(D36,E36)+F36)</f>
        <v/>
      </c>
      <c r="H36" s="2405">
        <f>IF(G36="","",IF(OR(G36&gt;$G$37,G36&gt;20),"à inclure",""))</f>
        <v/>
      </c>
      <c r="I36" s="2405">
        <f>IF(G36="","",IF(OR(G36&gt;$G$37,G36&gt;20),M36,""))</f>
        <v/>
      </c>
      <c r="J36" s="2405">
        <f>IF(G36="","",IF(OR(G36&gt;$G$37,G36&gt;20),N36,""))</f>
        <v/>
      </c>
      <c r="K36" s="90" t="n"/>
      <c r="L36" s="2399" t="n"/>
      <c r="M36" s="2394" t="n"/>
      <c r="N36" s="2390" t="n"/>
      <c r="P36" s="90" t="n"/>
      <c r="Q36" s="90" t="n"/>
      <c r="R36" s="90" t="n"/>
      <c r="S36" s="90" t="n"/>
      <c r="T36" s="90" t="n"/>
    </row>
    <row r="37" ht="44" customHeight="1" s="2456">
      <c r="C37" s="55" t="n"/>
      <c r="E37" s="90" t="n"/>
      <c r="G37" s="2381">
        <f>AVERAGE(G28:G36)</f>
        <v/>
      </c>
      <c r="H37" s="2406">
        <f>IF(G37&gt;=$G$54,HLOOKUP(1,$L$8:$L$56,30),"")</f>
        <v/>
      </c>
      <c r="I37" s="2406">
        <f>IF(G37&gt;=$G$54,M37,"")</f>
        <v/>
      </c>
      <c r="J37" s="2406">
        <f>IF(G37&gt;=$G$54,N37,"")</f>
        <v/>
      </c>
      <c r="K37" s="2367" t="n"/>
      <c r="L37" s="2396" t="inlineStr">
        <is>
          <t xml:space="preserve">Interférence temps ou communication : lorsqu’un parent s’impose directement ou indirectement durant le temps parental de l’autre parent. </t>
        </is>
      </c>
      <c r="M37" s="2396" t="inlineStr">
        <is>
          <t xml:space="preserve">Cette section entière mérite un drapeau jaune soulevant les principes rencontrés dans les comportements de la section. </t>
        </is>
      </c>
      <c r="N37" s="2391" t="n"/>
      <c r="P37" s="90" t="n"/>
      <c r="Q37" s="90" t="n"/>
      <c r="R37" s="90" t="n"/>
      <c r="S37" s="90" t="n"/>
      <c r="T37" s="90" t="n"/>
    </row>
    <row r="38" ht="17" customHeight="1" s="2456">
      <c r="A38" t="inlineStr">
        <is>
          <t>PFA40</t>
        </is>
      </c>
      <c r="B38">
        <f>BIBLE!V120</f>
        <v/>
      </c>
      <c r="C38" s="55">
        <f>BIBLE!R120</f>
        <v/>
      </c>
      <c r="D38" s="6">
        <f>IF(Test_Bible!B206="","",Test_Bible!Q206)</f>
        <v/>
      </c>
      <c r="F38" s="1711" t="n"/>
      <c r="G38" s="11">
        <f>IF(AND(D38="",E38="",F38=""),"",MAX(D38,E38)+F38)</f>
        <v/>
      </c>
      <c r="H38" s="2405">
        <f>IF(G38="","",IF(OR(G38&gt;$G$43,G38&gt;20),"à inclure",""))</f>
        <v/>
      </c>
      <c r="I38" s="2405">
        <f>IF(G38="","",IF(OR(G38&gt;$G$43,G38&gt;20),M38,""))</f>
        <v/>
      </c>
      <c r="J38" s="2405">
        <f>IF(G38="","",IF(OR(G38&gt;$G$43,G38&gt;20),N38,""))</f>
        <v/>
      </c>
      <c r="K38" s="90" t="n"/>
      <c r="L38" s="2399" t="n"/>
      <c r="M38" s="2394" t="n"/>
      <c r="N38" s="2390" t="n"/>
      <c r="P38" s="90" t="n"/>
      <c r="Q38" s="90" t="n"/>
      <c r="R38" s="90" t="n"/>
      <c r="S38" s="90" t="n"/>
      <c r="T38" s="90" t="n"/>
    </row>
    <row r="39" ht="34" customHeight="1" s="2456">
      <c r="A39" t="inlineStr">
        <is>
          <t>PFA27</t>
        </is>
      </c>
      <c r="B39">
        <f>BIBLE!V128</f>
        <v/>
      </c>
      <c r="C39" s="55">
        <f>BIBLE!R128</f>
        <v/>
      </c>
      <c r="D39" s="6">
        <f>IF(Test_Bible!B217="","",Test_Bible!Q217)</f>
        <v/>
      </c>
      <c r="F39" s="1711" t="n"/>
      <c r="G39" s="11">
        <f>IF(AND(D39="",E39="",F39=""),"",MAX(D39,E39)+F39)</f>
        <v/>
      </c>
      <c r="H39" s="2405">
        <f>IF(G39="","",IF(OR(G39&gt;$G$43,G39&gt;20),"à inclure",""))</f>
        <v/>
      </c>
      <c r="I39" s="2405">
        <f>IF(G39="","",IF(OR(G39&gt;$G$43,G39&gt;20),M39,""))</f>
        <v/>
      </c>
      <c r="J39" s="2405">
        <f>IF(G39="","",IF(OR(G39&gt;$G$43,G39&gt;20),N39,""))</f>
        <v/>
      </c>
      <c r="K39" s="90" t="n"/>
      <c r="L39" s="2399" t="n"/>
      <c r="M39" s="2394" t="n"/>
      <c r="N39" s="2390" t="inlineStr">
        <is>
          <t>Ce comportement mérite un DRAPEAU ROUGE. Lorem ipsum dolor sit amet. Id voluptatem galisum.</t>
        </is>
      </c>
      <c r="P39" s="90" t="n"/>
      <c r="Q39" s="90" t="n"/>
      <c r="R39" s="90" t="n"/>
      <c r="S39" s="90" t="n"/>
      <c r="T39" s="90" t="n"/>
    </row>
    <row r="40" ht="34" customHeight="1" s="2456">
      <c r="A40" t="inlineStr">
        <is>
          <t>PFA28a</t>
        </is>
      </c>
      <c r="B40">
        <f>BIBLE!V130</f>
        <v/>
      </c>
      <c r="C40" s="55">
        <f>BIBLE!R130</f>
        <v/>
      </c>
      <c r="D40" s="6">
        <f>IF(Test_Bible!B219="","",Test_Bible!Q219)</f>
        <v/>
      </c>
      <c r="F40" s="1711" t="n"/>
      <c r="G40" s="11">
        <f>IF(AND(D40="",E40="",F40=""),"",MAX(D40,E40)+F40)</f>
        <v/>
      </c>
      <c r="H40" s="2405">
        <f>IF(G40="","",IF(OR(G40&gt;$G$43,G40&gt;20),"à inclure",""))</f>
        <v/>
      </c>
      <c r="I40" s="2405">
        <f>IF(G40="","",IF(OR(G40&gt;$G$43,G40&gt;20),M40,""))</f>
        <v/>
      </c>
      <c r="J40" s="2405">
        <f>IF(G40="","",IF(OR(G40&gt;$G$43,G40&gt;20),N40,""))</f>
        <v/>
      </c>
      <c r="K40" s="90" t="n"/>
      <c r="L40" s="2399" t="n"/>
      <c r="M40" s="2394" t="n"/>
      <c r="N40" s="2390" t="inlineStr">
        <is>
          <t>Ce comportement mérite un DRAPEAU ROUGE. Lorem ipsum dolor sit amet. Id voluptatem galisum.</t>
        </is>
      </c>
      <c r="P40" s="90" t="n"/>
      <c r="Q40" s="90" t="n"/>
      <c r="R40" s="90" t="n"/>
      <c r="S40" s="90" t="n"/>
      <c r="T40" s="90" t="n"/>
    </row>
    <row r="41" ht="17" customHeight="1" s="2456">
      <c r="A41" t="inlineStr">
        <is>
          <t>PFA30</t>
        </is>
      </c>
      <c r="B41">
        <f>BIBLE!V135</f>
        <v/>
      </c>
      <c r="C41" s="55">
        <f>BIBLE!R135</f>
        <v/>
      </c>
      <c r="D41" s="6">
        <f>IF(Test_Bible!B234="","",Test_Bible!Q234)</f>
        <v/>
      </c>
      <c r="F41" s="1711" t="n"/>
      <c r="G41" s="11">
        <f>IF(AND(D41="",E41="",F41=""),"",MAX(D41,E41)+F41)</f>
        <v/>
      </c>
      <c r="H41" s="2405">
        <f>IF(G41="","",IF(OR(G41&gt;$G$43,G41&gt;20),"à inclure",""))</f>
        <v/>
      </c>
      <c r="I41" s="2405">
        <f>IF(G41="","",IF(OR(G41&gt;$G$43,G41&gt;20),M41,""))</f>
        <v/>
      </c>
      <c r="J41" s="2405">
        <f>IF(G41="","",IF(OR(G41&gt;$G$43,G41&gt;20),N41,""))</f>
        <v/>
      </c>
      <c r="K41" s="90" t="n"/>
      <c r="L41" s="2399" t="n"/>
      <c r="M41" s="2394" t="n"/>
      <c r="N41" s="2390" t="n"/>
      <c r="P41" s="90" t="n"/>
      <c r="Q41" s="90" t="n"/>
      <c r="R41" s="90" t="n"/>
      <c r="S41" s="90" t="n"/>
      <c r="T41" s="90" t="n"/>
    </row>
    <row r="42" ht="34" customHeight="1" s="2456">
      <c r="A42" s="2490" t="inlineStr">
        <is>
          <t>NC14</t>
        </is>
      </c>
      <c r="B42" s="2490">
        <f>BIBLE!V232</f>
        <v/>
      </c>
      <c r="C42" s="1708">
        <f>BIBLE!R232</f>
        <v/>
      </c>
      <c r="D42" s="1221" t="n"/>
      <c r="E42" s="1709">
        <f>IF(Test_Bible!B424="","",Test_Bible!Q424)</f>
        <v/>
      </c>
      <c r="F42" s="1712" t="n"/>
      <c r="G42" s="11">
        <f>IF(AND(D42="",E42="",F42=""),"",MAX(D42,E42)+F42)</f>
        <v/>
      </c>
      <c r="H42" s="2405">
        <f>IF(G42="","",IF(OR(G42&gt;$G$43,G42&gt;20),"à inclure",""))</f>
        <v/>
      </c>
      <c r="I42" s="2405">
        <f>IF(G42="","",IF(OR(G42&gt;$G$43,G42&gt;20),M42,""))</f>
        <v/>
      </c>
      <c r="J42" s="2405">
        <f>IF(G42="","",IF(OR(G42&gt;$G$43,G42&gt;20),N42,""))</f>
        <v/>
      </c>
      <c r="K42" s="90" t="n"/>
      <c r="L42" s="2399" t="n"/>
      <c r="M42" s="2394" t="n"/>
      <c r="N42" s="2390" t="inlineStr">
        <is>
          <t>Ce comportement mérite un DRAPEAU ROUGE. Lorem ipsum dolor sit amet. Id voluptatem galisum.</t>
        </is>
      </c>
      <c r="P42" s="90" t="n"/>
      <c r="Q42" s="90" t="n"/>
      <c r="R42" s="90" t="n"/>
      <c r="S42" s="90" t="n"/>
      <c r="T42" s="90" t="n"/>
    </row>
    <row r="43" ht="51" customHeight="1" s="2456">
      <c r="C43" s="55" t="n"/>
      <c r="E43" s="90" t="n"/>
      <c r="G43" s="2381">
        <f>AVERAGE(G38:G42)</f>
        <v/>
      </c>
      <c r="H43" s="2406">
        <f>IF(G43&gt;=$G$54,HLOOKUP(1,$L$8:$L$56,36),"")</f>
        <v/>
      </c>
      <c r="I43" s="2406">
        <f>IF(G43&gt;=$G$54,M43,"")</f>
        <v/>
      </c>
      <c r="J43" s="2406">
        <f>IF(G43&gt;=$G$54,N43,"")</f>
        <v/>
      </c>
      <c r="K43" s="2367" t="n"/>
      <c r="L43" s="2396"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396" t="inlineStr">
        <is>
          <t xml:space="preserve">Cette section entière mérite un drapeau jaune soulevant les principes rencontrés dans les comportements de la section. </t>
        </is>
      </c>
      <c r="N43" s="2391" t="n"/>
      <c r="P43" s="90" t="n"/>
      <c r="Q43" s="90" t="n"/>
      <c r="R43" s="90" t="n"/>
      <c r="S43" s="90" t="n"/>
      <c r="T43" s="90" t="n"/>
    </row>
    <row r="44" ht="17" customHeight="1" s="2456">
      <c r="A44" t="inlineStr">
        <is>
          <t>PCR15</t>
        </is>
      </c>
      <c r="B44">
        <f>BIBLE!V70</f>
        <v/>
      </c>
      <c r="C44">
        <f>BIBLE!R70</f>
        <v/>
      </c>
      <c r="E44" s="2457" t="n"/>
      <c r="F44" s="1714">
        <f>IF(Test_Bible!B151="","",Test_Bible!Q151)</f>
        <v/>
      </c>
      <c r="G44" s="2174">
        <f>IF(AND(D44="",E44="",F44=""),"",MAX(D44,E44)+F44)</f>
        <v/>
      </c>
      <c r="H44" s="2405">
        <f>IF(G44="","",IF(OR(G44&gt;$G$48,G44&gt;20),"à inclure",""))</f>
        <v/>
      </c>
      <c r="I44" s="2405">
        <f>IF(G44="","",IF(OR(G44&gt;$G$48,G44&gt;20),M44,""))</f>
        <v/>
      </c>
      <c r="J44" s="2405">
        <f>IF(G44="","",IF(OR(G44&gt;$G$48,G44&gt;20),N44,""))</f>
        <v/>
      </c>
      <c r="K44" s="90" t="n"/>
      <c r="L44" s="2399" t="n"/>
      <c r="M44" s="2394" t="n"/>
      <c r="N44" s="2390" t="n"/>
      <c r="P44" s="90" t="n"/>
      <c r="Q44" s="90" t="n"/>
      <c r="R44" s="90" t="n"/>
      <c r="S44" s="90" t="n"/>
      <c r="T44" s="90" t="n"/>
    </row>
    <row r="45" ht="17" customHeight="1" s="2456">
      <c r="A45" t="inlineStr">
        <is>
          <t>PCR16a &amp; PFA31a</t>
        </is>
      </c>
      <c r="B45">
        <f>BIBLE!V73</f>
        <v/>
      </c>
      <c r="C45" s="55">
        <f>BIBLE!R73</f>
        <v/>
      </c>
      <c r="D45" s="6">
        <f>IF(Test_Bible!B244="","",Test_Bible!Q244)</f>
        <v/>
      </c>
      <c r="E45" s="2457" t="n"/>
      <c r="F45" s="1714">
        <f>IF(Test_Bible!B155="","",Test_Bible!Q155)</f>
        <v/>
      </c>
      <c r="G45" s="2174">
        <f>IF(AND(D45="",E45="",F45=""),"",MAX(D45,E45)+F45)</f>
        <v/>
      </c>
      <c r="H45" s="2405">
        <f>IF(G45="","",IF(OR(G45&gt;$G$48,G45&gt;20),"à inclure",""))</f>
        <v/>
      </c>
      <c r="I45" s="2405">
        <f>IF(G45="","",IF(OR(G45&gt;$G$48,G45&gt;20),M45,""))</f>
        <v/>
      </c>
      <c r="J45" s="2405">
        <f>IF(G45="","",IF(OR(G45&gt;$G$48,G45&gt;20),N45,""))</f>
        <v/>
      </c>
      <c r="K45" s="90" t="n"/>
      <c r="L45" s="2399" t="n"/>
      <c r="M45" s="2394" t="n"/>
      <c r="N45" s="2390" t="n"/>
      <c r="P45" s="90" t="n"/>
      <c r="Q45" s="90" t="n"/>
      <c r="R45" s="90" t="n"/>
      <c r="S45" s="90" t="n"/>
      <c r="T45" s="90" t="n"/>
    </row>
    <row r="46" ht="34" customHeight="1" s="2456">
      <c r="A46" t="inlineStr">
        <is>
          <t>PFA31a1</t>
        </is>
      </c>
      <c r="B46">
        <f>BIBLE!V141</f>
        <v/>
      </c>
      <c r="C46" s="55">
        <f>BIBLE!R141</f>
        <v/>
      </c>
      <c r="D46" s="6">
        <f>IF(Test_Bible!B245="","",Test_Bible!Q245)</f>
        <v/>
      </c>
      <c r="F46" s="1711" t="n"/>
      <c r="G46" s="11">
        <f>IF(AND(D46="",E46="",F46=""),"",MAX(D46,E46)+F46)</f>
        <v/>
      </c>
      <c r="H46" s="2405">
        <f>IF(G46="","",IF(OR(G46&gt;$G$48,G46&gt;20),"à inclure",""))</f>
        <v/>
      </c>
      <c r="I46" s="2405">
        <f>IF(G46="","",IF(OR(G46&gt;$G$48,G46&gt;20),M46,""))</f>
        <v/>
      </c>
      <c r="J46" s="2405">
        <f>IF(G46="","",IF(OR(G46&gt;$G$48,G46&gt;20),N46,""))</f>
        <v/>
      </c>
      <c r="K46" s="90" t="n"/>
      <c r="L46" s="2399" t="n"/>
      <c r="M46" s="2394" t="n"/>
      <c r="N46" s="2394" t="inlineStr">
        <is>
          <t>Il s'agit d'un cmpt souvent inconscient ou involontaire, mais … Ce comportement mérite un DRAPEAU JAUNE.</t>
        </is>
      </c>
      <c r="P46" s="90" t="n"/>
      <c r="Q46" s="90" t="n"/>
      <c r="R46" s="90" t="n"/>
      <c r="S46" s="90" t="n"/>
      <c r="T46" s="90" t="n"/>
    </row>
    <row r="47" ht="17" customHeight="1" s="2456">
      <c r="A47" s="2490" t="inlineStr">
        <is>
          <t>PFA32</t>
        </is>
      </c>
      <c r="B47" s="2490">
        <f>BIBLE!V142</f>
        <v/>
      </c>
      <c r="C47" s="1708">
        <f>BIBLE!R142</f>
        <v/>
      </c>
      <c r="D47" s="6">
        <f>IF(Test_Bible!B246="","",Test_Bible!Q246)</f>
        <v/>
      </c>
      <c r="E47" s="2490" t="n"/>
      <c r="F47" s="1712" t="n"/>
      <c r="G47" s="11">
        <f>IF(AND(D47="",E47="",F47=""),"",MAX(D47,E47)+F47)</f>
        <v/>
      </c>
      <c r="H47" s="2405">
        <f>IF(G47="","",IF(OR(G47&gt;$G$48,G47&gt;20),"à inclure",""))</f>
        <v/>
      </c>
      <c r="I47" s="2405">
        <f>IF(G47="","",IF(OR(G47&gt;$G$48,G47&gt;20),M47,""))</f>
        <v/>
      </c>
      <c r="J47" s="2405">
        <f>IF(G47="","",IF(OR(G47&gt;$G$48,G47&gt;20),N47,""))</f>
        <v/>
      </c>
      <c r="K47" s="90" t="n"/>
      <c r="L47" s="2399" t="n"/>
      <c r="M47" s="2394" t="n"/>
      <c r="N47" s="2392" t="n"/>
      <c r="P47" s="90" t="n"/>
      <c r="Q47" s="90" t="n"/>
      <c r="R47" s="90" t="n"/>
      <c r="S47" s="90" t="n"/>
      <c r="T47" s="90" t="n"/>
    </row>
    <row r="48" ht="44" customHeight="1" s="2456">
      <c r="C48" s="55" t="n"/>
      <c r="D48" s="6" t="n"/>
      <c r="G48" s="2381">
        <f>AVERAGE(G44:G47)</f>
        <v/>
      </c>
      <c r="H48" s="2406">
        <f>IF(G48&gt;=$G$54,HLOOKUP(1,$L$8:$L$56,41),"")</f>
        <v/>
      </c>
      <c r="I48" s="2406">
        <f>IF(G48&gt;=$G$54,M48,"")</f>
        <v/>
      </c>
      <c r="J48" s="2406">
        <f>IF(G48&gt;=$G$54,N48,"")</f>
        <v/>
      </c>
      <c r="K48" s="2367" t="n"/>
      <c r="L48" s="2400" t="inlineStr">
        <is>
          <t xml:space="preserve">Parentification : (en résumé) lorsque les rôles parent-enfant sont inversé et où l’enfant est appelé à accueillir des responsabilités d’adultes ou à être responsable du bien-être de son parent. </t>
        </is>
      </c>
      <c r="M48" s="2396" t="inlineStr">
        <is>
          <t xml:space="preserve">Cette section entière mérite un drapeau jaune soulevant les principes rencontrés dans les comportements de la section. </t>
        </is>
      </c>
      <c r="N48" s="2391" t="n"/>
      <c r="P48" s="90" t="n"/>
      <c r="Q48" s="90" t="n"/>
      <c r="R48" s="90" t="n"/>
      <c r="S48" s="90" t="n"/>
      <c r="T48" s="90" t="n"/>
    </row>
    <row r="49" ht="51" customHeight="1" s="2456">
      <c r="A49" t="inlineStr">
        <is>
          <t>PFA03</t>
        </is>
      </c>
      <c r="B49">
        <f>BIBLE!V84</f>
        <v/>
      </c>
      <c r="C49" s="55">
        <f>BIBLE!R84</f>
        <v/>
      </c>
      <c r="D49" s="6">
        <f>IF(Test_Bible!B170="","",Test_Bible!Q170)</f>
        <v/>
      </c>
      <c r="F49" s="1711" t="n"/>
      <c r="G49" s="2174">
        <f>IF(AND(D49="",E49="",F49=""),"",MAX(D49,E49)+F49)</f>
        <v/>
      </c>
      <c r="H49" s="2405">
        <f>IF(G49="","",IF(OR(G49&gt;$G$53,G49&gt;20),"à inclure",""))</f>
        <v/>
      </c>
      <c r="I49" s="2405">
        <f>IF(G49="","",IF(OR(G49&gt;$G$53,G49&gt;20),M49,""))</f>
        <v/>
      </c>
      <c r="J49" s="2405">
        <f>IF(G49="","",IF(OR(G49&gt;$G$53,G49&gt;20),N49,""))</f>
        <v/>
      </c>
      <c r="K49" s="90" t="n"/>
      <c r="L49" s="2399" t="n"/>
      <c r="M49" s="2394" t="n"/>
      <c r="N49" s="2225" t="inlineStr">
        <is>
          <t>Ce comportement mérite un DRAPEAU ROUGE. Lorem ipsum dolor sit amet. Id voluptatem galisum.</t>
        </is>
      </c>
      <c r="P49" s="90" t="n"/>
      <c r="S49" s="90" t="n"/>
      <c r="T49" s="90" t="n"/>
    </row>
    <row r="50" ht="34" customHeight="1" s="2456">
      <c r="A50" t="inlineStr">
        <is>
          <t>PFA33</t>
        </is>
      </c>
      <c r="B50">
        <f>BIBLE!V143</f>
        <v/>
      </c>
      <c r="C50" s="55">
        <f>BIBLE!R143</f>
        <v/>
      </c>
      <c r="D50" s="6">
        <f>IF(Test_Bible!B247="","",Test_Bible!Q247)</f>
        <v/>
      </c>
      <c r="F50" s="1711" t="n"/>
      <c r="G50" s="11">
        <f>IF(AND(D50="",E50="",F50=""),"",MAX(D50,E50)+F50)</f>
        <v/>
      </c>
      <c r="H50" s="2405">
        <f>IF(G50="","",IF(OR(G50&gt;$G$53,G50&gt;20),"à inclure",""))</f>
        <v/>
      </c>
      <c r="I50" s="2405">
        <f>IF(G50="","",IF(OR(G50&gt;$G$53,G50&gt;20),M50,""))</f>
        <v/>
      </c>
      <c r="J50" s="2405">
        <f>IF(G50="","",IF(OR(G50&gt;$G$53,G50&gt;20),N50,""))</f>
        <v/>
      </c>
      <c r="K50" s="90" t="n"/>
      <c r="L50" s="2399" t="n"/>
      <c r="M50" s="2394" t="n"/>
      <c r="N50" s="2225" t="inlineStr">
        <is>
          <t>Ce comportement mérite un DRAPEAU ROUGE. Lorem ipsum dolor sit amet. Id voluptatem galisum.</t>
        </is>
      </c>
      <c r="P50" s="90" t="n"/>
      <c r="Q50" s="90" t="n"/>
      <c r="R50" s="90" t="n"/>
      <c r="S50" s="90" t="n"/>
      <c r="T50" s="90" t="n"/>
    </row>
    <row r="51" ht="17" customHeight="1" s="2456">
      <c r="A51" t="inlineStr">
        <is>
          <t>PFA34&amp;PCR13</t>
        </is>
      </c>
      <c r="B51">
        <f>BIBLE!V144</f>
        <v/>
      </c>
      <c r="C51" s="55">
        <f>BIBLE!R144</f>
        <v/>
      </c>
      <c r="D51" s="6">
        <f>IF(Test_Bible!B248="","",Test_Bible!Q248)</f>
        <v/>
      </c>
      <c r="F51" s="1714">
        <f>IF(Test_Bible!B149="","",Test_Bible!Q149)</f>
        <v/>
      </c>
      <c r="G51" s="11">
        <f>IF(AND(D51="",E51="",F51=""),"",MAX(D51,E51)+F51)</f>
        <v/>
      </c>
      <c r="H51" s="2405">
        <f>IF(G51="","",IF(OR(G51&gt;$G$53,G51&gt;20),"à inclure",""))</f>
        <v/>
      </c>
      <c r="I51" s="2405">
        <f>IF(G51="","",IF(OR(G51&gt;$G$53,G51&gt;20),M51,""))</f>
        <v/>
      </c>
      <c r="J51" s="2405">
        <f>IF(G51="","",IF(OR(G51&gt;$G$53,G51&gt;20),N51,""))</f>
        <v/>
      </c>
      <c r="K51" s="90" t="n"/>
      <c r="L51" s="2399" t="n"/>
      <c r="M51" s="2394" t="n"/>
      <c r="N51" s="2390" t="n"/>
      <c r="P51" s="90" t="n"/>
      <c r="Q51" s="90" t="n"/>
      <c r="R51" s="90" t="n"/>
      <c r="S51" s="90" t="n"/>
      <c r="T51" s="90" t="n"/>
    </row>
    <row r="52" ht="17" customHeight="1" s="2456">
      <c r="A52" s="2490" t="inlineStr">
        <is>
          <t>PFA35</t>
        </is>
      </c>
      <c r="B52" s="2490">
        <f>BIBLE!V145</f>
        <v/>
      </c>
      <c r="C52" s="1708">
        <f>BIBLE!R145</f>
        <v/>
      </c>
      <c r="D52" s="1710">
        <f>IF(Test_Bible!B249="","",Test_Bible!Q249)</f>
        <v/>
      </c>
      <c r="E52" s="2490" t="n"/>
      <c r="F52" s="1712" t="n"/>
      <c r="G52" s="11">
        <f>IF(AND(D52="",E52="",F52=""),"",MAX(D52,E52)+F52)</f>
        <v/>
      </c>
      <c r="H52" s="2405">
        <f>IF(G52="","",IF(OR(G52&gt;$G$53,G52&gt;20),"à inclure",""))</f>
        <v/>
      </c>
      <c r="I52" s="2405">
        <f>IF(G52="","",IF(OR(G52&gt;$G$53,G52&gt;20),M52,""))</f>
        <v/>
      </c>
      <c r="J52" s="2405">
        <f>IF(G52="","",IF(OR(G52&gt;$G$53,G52&gt;20),N52,""))</f>
        <v/>
      </c>
      <c r="K52" s="90" t="n"/>
      <c r="L52" s="2399" t="n"/>
      <c r="M52" s="2394" t="n"/>
      <c r="N52" s="2392" t="n"/>
      <c r="P52" s="90" t="n"/>
      <c r="Q52" s="90" t="n"/>
      <c r="R52" s="90" t="n"/>
      <c r="S52" s="90" t="n"/>
      <c r="T52" s="90" t="n"/>
    </row>
    <row r="53" ht="54" customHeight="1" s="2456">
      <c r="C53" s="55" t="n"/>
      <c r="D53" s="6" t="n"/>
      <c r="G53" s="2381">
        <f>AVERAGE(G49:G52)</f>
        <v/>
      </c>
      <c r="H53" s="2406">
        <f>IF(G53&gt;=$G$54,HLOOKUP(1,$L$8:$L$56,46),"")</f>
        <v/>
      </c>
      <c r="I53" s="2406">
        <f>IF(G53&gt;=$G$54,M53,"")</f>
        <v/>
      </c>
      <c r="J53" s="2406">
        <f>IF(G53&gt;=$G$54,N53,"")</f>
        <v/>
      </c>
      <c r="K53" s="2367" t="n"/>
      <c r="L53" s="2396" t="inlineStr">
        <is>
          <t xml:space="preserve">Rôle actif de l’enfant : Lorsque l’enfant est appelé à jouer un rôle dans le conflit parental. </t>
        </is>
      </c>
      <c r="M53" s="2396" t="inlineStr">
        <is>
          <t xml:space="preserve">Cette section entière mérite un drapeau jaune soulevant les principes rencontrés dans les comportements de la section. </t>
        </is>
      </c>
      <c r="N53" s="2391" t="n"/>
      <c r="P53" s="90" t="n"/>
      <c r="Q53" s="90" t="n"/>
      <c r="R53" s="90" t="n"/>
      <c r="S53" s="90" t="n"/>
      <c r="T53" s="90" t="n"/>
    </row>
    <row r="54" ht="32" customHeight="1" s="2456">
      <c r="D54" s="6">
        <f>SUM(D9:D52)</f>
        <v/>
      </c>
      <c r="E54" s="6">
        <f>SUM(E9:E52)</f>
        <v/>
      </c>
      <c r="F54" s="6">
        <f>SUM(F9:F52)</f>
        <v/>
      </c>
      <c r="G54" s="6">
        <f>(AVERAGE(G9:G14)+AVERAGE(G16:G21)+AVERAGE(G23:G26)+AVERAGE(G28:G36)+AVERAGE(G38:G42)+AVERAGE(G44:G47)+AVERAGE(G49:G52))/7</f>
        <v/>
      </c>
      <c r="H54" s="67" t="n"/>
      <c r="I54" s="67" t="n"/>
      <c r="J54" s="67" t="n"/>
      <c r="K54" s="6" t="n"/>
      <c r="M54" s="54" t="n"/>
      <c r="N54" s="2393" t="n"/>
      <c r="O54" s="2457" t="n"/>
      <c r="P54" s="90" t="n"/>
      <c r="Q54" s="90" t="n"/>
      <c r="R54" s="90" t="n"/>
      <c r="S54" s="90" t="n"/>
      <c r="T54" s="90" t="n"/>
    </row>
    <row r="55" ht="76" customHeight="1" s="2456">
      <c r="C55" s="55" t="n"/>
      <c r="H55" s="1811">
        <f>L55</f>
        <v/>
      </c>
      <c r="K55" s="2469" t="inlineStr">
        <is>
          <t>Conseils généraux (Autres)</t>
        </is>
      </c>
      <c r="L55" s="2123" t="n"/>
    </row>
    <row r="56" ht="81" customHeight="1" s="2456">
      <c r="A56" s="291" t="n"/>
      <c r="C56" s="55" t="n"/>
      <c r="H56" s="2517" t="n"/>
      <c r="K56" s="2457" t="inlineStr">
        <is>
          <t>Références</t>
        </is>
      </c>
      <c r="L56" s="2389"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s="2456">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57" min="7" max="7"/>
    <col width="8.33203125" customWidth="1" style="2457" min="8" max="8"/>
    <col width="7.1640625" customWidth="1" style="2457" min="9" max="9"/>
    <col width="10.5" customWidth="1" style="2457" min="10" max="10"/>
    <col width="9" customWidth="1" style="2457" min="11" max="11"/>
    <col width="9.33203125" customWidth="1" style="2457" min="12" max="12"/>
    <col width="10.6640625" customWidth="1" style="2457"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56">
      <c r="B2" s="2356"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56"/>
    <row r="8" ht="31" customHeight="1" s="2456">
      <c r="B8" s="34" t="inlineStr">
        <is>
          <t>Questions qui démontre des intentions possibles d'exclusion :</t>
        </is>
      </c>
      <c r="P8" s="2537" t="inlineStr">
        <is>
          <t>Zone de programmation</t>
        </is>
      </c>
      <c r="R8" s="2505" t="n"/>
      <c r="S8" s="57" t="inlineStr">
        <is>
          <t>Zone "Constat" du baromètre</t>
        </is>
      </c>
      <c r="U8" s="2544" t="inlineStr">
        <is>
          <t>SECTION DRAPEAUX</t>
        </is>
      </c>
    </row>
    <row r="9" ht="62" customHeight="1" s="2456" thickBot="1">
      <c r="H9" s="2520" t="n"/>
      <c r="I9" s="2457"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54" t="inlineStr">
        <is>
          <t>Bloc Constats</t>
        </is>
      </c>
      <c r="T9" s="2487" t="n"/>
      <c r="U9" s="2058" t="inlineStr">
        <is>
          <t>Drapeaux jaunes (à surveiller)</t>
        </is>
      </c>
      <c r="V9" s="1309" t="inlineStr">
        <is>
          <t>Drapeaux rouges (par thème et par comportements)</t>
        </is>
      </c>
      <c r="W9" s="2125" t="n"/>
      <c r="X9" s="2542" t="inlineStr">
        <is>
          <t>Échelle de triage</t>
        </is>
      </c>
      <c r="Y9" s="2462" t="n"/>
      <c r="Z9" s="2462" t="n"/>
      <c r="AA9" s="2462" t="n"/>
      <c r="AB9" s="2462" t="n"/>
      <c r="AC9" s="2462" t="n"/>
      <c r="AD9" s="2462" t="n"/>
      <c r="AE9" s="2462" t="n"/>
    </row>
    <row r="10" ht="62" customHeight="1" s="2456">
      <c r="D10" s="2514" t="inlineStr">
        <is>
          <t>Constat</t>
        </is>
      </c>
      <c r="E10" s="258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56" t="inlineStr">
        <is>
          <t>Conseils sur le constat émis si son poids moyen est plus élevé que la moyenne globale.</t>
        </is>
      </c>
      <c r="Q10" s="2557" t="inlineStr">
        <is>
          <t>Pour les constats à soulever, quels sont les cpts d'impact et soulever les drapeaux jaunes. (Évaluer la valeur du cpt par sa fréquence et non son amplitude)</t>
        </is>
      </c>
      <c r="R10" s="2557" t="inlineStr">
        <is>
          <t>Pour les constats à soulever, quels sont les cpts d'impact et soulever les drapeaux rouges.</t>
        </is>
      </c>
      <c r="S10" s="2557" t="inlineStr">
        <is>
          <t>Résultat : "Possible"</t>
        </is>
      </c>
      <c r="T10" s="2557" t="inlineStr">
        <is>
          <t>Résultat : "Probable"</t>
        </is>
      </c>
      <c r="U10" s="2563" t="inlineStr">
        <is>
          <t>Faire l'analyse des comportements si des drapeaux rouges ont besoin d'être ajouté (éviter les doublons)</t>
        </is>
      </c>
      <c r="V10" s="2563" t="inlineStr">
        <is>
          <t>Faire l'analyse des comportements si des drapeaux rouges ont besoin d'être ajouté (éviter les doublons)</t>
        </is>
      </c>
      <c r="W10" s="2097" t="n"/>
      <c r="X10" s="2549" t="inlineStr">
        <is>
          <t>Aucune</t>
        </is>
      </c>
      <c r="Y10" s="2541" t="n"/>
      <c r="Z10" s="2540" t="inlineStr">
        <is>
          <t>Faible</t>
        </is>
      </c>
      <c r="AA10" s="2541" t="n"/>
      <c r="AB10" s="2553" t="inlineStr">
        <is>
          <t>Possible</t>
        </is>
      </c>
      <c r="AC10" s="2541" t="n"/>
      <c r="AD10" s="2551" t="inlineStr">
        <is>
          <t>Probable</t>
        </is>
      </c>
      <c r="AE10" s="2552" t="n"/>
    </row>
    <row r="11" ht="20" customHeight="1" s="2456">
      <c r="D11" s="2514" t="n"/>
      <c r="E11" s="2580" t="n"/>
      <c r="F11" s="2072" t="n"/>
      <c r="G11" s="2073" t="n"/>
      <c r="H11" s="1854" t="n"/>
      <c r="I11" s="1253" t="n"/>
      <c r="J11" s="1253" t="n"/>
      <c r="K11" s="1253" t="n"/>
      <c r="L11" s="1253" t="n"/>
      <c r="M11" s="1253" t="n"/>
      <c r="N11" s="1253" t="n"/>
      <c r="O11" s="1309" t="n"/>
      <c r="P11" s="2556" t="n"/>
      <c r="Q11" s="2557" t="n"/>
      <c r="R11" s="2557" t="n"/>
      <c r="S11" s="2557">
        <f>IF(AND($H$37&gt;=AG16,$H$37&lt;=AH16),1,0)</f>
        <v/>
      </c>
      <c r="T11" s="2557">
        <f>IF(AND($H$37&gt;=AG17,$H$37&lt;=AH17),1,0)</f>
        <v/>
      </c>
      <c r="U11" s="2563" t="n"/>
      <c r="V11" s="2563" t="n"/>
      <c r="W11" s="2097" t="n"/>
      <c r="X11" s="1908" t="n"/>
      <c r="Y11" s="1810" t="n"/>
      <c r="Z11" s="2457" t="n"/>
      <c r="AA11" s="2457" t="n"/>
      <c r="AB11" s="1810" t="n"/>
      <c r="AC11" s="1810" t="n"/>
      <c r="AD11" s="2457" t="n"/>
      <c r="AE11" s="1905" t="n"/>
    </row>
    <row r="12" ht="113" customHeight="1" s="2456">
      <c r="D12" s="2559" t="n"/>
      <c r="F12" s="1296" t="n"/>
      <c r="G12" s="1297" t="n"/>
      <c r="H12" s="1261" t="n"/>
      <c r="I12" s="2516" t="n"/>
      <c r="J12" s="2516" t="n"/>
      <c r="K12" s="2516" t="n"/>
      <c r="L12" s="2516" t="n"/>
      <c r="M12" s="2516" t="n"/>
      <c r="N12" s="2514" t="n"/>
      <c r="O12" s="2514" t="n"/>
      <c r="S12" s="2240"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40"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20" t="inlineStr">
        <is>
          <t>Les comportements suivants méritent une attention particulière, car ils sont susceptibles d'affecter le développement de l'enfant :</t>
        </is>
      </c>
      <c r="V12" s="2520" t="inlineStr">
        <is>
          <t>Les comportements suivants méritent une attention particulière, car ils sont susceptibles d'affecter le développement de l'enfant :</t>
        </is>
      </c>
      <c r="X12" s="1908" t="inlineStr">
        <is>
          <t>Min</t>
        </is>
      </c>
      <c r="Y12" s="1810" t="inlineStr">
        <is>
          <t>Max</t>
        </is>
      </c>
      <c r="Z12" s="2457" t="inlineStr">
        <is>
          <t>Min</t>
        </is>
      </c>
      <c r="AA12" s="2457" t="inlineStr">
        <is>
          <t>Max</t>
        </is>
      </c>
      <c r="AB12" s="1810" t="inlineStr">
        <is>
          <t>Min</t>
        </is>
      </c>
      <c r="AC12" s="1810" t="inlineStr">
        <is>
          <t>Max</t>
        </is>
      </c>
      <c r="AD12" s="2457" t="inlineStr">
        <is>
          <t>Min</t>
        </is>
      </c>
      <c r="AE12" s="1905" t="inlineStr">
        <is>
          <t>Max</t>
        </is>
      </c>
      <c r="AG12" t="inlineStr">
        <is>
          <t>Échelle globale</t>
        </is>
      </c>
    </row>
    <row r="13" ht="34" customFormat="1" customHeight="1" s="2469">
      <c r="A13" s="1914" t="n"/>
      <c r="B13" s="2469">
        <f>BIBLE!E97</f>
        <v/>
      </c>
      <c r="C13" s="2580">
        <f>Test_Bible!B183</f>
        <v/>
      </c>
      <c r="D13" s="2538" t="inlineStr">
        <is>
          <t>Le coparent se cache derrière l'enfant</t>
        </is>
      </c>
      <c r="F13" s="2074">
        <f>Test_Bible!D183</f>
        <v/>
      </c>
      <c r="G13" s="2075">
        <f>Test_Bible!P183</f>
        <v/>
      </c>
      <c r="H13" s="1857">
        <f>G13</f>
        <v/>
      </c>
      <c r="I13" s="2481" t="n">
        <v>0</v>
      </c>
      <c r="J13" s="2481" t="inlineStr">
        <is>
          <t>1 à 3</t>
        </is>
      </c>
      <c r="K13" s="2062" t="inlineStr">
        <is>
          <t>4 à 6</t>
        </is>
      </c>
      <c r="L13" s="2481" t="inlineStr">
        <is>
          <t>7 à 10</t>
        </is>
      </c>
      <c r="M13" s="2063" t="n">
        <v>10</v>
      </c>
      <c r="N13" s="2465">
        <f>G13*F13</f>
        <v/>
      </c>
      <c r="O13" s="2465" t="n"/>
      <c r="P13" s="1897" t="n"/>
      <c r="Q13" s="501">
        <f>IF(OR(C13=" ",$P$17="")," ",IF(O$17&gt;=$P$38,IF(H13&gt;=7,U13," ")," "))</f>
        <v/>
      </c>
      <c r="R13" s="501">
        <f>IF(OR(C13="",$P$17="")," ",IF(O$17&gt;=$P$38,IF(N13&gt;=O$17,V13," ")," "))</f>
        <v/>
      </c>
      <c r="S13" s="2239" t="n"/>
      <c r="T13" s="2580" t="n"/>
      <c r="U13" s="2304" t="n"/>
      <c r="V13" s="2304" t="n"/>
      <c r="W13" s="2520" t="n"/>
      <c r="X13" s="2051" t="n">
        <v>0</v>
      </c>
      <c r="Y13" s="2052" t="n">
        <v>3</v>
      </c>
      <c r="Z13" s="2469" t="n">
        <v>4</v>
      </c>
      <c r="AA13" s="2469" t="n">
        <v>6</v>
      </c>
      <c r="AB13" s="590" t="n">
        <v>7</v>
      </c>
      <c r="AC13" s="590" t="n">
        <v>10</v>
      </c>
      <c r="AD13" s="2469" t="n">
        <v>10</v>
      </c>
      <c r="AE13" s="2053" t="n">
        <v>10</v>
      </c>
      <c r="AG13" t="inlineStr">
        <is>
          <t>Min</t>
        </is>
      </c>
      <c r="AH13" t="inlineStr">
        <is>
          <t>Max</t>
        </is>
      </c>
      <c r="AI13" t="inlineStr">
        <is>
          <t>Indice d'intention d'exclusion</t>
        </is>
      </c>
    </row>
    <row r="14" ht="118" customFormat="1" customHeight="1" s="2469">
      <c r="A14" s="1914" t="n"/>
      <c r="B14" s="21">
        <f>BIBLE!E98</f>
        <v/>
      </c>
      <c r="C14" s="692">
        <f>Test_Bible!B184</f>
        <v/>
      </c>
      <c r="D14" s="2495" t="n"/>
      <c r="F14" s="2077">
        <f>Test_Bible!D184</f>
        <v/>
      </c>
      <c r="G14" s="2075">
        <f>Test_Bible!P184</f>
        <v/>
      </c>
      <c r="H14" s="1857">
        <f>G14</f>
        <v/>
      </c>
      <c r="I14" s="1860" t="inlineStr">
        <is>
          <t>0 à 3</t>
        </is>
      </c>
      <c r="J14" s="2034" t="inlineStr"/>
      <c r="K14" s="1860" t="inlineStr">
        <is>
          <t>4 à 6</t>
        </is>
      </c>
      <c r="L14" s="1860" t="inlineStr">
        <is>
          <t>7 à 10</t>
        </is>
      </c>
      <c r="M14" s="2069" t="n">
        <v>10</v>
      </c>
      <c r="N14" s="2465">
        <f>G14*F14</f>
        <v/>
      </c>
      <c r="O14" s="2465" t="n"/>
      <c r="P14" s="1897" t="n"/>
      <c r="Q14" s="501">
        <f>IF(OR(C14=" ",$P$17="")," ",IF(O$17&gt;=$P$38,IF(H14&gt;=7,U14," ")," "))</f>
        <v/>
      </c>
      <c r="R14" s="501">
        <f>IF(OR(C14="",$P$17="")," ",IF(O$17&gt;=$P$38,IF(N14&gt;=O$17,V14," ")," "))</f>
        <v/>
      </c>
      <c r="S14" s="2239" t="n"/>
      <c r="T14" s="2580" t="n"/>
      <c r="U14" s="2304" t="n"/>
      <c r="V14" s="2423"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20" t="n"/>
      <c r="X14" s="2051" t="n">
        <v>0</v>
      </c>
      <c r="Y14" s="2052" t="n">
        <v>3</v>
      </c>
      <c r="Z14" s="2469" t="n">
        <v>2</v>
      </c>
      <c r="AA14" s="2469" t="n">
        <v>3</v>
      </c>
      <c r="AB14" s="590" t="n">
        <v>4</v>
      </c>
      <c r="AC14" s="590" t="n">
        <v>6</v>
      </c>
      <c r="AD14" s="2469" t="n">
        <v>7</v>
      </c>
      <c r="AE14" s="2053" t="n">
        <v>10</v>
      </c>
      <c r="AG14" s="2457" t="n">
        <v>0</v>
      </c>
      <c r="AH14" s="2457">
        <f>Y39</f>
        <v/>
      </c>
      <c r="AI14" t="inlineStr">
        <is>
          <t>Aucun signe</t>
        </is>
      </c>
    </row>
    <row r="15" ht="34" customFormat="1" customHeight="1" s="2469">
      <c r="A15" s="1914" t="n"/>
      <c r="B15" s="2469">
        <f>Test_Bible!A250</f>
        <v/>
      </c>
      <c r="C15" s="2580">
        <f>Test_Bible!B250</f>
        <v/>
      </c>
      <c r="D15" s="2495" t="n"/>
      <c r="F15" s="2074">
        <f>Test_Bible!D250</f>
        <v/>
      </c>
      <c r="G15" s="2075">
        <f>Test_Bible!P250</f>
        <v/>
      </c>
      <c r="H15" s="1857">
        <f>G15</f>
        <v/>
      </c>
      <c r="I15" s="2481" t="inlineStr">
        <is>
          <t>0 à 1</t>
        </is>
      </c>
      <c r="J15" s="2062" t="inlineStr">
        <is>
          <t>2 à 3</t>
        </is>
      </c>
      <c r="K15" s="2062" t="inlineStr">
        <is>
          <t>4 à 6</t>
        </is>
      </c>
      <c r="L15" s="2481" t="inlineStr">
        <is>
          <t>7 à 10</t>
        </is>
      </c>
      <c r="M15" s="2069" t="n">
        <v>10</v>
      </c>
      <c r="N15" s="2465">
        <f>G15*F15</f>
        <v/>
      </c>
      <c r="O15" s="2465" t="n"/>
      <c r="P15" s="1897" t="n"/>
      <c r="Q15" s="501">
        <f>IF(OR(C15=" ",$P$17="")," ",IF(O$17&gt;=$P$38,IF(H15&gt;=7,U15," ")," "))</f>
        <v/>
      </c>
      <c r="R15" s="501">
        <f>IF(OR(C15="",$P$17="")," ",IF(O$17&gt;=$P$38,IF(N15&gt;=O$17,V15," ")," "))</f>
        <v/>
      </c>
      <c r="S15" s="2239" t="n"/>
      <c r="T15" s="2580" t="n"/>
      <c r="U15" s="2304" t="n"/>
      <c r="V15" s="2304" t="n"/>
      <c r="W15" s="2520" t="n"/>
      <c r="X15" s="2051" t="n">
        <v>0</v>
      </c>
      <c r="Y15" s="2052" t="n">
        <v>1</v>
      </c>
      <c r="Z15" s="2469" t="n">
        <v>2</v>
      </c>
      <c r="AA15" s="2469" t="n">
        <v>3</v>
      </c>
      <c r="AB15" s="590" t="n">
        <v>4</v>
      </c>
      <c r="AC15" s="590" t="n">
        <v>6</v>
      </c>
      <c r="AD15" s="2469" t="n">
        <v>7</v>
      </c>
      <c r="AE15" s="2053" t="n">
        <v>10</v>
      </c>
      <c r="AG15" s="2457">
        <f>AH14+1</f>
        <v/>
      </c>
      <c r="AH15" s="2457">
        <f>AA39</f>
        <v/>
      </c>
      <c r="AI15" t="inlineStr">
        <is>
          <t>Intention faible</t>
        </is>
      </c>
    </row>
    <row r="16" ht="363" customFormat="1" customHeight="1" s="2469">
      <c r="A16" s="1914" t="n"/>
      <c r="B16" s="21">
        <f>BIBLE!E110</f>
        <v/>
      </c>
      <c r="C16" s="692">
        <f>Test_Bible!B196</f>
        <v/>
      </c>
      <c r="D16" s="2496" t="n"/>
      <c r="F16" s="2074">
        <f>Test_Bible!D196</f>
        <v/>
      </c>
      <c r="G16" s="2075">
        <f>Test_Bible!P196</f>
        <v/>
      </c>
      <c r="H16" s="1857">
        <f>G16</f>
        <v/>
      </c>
      <c r="I16" s="2481" t="inlineStr">
        <is>
          <t>0 à 1</t>
        </is>
      </c>
      <c r="J16" s="2062" t="inlineStr">
        <is>
          <t>2 à 3</t>
        </is>
      </c>
      <c r="K16" s="2062" t="inlineStr">
        <is>
          <t>4 à 6</t>
        </is>
      </c>
      <c r="L16" s="2481" t="inlineStr">
        <is>
          <t>7 à 10</t>
        </is>
      </c>
      <c r="M16" s="2071" t="n">
        <v>10</v>
      </c>
      <c r="N16" s="2465">
        <f>G16*F16</f>
        <v/>
      </c>
      <c r="O16" s="2465" t="n"/>
      <c r="P16" s="1897" t="n"/>
      <c r="Q16" s="501">
        <f>IF(OR(C16=" ",$P$17="")," ",IF(O$17&gt;=$P$38,IF(H16&gt;=7,U16," ")," "))</f>
        <v/>
      </c>
      <c r="R16" s="501">
        <f>IF(OR(C16="",$P$17="")," ",IF(O$17&gt;=$P$38,IF(N16&gt;=O$17,V16," ")," "))</f>
        <v/>
      </c>
      <c r="S16" s="2239" t="n"/>
      <c r="T16" s="2580" t="n"/>
      <c r="U16" s="2394" t="n"/>
      <c r="V16" s="2394"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20" t="n"/>
      <c r="X16" s="2051" t="n">
        <v>0</v>
      </c>
      <c r="Y16" s="2052" t="n">
        <v>1</v>
      </c>
      <c r="Z16" s="2469" t="n">
        <v>2</v>
      </c>
      <c r="AA16" s="2469" t="n">
        <v>3</v>
      </c>
      <c r="AB16" s="590" t="n">
        <v>4</v>
      </c>
      <c r="AC16" s="590" t="n">
        <v>6</v>
      </c>
      <c r="AD16" s="2469" t="n">
        <v>7</v>
      </c>
      <c r="AE16" s="2053" t="n">
        <v>10</v>
      </c>
      <c r="AG16" s="2457">
        <f>AH15+1</f>
        <v/>
      </c>
      <c r="AH16" s="2457">
        <f>AC39</f>
        <v/>
      </c>
      <c r="AI16" t="inlineStr">
        <is>
          <t>Intention possible</t>
        </is>
      </c>
    </row>
    <row r="17" ht="108" customFormat="1" customHeight="1" s="2469">
      <c r="C17" s="258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9">
        <f>IF(P17="","",U17)</f>
        <v/>
      </c>
      <c r="R17" s="2409">
        <f>IF(P17="","",V17)</f>
        <v/>
      </c>
      <c r="S17" s="2240"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04" t="inlineStr">
        <is>
          <t xml:space="preserve">Lorem ipsum eligendi  – DRAPEAU JAUNE PAR THÈME -- donner à l'enfant la responsabilité de chosir va à l'encontre de son intérêt -- unde similique sed deserunt aperiam ad eligendi tempora! </t>
        </is>
      </c>
      <c r="V17" s="2321" t="n"/>
      <c r="X17" s="2051" t="n"/>
      <c r="Y17" s="2052" t="n"/>
      <c r="AB17" s="590" t="n"/>
      <c r="AC17" s="590" t="n"/>
      <c r="AE17" s="2053" t="n"/>
      <c r="AG17" s="2457">
        <f>AH16+1</f>
        <v/>
      </c>
      <c r="AH17" s="2457">
        <f>AE39</f>
        <v/>
      </c>
      <c r="AI17" t="inlineStr">
        <is>
          <t>Intention probable</t>
        </is>
      </c>
    </row>
    <row r="18" ht="25" customFormat="1" customHeight="1" s="2469">
      <c r="A18" s="287" t="n"/>
      <c r="B18" s="2469">
        <f>BIBLE!E104</f>
        <v/>
      </c>
      <c r="C18" s="2580">
        <f>Test_Bible!B190</f>
        <v/>
      </c>
      <c r="D18" s="2538"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65">
        <f>G18*F18</f>
        <v/>
      </c>
      <c r="P18" s="1897" t="n"/>
      <c r="Q18" s="501">
        <f>IF(OR(C18=" ",$P$21="")," ",IF(O$21&gt;=$P$38,IF(H18&gt;=7,U18," ")," "))</f>
        <v/>
      </c>
      <c r="R18" s="501">
        <f>IF(OR(C18=" ",$P$21="")," ",IF(O$21&gt;=$P$38,IF(N18&gt;=O$21,V18," ")," "))</f>
        <v/>
      </c>
      <c r="S18" s="2239" t="n"/>
      <c r="T18" s="2239" t="n"/>
      <c r="U18" s="2304" t="n"/>
      <c r="V18" s="2304" t="n"/>
      <c r="W18" s="2520" t="n"/>
      <c r="X18" s="2051" t="n">
        <v>0</v>
      </c>
      <c r="Y18" s="2052" t="n">
        <v>3</v>
      </c>
      <c r="Z18" s="2469" t="n">
        <v>4</v>
      </c>
      <c r="AA18" s="2469" t="n">
        <v>6</v>
      </c>
      <c r="AB18" s="590" t="n">
        <v>7</v>
      </c>
      <c r="AC18" s="590" t="n">
        <v>10</v>
      </c>
      <c r="AD18" s="2469" t="n">
        <v>10</v>
      </c>
      <c r="AE18" s="2053" t="n">
        <v>10</v>
      </c>
    </row>
    <row r="19" ht="68" customFormat="1" customHeight="1" s="2469">
      <c r="A19" s="1914" t="n"/>
      <c r="B19" s="2469">
        <f>BIBLE!E105</f>
        <v/>
      </c>
      <c r="C19" s="2580">
        <f>Test_Bible!B191</f>
        <v/>
      </c>
      <c r="D19" s="2495" t="n"/>
      <c r="F19" s="2074">
        <f>Test_Bible!D191</f>
        <v/>
      </c>
      <c r="G19" s="2075">
        <f>Test_Bible!P191</f>
        <v/>
      </c>
      <c r="H19" s="1857">
        <f>G19</f>
        <v/>
      </c>
      <c r="I19" s="1860" t="inlineStr">
        <is>
          <t>0 à 3</t>
        </is>
      </c>
      <c r="J19" s="1860" t="inlineStr">
        <is>
          <t>4 à 6</t>
        </is>
      </c>
      <c r="K19" s="1860" t="inlineStr">
        <is>
          <t>7 à 10</t>
        </is>
      </c>
      <c r="L19" s="1860" t="n"/>
      <c r="M19" s="2069" t="n">
        <v>10</v>
      </c>
      <c r="N19" s="2465">
        <f>G19*F19</f>
        <v/>
      </c>
      <c r="P19" s="1897" t="n"/>
      <c r="Q19" s="501">
        <f>IF(OR(C19=" ",$P$21="")," ",IF(O$21&gt;=$P$38,IF(H19&gt;=7,U19," ")," "))</f>
        <v/>
      </c>
      <c r="R19" s="501">
        <f>IF(OR(C19=" ",$P$21="")," ",IF(O$21&gt;=$P$38,IF(N19&gt;=O$21,V19," ")," "))</f>
        <v/>
      </c>
      <c r="S19" s="2239" t="n"/>
      <c r="T19" s="2580" t="n"/>
      <c r="U19" s="2304" t="n"/>
      <c r="V19" s="2304" t="inlineStr">
        <is>
          <t xml:space="preserve">Lorem ipsum – DRAPEAU ROUGE PAR COMPORTEMENT TYPIQUEMENT AP – Diificile pour l'enfant d'entendre (indirectement) que vous ne représentez pas la vraie familille. Affectera l'esprit et le sentiment de sécurité affective de l'enfant. </t>
        </is>
      </c>
      <c r="W19" s="2520" t="n"/>
      <c r="X19" s="2051" t="n">
        <v>0</v>
      </c>
      <c r="Y19" s="2052" t="n">
        <v>3</v>
      </c>
      <c r="Z19" s="2469" t="n">
        <v>4</v>
      </c>
      <c r="AA19" s="2469" t="n">
        <v>6</v>
      </c>
      <c r="AB19" s="590" t="n">
        <v>7</v>
      </c>
      <c r="AC19" s="590" t="n">
        <v>10</v>
      </c>
      <c r="AD19" s="2469" t="n">
        <v>10</v>
      </c>
      <c r="AE19" s="2053" t="n">
        <v>10</v>
      </c>
    </row>
    <row r="20" ht="30" customFormat="1" customHeight="1" s="2469">
      <c r="A20" s="1914" t="n"/>
      <c r="B20" s="21">
        <f>BIBLE!E106</f>
        <v/>
      </c>
      <c r="C20" s="692">
        <f>Test_Bible!B192</f>
        <v/>
      </c>
      <c r="D20" s="2496"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65">
        <f>G20*F20</f>
        <v/>
      </c>
      <c r="P20" s="1897" t="n"/>
      <c r="Q20" s="501">
        <f>IF(OR(C20=" ",$P$21="")," ",IF(O$21&gt;=$P$38,IF(H20&gt;=7,U20," ")," "))</f>
        <v/>
      </c>
      <c r="R20" s="501">
        <f>IF(OR(C20=" ",$P$21="")," ",IF(O$21&gt;=$P$38,IF(N20&gt;=O$21,V20," ")," "))</f>
        <v/>
      </c>
      <c r="S20" s="2239" t="n"/>
      <c r="T20" s="2580" t="n"/>
      <c r="U20" s="2304" t="n"/>
      <c r="V20" s="2304" t="n"/>
      <c r="W20" s="2520" t="n"/>
      <c r="X20" s="2051" t="n">
        <v>0</v>
      </c>
      <c r="Y20" s="2052" t="n">
        <v>1</v>
      </c>
      <c r="Z20" s="2469" t="n">
        <v>2</v>
      </c>
      <c r="AA20" s="2469" t="n">
        <v>3</v>
      </c>
      <c r="AB20" s="590" t="n">
        <v>4</v>
      </c>
      <c r="AC20" s="590" t="n">
        <v>5</v>
      </c>
      <c r="AD20" s="2469" t="n">
        <v>6</v>
      </c>
      <c r="AE20" s="2053" t="n">
        <v>10</v>
      </c>
    </row>
    <row r="21" ht="90" customFormat="1" customHeight="1" s="2469">
      <c r="C21" s="258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9">
        <f>IF(P21="","",U21)</f>
        <v/>
      </c>
      <c r="R21" s="2409">
        <f>IF(P21="","",V21)</f>
        <v/>
      </c>
      <c r="S21" s="2146" t="inlineStr">
        <is>
          <t xml:space="preserve">L'autre parent laisse entendre à votre enfant qu'il ou elle représente la vraie famille, </t>
        </is>
      </c>
      <c r="T21" s="2146" t="inlineStr">
        <is>
          <t>L'autre parent laisse entendre à votre enfant qu'il ou elle représente la vraie famille.</t>
        </is>
      </c>
      <c r="U21" s="2304" t="inlineStr">
        <is>
          <t xml:space="preserve">Lorem ipsum eligendi tempora qui nihil animi qui dolore consequatur  – DRAPEAU JAUNE PAR THÈME -- unde similique sed deserunt aperiam ad eligendi tempora! </t>
        </is>
      </c>
      <c r="V21" s="2304" t="inlineStr">
        <is>
          <t>Lorem ipsum – DRAPEAU ROUGE PAR COMPORTEMENT TYPIQUEMENT AP – similique sed deserunt aperiam ad eligendi tempora! Est voluptas omnis cum expedita autem aut quod illum qui consequatur cumque qui incidunt doloribus.</t>
        </is>
      </c>
      <c r="X21" s="2051" t="n"/>
      <c r="Y21" s="2052" t="n"/>
      <c r="AB21" s="590" t="n"/>
      <c r="AC21" s="590" t="n"/>
      <c r="AE21" s="2053" t="n"/>
    </row>
    <row r="22" ht="34" customFormat="1" customHeight="1" s="2469">
      <c r="A22" s="1914" t="n"/>
      <c r="B22" s="2469">
        <f>Test_Bible!A199</f>
        <v/>
      </c>
      <c r="C22" s="2580">
        <f>Test_Bible!B199</f>
        <v/>
      </c>
      <c r="D22" s="2322" t="inlineStr">
        <is>
          <t>Le coparent vous retire vos privilèges parentaux</t>
        </is>
      </c>
      <c r="F22" s="2074">
        <f>Test_Bible!D199</f>
        <v/>
      </c>
      <c r="G22" s="2075">
        <f>Test_Bible!P199</f>
        <v/>
      </c>
      <c r="H22" s="1857">
        <f>G22</f>
        <v/>
      </c>
      <c r="I22" s="2481" t="inlineStr">
        <is>
          <t>0 à 3</t>
        </is>
      </c>
      <c r="J22" s="2062" t="inlineStr">
        <is>
          <t>4 à 6</t>
        </is>
      </c>
      <c r="K22" s="2481" t="inlineStr">
        <is>
          <t>7 à 10</t>
        </is>
      </c>
      <c r="L22" s="2481" t="n"/>
      <c r="M22" s="2063" t="n">
        <v>10</v>
      </c>
      <c r="N22" s="2465">
        <f>G22*F22</f>
        <v/>
      </c>
      <c r="P22" s="1897" t="n"/>
      <c r="Q22" s="501">
        <f>IF(OR(C22=" ",$P$26="")," ",IF(O$26&gt;=$P$38,IF(H22&gt;=7,U22," ")," "))</f>
        <v/>
      </c>
      <c r="R22" s="501">
        <f>IF(OR(D22=" ",$P$26="")," ",IF(O$26&gt;=$P$38,IF(H22&gt;=7,V22," ")," "))</f>
        <v/>
      </c>
      <c r="S22" s="2239" t="n"/>
      <c r="T22" s="2580" t="n"/>
      <c r="U22" s="2304" t="n"/>
      <c r="V22" s="2304" t="n"/>
      <c r="W22" s="2520" t="n"/>
      <c r="X22" s="2051" t="n">
        <v>0</v>
      </c>
      <c r="Y22" s="2052" t="n">
        <v>3</v>
      </c>
      <c r="Z22" s="2469" t="n">
        <v>4</v>
      </c>
      <c r="AA22" s="2469" t="n">
        <v>6</v>
      </c>
      <c r="AB22" s="590" t="n">
        <v>7</v>
      </c>
      <c r="AC22" s="590" t="n">
        <v>10</v>
      </c>
      <c r="AD22" s="2469" t="n">
        <v>10</v>
      </c>
      <c r="AE22" s="2053" t="n">
        <v>10</v>
      </c>
    </row>
    <row r="23" ht="51" customFormat="1" customHeight="1" s="2469">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1" t="n"/>
      <c r="M23" s="2069" t="n">
        <v>10</v>
      </c>
      <c r="N23" s="2465">
        <f>G23*F23</f>
        <v/>
      </c>
      <c r="P23" s="1897" t="n"/>
      <c r="Q23" s="501">
        <f>IF(OR(C23=" ",$P$26="")," ",IF(O$26&gt;=$P$38,IF(H23&gt;=7,U23," ")," "))</f>
        <v/>
      </c>
      <c r="R23" s="501">
        <f>IF(OR(D23=" ",$P$26="")," ",IF(O$26&gt;=$P$38,IF(H23&gt;=7,V23," ")," "))</f>
        <v/>
      </c>
      <c r="S23" s="2239" t="n"/>
      <c r="T23" s="2580" t="n"/>
      <c r="U23" s="2304" t="n"/>
      <c r="V23" s="2304" t="n"/>
      <c r="W23" s="2520" t="n"/>
      <c r="X23" s="2051" t="n">
        <v>0</v>
      </c>
      <c r="Y23" s="2052" t="n">
        <v>3</v>
      </c>
      <c r="Z23" s="2469" t="n">
        <v>4</v>
      </c>
      <c r="AA23" s="2469" t="n">
        <v>6</v>
      </c>
      <c r="AB23" s="590" t="n">
        <v>7</v>
      </c>
      <c r="AC23" s="590" t="n">
        <v>10</v>
      </c>
      <c r="AD23" s="2469" t="n">
        <v>10</v>
      </c>
      <c r="AE23" s="2053" t="n">
        <v>10</v>
      </c>
    </row>
    <row r="24" ht="51" customFormat="1" customHeight="1" s="2469">
      <c r="A24" s="1914" t="n"/>
      <c r="B24" s="2469">
        <f>Test_Bible!A423</f>
        <v/>
      </c>
      <c r="C24" s="2580">
        <f>Test_Bible!B423</f>
        <v/>
      </c>
      <c r="D24" s="2229" t="n"/>
      <c r="F24" s="2074">
        <f>Test_Bible!D423</f>
        <v/>
      </c>
      <c r="G24" s="2075">
        <f>Test_Bible!P423</f>
        <v/>
      </c>
      <c r="H24" s="1857">
        <f>G24</f>
        <v/>
      </c>
      <c r="I24" s="1860" t="inlineStr">
        <is>
          <t>0 à 3</t>
        </is>
      </c>
      <c r="J24" s="2034" t="inlineStr">
        <is>
          <t>4 à 6</t>
        </is>
      </c>
      <c r="K24" s="1860" t="inlineStr">
        <is>
          <t>7 à 10</t>
        </is>
      </c>
      <c r="L24" s="2481" t="n"/>
      <c r="M24" s="2069" t="n">
        <v>10</v>
      </c>
      <c r="N24" s="2465">
        <f>G24*F24</f>
        <v/>
      </c>
      <c r="P24" s="1897" t="n"/>
      <c r="Q24" s="501">
        <f>IF(OR(C24=" ",$P$26="")," ",IF(O$26&gt;=$P$38,IF(H24&gt;=7,U24," ")," "))</f>
        <v/>
      </c>
      <c r="R24" s="501">
        <f>IF(OR(D24=" ",$P$26="")," ",IF(O$26&gt;=$P$38,IF(H24&gt;=7,V24," ")," "))</f>
        <v/>
      </c>
      <c r="S24" s="2239" t="n"/>
      <c r="T24" s="2580" t="n"/>
      <c r="U24" s="2304" t="n"/>
      <c r="V24" s="2304" t="n"/>
      <c r="W24" s="2520" t="n"/>
      <c r="X24" s="2051" t="n">
        <v>0</v>
      </c>
      <c r="Y24" s="2052" t="n">
        <v>3</v>
      </c>
      <c r="Z24" s="2469" t="n">
        <v>4</v>
      </c>
      <c r="AA24" s="2469" t="n">
        <v>6</v>
      </c>
      <c r="AB24" s="590" t="n">
        <v>7</v>
      </c>
      <c r="AC24" s="590" t="n">
        <v>10</v>
      </c>
      <c r="AD24" s="2469" t="n">
        <v>10</v>
      </c>
      <c r="AE24" s="2053" t="n">
        <v>10</v>
      </c>
    </row>
    <row r="25" ht="68" customFormat="1" customHeight="1" s="2469">
      <c r="A25" s="287" t="n"/>
      <c r="B25" s="2469">
        <f>BIBLE!E130</f>
        <v/>
      </c>
      <c r="C25" s="258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65">
        <f>G25*F25</f>
        <v/>
      </c>
      <c r="P25" s="1897" t="n"/>
      <c r="Q25" s="501">
        <f>IF(OR(C25=" ",$P$26="")," ",IF(O$26&gt;=$P$38,IF(H25&gt;=7,U25," ")," "))</f>
        <v/>
      </c>
      <c r="R25" s="501">
        <f>IF(OR(D25=" ",$P$26="")," ",IF(O$26&gt;=$P$38,IF(H25&gt;=7,V25," ")," "))</f>
        <v/>
      </c>
      <c r="S25" s="2239" t="n"/>
      <c r="T25" s="2580" t="n"/>
      <c r="U25" s="2304" t="n"/>
      <c r="V25" s="2304"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20" t="n"/>
      <c r="X25" s="2051" t="n">
        <v>0</v>
      </c>
      <c r="Y25" s="2052" t="n">
        <v>0</v>
      </c>
      <c r="Z25" s="2469" t="n">
        <v>1</v>
      </c>
      <c r="AA25" s="2469" t="n">
        <v>1</v>
      </c>
      <c r="AB25" s="590" t="n">
        <v>2</v>
      </c>
      <c r="AC25" s="590" t="n">
        <v>3</v>
      </c>
      <c r="AD25" s="2469" t="n">
        <v>4</v>
      </c>
      <c r="AE25" s="2053" t="n">
        <v>10</v>
      </c>
      <c r="AO25" s="2465" t="n"/>
      <c r="AP25" s="2465" t="n"/>
    </row>
    <row r="26" ht="94" customFormat="1" customHeight="1" s="2469">
      <c r="C26" s="258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9">
        <f>IF(P26="","",U26)</f>
        <v/>
      </c>
      <c r="R26" s="2409">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inlineStr">
        <is>
          <t xml:space="preserve">Lorem ipsum eligendi tempora qui nihil animi qui dolore consequatur  – DRAPEAU JAUNE PAR THÈME -- unde similique sed deserunt aperiam ad eligendi tempora! </t>
        </is>
      </c>
      <c r="V26" s="2321" t="n"/>
      <c r="X26" s="2051" t="n"/>
      <c r="Y26" s="2052" t="n"/>
      <c r="AB26" s="590" t="n"/>
      <c r="AC26" s="590" t="n"/>
      <c r="AE26" s="2053" t="n"/>
      <c r="AO26" s="2465" t="n"/>
      <c r="AP26" s="2465" t="n"/>
    </row>
    <row r="27" ht="32" customFormat="1" customHeight="1" s="2469">
      <c r="A27" s="287" t="inlineStr"/>
      <c r="B27" s="2469">
        <f>BIBLE!E122</f>
        <v/>
      </c>
      <c r="C27" s="258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65">
        <f>G27*F27</f>
        <v/>
      </c>
      <c r="O27" s="2465" t="n"/>
      <c r="P27" s="1897" t="n"/>
      <c r="Q27" s="501">
        <f>IF(OR(C27=" ",$P$30="")," ",IF(O$30&gt;=$P$38,IF(H27&gt;=7,U27," ")," "))</f>
        <v/>
      </c>
      <c r="R27" s="501">
        <f>IF(OR(D27=" ",$P$30="")," ",IF(O$30&gt;=$P$38,IF(H27&gt;=7,V27," ")," "))</f>
        <v/>
      </c>
      <c r="S27" s="2239" t="n"/>
      <c r="T27" s="2580" t="n"/>
      <c r="U27" s="2304" t="n"/>
      <c r="V27" s="2304" t="n"/>
      <c r="W27" s="2520" t="n"/>
      <c r="X27" s="2051" t="n">
        <v>0</v>
      </c>
      <c r="Y27" s="2052" t="n">
        <v>1</v>
      </c>
      <c r="Z27" s="2469" t="n">
        <v>2</v>
      </c>
      <c r="AA27" s="2469" t="n">
        <v>3</v>
      </c>
      <c r="AB27" s="590" t="n">
        <v>4</v>
      </c>
      <c r="AC27" s="590" t="n">
        <v>5</v>
      </c>
      <c r="AD27" s="2469" t="n">
        <v>6</v>
      </c>
      <c r="AE27" s="2053" t="n">
        <v>10</v>
      </c>
      <c r="AO27" s="2465" t="n"/>
      <c r="AP27" s="2465" t="n"/>
    </row>
    <row r="28" ht="32" customFormat="1" customHeight="1" s="2469">
      <c r="A28" s="1914" t="n"/>
      <c r="B28" s="2469">
        <f>Test_Bible!A101</f>
        <v/>
      </c>
      <c r="C28" s="258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65">
        <f>G28*F28</f>
        <v/>
      </c>
      <c r="O28" s="1490" t="n"/>
      <c r="P28" s="1897" t="n"/>
      <c r="Q28" s="501">
        <f>IF(OR(C28=" ",$P$30="")," ",IF(O$30&gt;=$P$38,IF(H28&gt;=7,U28," ")," "))</f>
        <v/>
      </c>
      <c r="R28" s="501">
        <f>IF(OR(D28=" ",$P$30="")," ",IF(O$30&gt;=$P$38,IF(H28&gt;=7,V28," ")," "))</f>
        <v/>
      </c>
      <c r="S28" s="2239" t="n"/>
      <c r="T28" s="2580" t="n"/>
      <c r="U28" s="2304" t="n"/>
      <c r="V28" s="2304" t="n"/>
      <c r="W28" s="2520" t="n"/>
      <c r="X28" s="2051" t="n">
        <v>0</v>
      </c>
      <c r="Y28" s="2052" t="n">
        <v>1</v>
      </c>
      <c r="Z28" s="2469" t="n">
        <v>2</v>
      </c>
      <c r="AA28" s="2469" t="n">
        <v>3</v>
      </c>
      <c r="AB28" s="590" t="n">
        <v>4</v>
      </c>
      <c r="AC28" s="590" t="n">
        <v>5</v>
      </c>
      <c r="AD28" s="2469" t="n">
        <v>6</v>
      </c>
      <c r="AE28" s="2053" t="n">
        <v>10</v>
      </c>
    </row>
    <row r="29" ht="32" customFormat="1" customHeight="1" s="2469" thickBot="1">
      <c r="A29" s="1914" t="n"/>
      <c r="B29" s="2469">
        <f>Test_Bible!A166</f>
        <v/>
      </c>
      <c r="C29" s="258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65">
        <f>G29*F29</f>
        <v/>
      </c>
      <c r="O29" s="1490" t="n"/>
      <c r="P29" s="1897" t="n"/>
      <c r="Q29" s="501">
        <f>IF(OR(C29=" ",$P$30="")," ",IF(O$30&gt;=$P$38,IF(H29&gt;=7,U29," ")," "))</f>
        <v/>
      </c>
      <c r="R29" s="501">
        <f>IF(OR(D29=" ",$P$30="")," ",IF(O$30&gt;=$P$38,IF(H29&gt;=7,V29," ")," "))</f>
        <v/>
      </c>
      <c r="S29" s="2239" t="n"/>
      <c r="T29" s="2580" t="n"/>
      <c r="U29" s="2304" t="n"/>
      <c r="V29" s="2304" t="n"/>
      <c r="W29" s="2520" t="n"/>
      <c r="X29" s="2051" t="n">
        <v>0</v>
      </c>
      <c r="Y29" s="2052" t="n">
        <v>1</v>
      </c>
      <c r="Z29" s="2469" t="n">
        <v>2</v>
      </c>
      <c r="AA29" s="2469" t="n">
        <v>3</v>
      </c>
      <c r="AB29" s="590" t="n">
        <v>4</v>
      </c>
      <c r="AC29" s="590" t="n">
        <v>5</v>
      </c>
      <c r="AD29" s="2469" t="n">
        <v>6</v>
      </c>
      <c r="AE29" s="2053" t="n">
        <v>10</v>
      </c>
    </row>
    <row r="30" ht="102" customFormat="1" customHeight="1" s="2469">
      <c r="C30" s="258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9">
        <f>IF(P30="","",U30)</f>
        <v/>
      </c>
      <c r="R30" s="2409">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04" t="inlineStr">
        <is>
          <t xml:space="preserve">Lorem ipsum eligendi tempora qui nihil animi qui dolore consequatur  – DRAPEAU JAUNE PAR THÈME -- unde similique sed deserunt aperiam ad eligendi tempora! </t>
        </is>
      </c>
      <c r="V30" s="2321" t="n"/>
      <c r="X30" s="2051" t="n"/>
      <c r="Y30" s="2052" t="n"/>
      <c r="Z30" s="2465" t="n"/>
      <c r="AA30" s="2465" t="n"/>
      <c r="AB30" s="2052" t="n"/>
      <c r="AC30" s="2052" t="n"/>
      <c r="AD30" s="2465" t="n"/>
      <c r="AE30" s="2066" t="n"/>
    </row>
    <row r="31" ht="41" customFormat="1" customHeight="1" s="2469">
      <c r="A31" s="1914" t="n"/>
      <c r="B31" s="21">
        <f>BIBLE!E95</f>
        <v/>
      </c>
      <c r="C31" s="692">
        <f>Test_Bible!B181</f>
        <v/>
      </c>
      <c r="D31" s="2538" t="inlineStr">
        <is>
          <t>L'intention d'exclusion est exprimée (parole ou geste)</t>
        </is>
      </c>
      <c r="F31" s="2074">
        <f>Test_Bible!D181</f>
        <v/>
      </c>
      <c r="G31" s="2075">
        <f>Test_Bible!P181</f>
        <v/>
      </c>
      <c r="H31" s="1857">
        <f>G31</f>
        <v/>
      </c>
      <c r="I31" s="2481" t="n">
        <v>0</v>
      </c>
      <c r="J31" s="2481" t="n">
        <v>1</v>
      </c>
      <c r="K31" s="2481" t="inlineStr">
        <is>
          <t>2 à 3</t>
        </is>
      </c>
      <c r="L31" s="2481" t="inlineStr">
        <is>
          <t>4 à 10</t>
        </is>
      </c>
      <c r="M31" s="2063" t="n">
        <v>10</v>
      </c>
      <c r="N31" s="2465">
        <f>G31*F31</f>
        <v/>
      </c>
      <c r="O31" s="2465" t="n"/>
      <c r="P31" s="1897" t="n"/>
      <c r="Q31" s="501">
        <f>IF(OR(C31=" ",$P$34="")," ",IF(O$34&gt;=$P$38,IF(H31&gt;=7,U31," ")," "))</f>
        <v/>
      </c>
      <c r="R31" s="501">
        <f>IF(OR(C31=" ",$P$34="")," ",IF(O$21&gt;=$P$38,IF(N31&gt;=O$17,V31," ")," "))</f>
        <v/>
      </c>
      <c r="S31" s="2239" t="n"/>
      <c r="T31" s="2580" t="n"/>
      <c r="U31" s="2304" t="n"/>
      <c r="V31" s="2304" t="n"/>
      <c r="W31" s="2520" t="n"/>
      <c r="X31" s="2051" t="n">
        <v>0</v>
      </c>
      <c r="Y31" s="2052" t="n">
        <v>0</v>
      </c>
      <c r="Z31" s="2469" t="n">
        <v>1</v>
      </c>
      <c r="AA31" s="2469" t="n">
        <v>1</v>
      </c>
      <c r="AB31" s="590" t="n">
        <v>2</v>
      </c>
      <c r="AC31" s="590" t="n">
        <v>3</v>
      </c>
      <c r="AD31" s="2469" t="n">
        <v>4</v>
      </c>
      <c r="AE31" s="2053" t="n">
        <v>10</v>
      </c>
    </row>
    <row r="32" ht="41" customFormat="1" customHeight="1" s="2469">
      <c r="A32" s="287" t="n"/>
      <c r="B32" s="2469">
        <f>BIBLE!E132</f>
        <v/>
      </c>
      <c r="C32" s="2580">
        <f>Test_Bible!B221</f>
        <v/>
      </c>
      <c r="D32" s="2495" t="n"/>
      <c r="F32" s="2074">
        <f>Test_Bible!D221</f>
        <v/>
      </c>
      <c r="G32" s="2075">
        <f>Test_Bible!P221</f>
        <v/>
      </c>
      <c r="H32" s="1857">
        <f>G32</f>
        <v/>
      </c>
      <c r="I32" s="1860" t="n">
        <v>0</v>
      </c>
      <c r="J32" s="1860" t="inlineStr">
        <is>
          <t>1 à 2</t>
        </is>
      </c>
      <c r="K32" s="1860" t="inlineStr">
        <is>
          <t>3 à 4</t>
        </is>
      </c>
      <c r="L32" s="1860" t="inlineStr">
        <is>
          <t>5 à 10</t>
        </is>
      </c>
      <c r="M32" s="2069" t="n">
        <v>10</v>
      </c>
      <c r="N32" s="2465">
        <f>G32*F32</f>
        <v/>
      </c>
      <c r="O32" s="2465" t="n"/>
      <c r="P32" s="1897" t="n"/>
      <c r="Q32" s="501">
        <f>IF(OR(C32=" ",$P$34="")," ",IF(O$34&gt;=$P$38,IF(H32&gt;=7,U32," ")," "))</f>
        <v/>
      </c>
      <c r="R32" s="501">
        <f>IF(OR(C32=" ",$P$34="")," ",IF(O$21&gt;=$P$38,IF(N32&gt;=O$17,V32," ")," "))</f>
        <v/>
      </c>
      <c r="S32" s="2239" t="n"/>
      <c r="T32" s="2580" t="n"/>
      <c r="U32" s="2304" t="n"/>
      <c r="V32" s="2304" t="n"/>
      <c r="W32" s="2520" t="n"/>
      <c r="X32" s="2051" t="n">
        <v>0</v>
      </c>
      <c r="Y32" s="2052" t="n">
        <v>0</v>
      </c>
      <c r="Z32" s="2469" t="n">
        <v>1</v>
      </c>
      <c r="AA32" s="2469" t="n">
        <v>2</v>
      </c>
      <c r="AB32" s="590" t="n">
        <v>3</v>
      </c>
      <c r="AC32" s="590" t="n">
        <v>4</v>
      </c>
      <c r="AD32" s="2469" t="n">
        <v>5</v>
      </c>
      <c r="AE32" s="2053" t="n">
        <v>10</v>
      </c>
      <c r="AO32" s="2465" t="n"/>
      <c r="AP32" s="2465" t="n"/>
    </row>
    <row r="33" ht="41" customFormat="1" customHeight="1" s="2469">
      <c r="A33" s="1914" t="n"/>
      <c r="B33" s="2469">
        <f>BIBLE!E136</f>
        <v/>
      </c>
      <c r="C33" s="2580">
        <f>Test_Bible!B235</f>
        <v/>
      </c>
      <c r="D33" s="2496" t="n"/>
      <c r="F33" s="2074">
        <f>Test_Bible!D235</f>
        <v/>
      </c>
      <c r="G33" s="2075">
        <f>Test_Bible!P235</f>
        <v/>
      </c>
      <c r="H33" s="1857">
        <f>G33</f>
        <v/>
      </c>
      <c r="I33" s="2481" t="n">
        <v>0</v>
      </c>
      <c r="J33" s="2481" t="inlineStr">
        <is>
          <t>1 à 2</t>
        </is>
      </c>
      <c r="K33" s="2481" t="inlineStr">
        <is>
          <t>3 à 4</t>
        </is>
      </c>
      <c r="L33" s="2481" t="inlineStr">
        <is>
          <t>5 à 10</t>
        </is>
      </c>
      <c r="M33" s="2071" t="n">
        <v>10</v>
      </c>
      <c r="N33" s="2465">
        <f>G33*F33</f>
        <v/>
      </c>
      <c r="O33" s="2465" t="n"/>
      <c r="P33" s="1897" t="n"/>
      <c r="Q33" s="501">
        <f>IF(OR(C33=" ",$P$34="")," ",IF(O$34&gt;=$P$38,IF(H33&gt;=7,U33," ")," "))</f>
        <v/>
      </c>
      <c r="R33" s="501">
        <f>IF(OR(C33=" ",$P$34="")," ",IF(O$21&gt;=$P$38,IF(N33&gt;=O$17,V33," ")," "))</f>
        <v/>
      </c>
      <c r="S33" s="2239" t="n"/>
      <c r="T33" s="2580" t="n"/>
      <c r="U33" s="2304" t="n"/>
      <c r="V33" s="2304" t="n"/>
      <c r="W33" s="2520" t="n"/>
      <c r="X33" s="2051" t="n">
        <v>0</v>
      </c>
      <c r="Y33" s="2052" t="n">
        <v>0</v>
      </c>
      <c r="Z33" s="2469" t="n">
        <v>1</v>
      </c>
      <c r="AA33" s="2469" t="n">
        <v>2</v>
      </c>
      <c r="AB33" s="590" t="n">
        <v>3</v>
      </c>
      <c r="AC33" s="590" t="n">
        <v>4</v>
      </c>
      <c r="AD33" s="2469" t="n">
        <v>5</v>
      </c>
      <c r="AE33" s="2053" t="n">
        <v>10</v>
      </c>
    </row>
    <row r="34" ht="102" customFormat="1" customHeight="1" s="2469">
      <c r="C34" s="258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9">
        <f>IF(P34="","",U34)</f>
        <v/>
      </c>
      <c r="R34" s="2409">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inlineStr">
        <is>
          <t xml:space="preserve">Lorem ipsum eligendi tempora qui nihil animi qui dolore consequatur  – DRAPEAU JAUNE PAR THÈME -- unde similique sed deserunt aperiam ad eligendi tempora! </t>
        </is>
      </c>
      <c r="V34" s="2321" t="n"/>
      <c r="X34" s="2051" t="n"/>
      <c r="Y34" s="2052" t="n"/>
      <c r="AB34" s="590" t="n"/>
      <c r="AC34" s="590" t="n"/>
      <c r="AE34" s="2053" t="n"/>
    </row>
    <row r="35" ht="56" customFormat="1" customHeight="1" s="2469">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0" t="n"/>
      <c r="U35" s="2304" t="n"/>
      <c r="V35" s="2304" t="n"/>
      <c r="W35" s="2520" t="n"/>
      <c r="X35" s="2051" t="n"/>
      <c r="Y35" s="2052" t="n"/>
      <c r="Z35" s="2465" t="n"/>
      <c r="AA35" s="2465" t="n"/>
      <c r="AB35" s="2052" t="n">
        <v>10</v>
      </c>
      <c r="AC35" s="2052" t="n">
        <v>10</v>
      </c>
      <c r="AD35" s="2465" t="n">
        <v>10</v>
      </c>
      <c r="AE35" s="2066" t="n">
        <v>10</v>
      </c>
    </row>
    <row r="36" ht="83" customFormat="1" customHeight="1" s="2469">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0" t="n"/>
      <c r="U36" s="2304" t="n"/>
      <c r="V36" s="2304" t="inlineStr">
        <is>
          <t>Appeler le nouveau conjoint "papa ou maman" peut semer de la confusion chez l'enfant et | ou affecter la valeur symbolique du parent. Par exemple : aimer un NC comme si c'était son propre parent est une chose, mais le substituer en est un autre.</t>
        </is>
      </c>
      <c r="W36" s="2520" t="n"/>
      <c r="X36" s="2051" t="n"/>
      <c r="Y36" s="2052" t="n"/>
      <c r="Z36" s="2465" t="n"/>
      <c r="AA36" s="2465" t="n"/>
      <c r="AB36" s="2052" t="n">
        <v>10</v>
      </c>
      <c r="AC36" s="2052" t="n">
        <v>10</v>
      </c>
      <c r="AD36" s="2465" t="n">
        <v>10</v>
      </c>
      <c r="AE36" s="2066" t="n">
        <v>10</v>
      </c>
    </row>
    <row r="37" ht="23" customHeight="1" s="2456" thickBot="1">
      <c r="G37" s="1903" t="n"/>
      <c r="H37" s="1311">
        <f>SUM(H13:H35)</f>
        <v/>
      </c>
      <c r="I37" s="2545" t="inlineStr">
        <is>
          <t>Score</t>
        </is>
      </c>
      <c r="J37" s="2546" t="n"/>
      <c r="K37" s="2546" t="n"/>
      <c r="L37" s="2546" t="n"/>
      <c r="M37" s="2547" t="n"/>
      <c r="U37" s="2060" t="inlineStr">
        <is>
          <t>Ouvrir le drapeau du constat d'abord, et ensuite ceux des comportements le cas échéant</t>
        </is>
      </c>
      <c r="X37" s="1908" t="n"/>
      <c r="Y37" s="1810" t="n"/>
      <c r="Z37" s="2457" t="n"/>
      <c r="AA37" s="2457" t="n"/>
      <c r="AB37" s="1810" t="n"/>
      <c r="AC37" s="1810" t="n"/>
      <c r="AD37" s="2457" t="n"/>
      <c r="AE37" s="1905" t="n"/>
    </row>
    <row r="38" ht="23" customHeight="1" s="2456">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57" t="n"/>
      <c r="AA38" s="2457" t="n"/>
      <c r="AB38" s="1810" t="n"/>
      <c r="AC38" s="1810" t="n"/>
      <c r="AD38" s="2457" t="n"/>
      <c r="AE38" s="1905" t="n"/>
    </row>
    <row r="39" ht="23" customHeight="1" s="2456"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56">
      <c r="R40" s="57" t="n"/>
      <c r="S40" s="1253">
        <f>S10</f>
        <v/>
      </c>
      <c r="T40" s="1253">
        <f>T10</f>
        <v/>
      </c>
    </row>
    <row r="41" ht="108" customHeight="1" s="2456">
      <c r="I41" s="90" t="n"/>
      <c r="M41" s="2469" t="inlineStr">
        <is>
          <t>Conseils généraux (Autres)</t>
        </is>
      </c>
      <c r="P41" s="1897">
        <f>'Contribution NC'!I41=IF(HLOOKUP(1,$S$11:$T$42,31),"",HLOOKUP(1,$S$11:$T$42,31))</f>
        <v/>
      </c>
      <c r="Q41" s="2410" t="n"/>
      <c r="R41" s="2410" t="n"/>
      <c r="S41" s="2190" t="n"/>
      <c r="T41" s="2190" t="n"/>
    </row>
    <row r="42" ht="105" customHeight="1" s="2456">
      <c r="I42" s="90" t="n"/>
      <c r="M42" t="inlineStr">
        <is>
          <t>Références</t>
        </is>
      </c>
      <c r="S42" s="2418" t="inlineStr">
        <is>
          <t>Nous vous recommandons de consulter la section Psychologie de l'onglet Ressources afin de comprendre les répercussions du conflit de loyauté chez votre enfant et de connaitre les meilleures pratiques en matière de coparentalité.</t>
        </is>
      </c>
      <c r="T42" s="2419"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style="2456" min="1" max="1"/>
    <col width="40.83203125" customWidth="1" style="2456" min="2" max="2"/>
    <col width="52.5" customWidth="1" style="2456" min="3" max="3"/>
    <col width="10.1640625" customWidth="1" style="2456" min="4" max="4"/>
    <col width="12" customWidth="1" style="2457" min="5" max="5"/>
    <col width="12" customWidth="1" style="2456" min="6" max="6"/>
    <col width="9.83203125" customWidth="1" style="2456" min="7" max="7"/>
    <col width="21.83203125" customWidth="1" style="2456" min="8" max="8"/>
    <col width="42.5" customWidth="1" style="2559" min="9" max="11"/>
    <col width="13.5" customWidth="1" style="2456" min="12" max="12"/>
    <col width="44.5" customWidth="1" style="2559" min="13" max="13"/>
    <col width="44.6640625" customWidth="1" style="2559" min="14" max="14"/>
    <col width="45.5" customWidth="1" style="2559" min="15" max="15"/>
    <col width="63.6640625" customWidth="1" style="2456" min="16" max="16"/>
    <col width="63.6640625" customWidth="1" style="2559" min="17" max="17"/>
    <col width="23.5" customWidth="1" style="2456" min="18" max="18"/>
    <col width="58.6640625" bestFit="1" customWidth="1" style="2456" min="19" max="19"/>
    <col width="20.5" bestFit="1" customWidth="1" style="2456" min="20" max="20"/>
    <col width="37.33203125" bestFit="1" customWidth="1" style="2456" min="21" max="21"/>
    <col width="28" bestFit="1" customWidth="1" style="2456" min="22" max="22"/>
    <col width="47" bestFit="1" customWidth="1" style="2456" min="23" max="23"/>
    <col width="18" bestFit="1" customWidth="1" style="2456" min="24" max="24"/>
    <col width="34" bestFit="1" customWidth="1" style="2456" min="25" max="25"/>
    <col width="42" bestFit="1" customWidth="1" style="2456" min="26" max="26"/>
    <col width="27" bestFit="1" customWidth="1" style="2456" min="27" max="27"/>
    <col width="12.33203125" bestFit="1" customWidth="1" style="2456" min="28" max="28"/>
  </cols>
  <sheetData>
    <row r="1" ht="53" customHeight="1" s="2456">
      <c r="A1" s="1717" t="inlineStr">
        <is>
          <t>Catégorisation des comportements des parents acteurs</t>
        </is>
      </c>
    </row>
    <row r="2" ht="53" customHeight="1" s="2456">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4" t="n"/>
      <c r="I2" s="1752" t="n"/>
      <c r="J2" s="1752" t="n"/>
      <c r="K2" s="1752" t="n"/>
      <c r="L2" s="1752" t="n"/>
    </row>
    <row r="3" ht="18" customHeight="1" s="2456">
      <c r="A3" s="407" t="n"/>
      <c r="C3" s="80" t="n"/>
      <c r="H3" s="1752" t="n"/>
      <c r="I3" s="1752" t="n"/>
      <c r="J3" s="1752" t="n"/>
      <c r="K3" s="1752" t="n"/>
      <c r="L3" s="1752" t="n"/>
    </row>
    <row r="4" ht="23" customHeight="1" s="2456">
      <c r="A4" s="1717" t="n"/>
      <c r="D4" s="3" t="inlineStr">
        <is>
          <t>Échelle (du minimum au maximum)</t>
        </is>
      </c>
      <c r="E4" s="3" t="n"/>
      <c r="F4" s="3" t="n"/>
      <c r="G4" s="3" t="n"/>
      <c r="H4" s="3" t="n"/>
      <c r="I4" s="2148" t="n"/>
      <c r="J4" s="2148" t="n"/>
      <c r="K4" s="2148" t="n"/>
      <c r="L4" s="3" t="n"/>
      <c r="M4" s="2426" t="n"/>
      <c r="N4" s="2426" t="n"/>
      <c r="O4" s="2426" t="n"/>
      <c r="P4" s="2457" t="n"/>
      <c r="Q4" s="2517" t="n"/>
      <c r="R4" s="2562"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56">
      <c r="A5" s="1717" t="n"/>
      <c r="C5" s="2524" t="n"/>
      <c r="D5" s="2517" t="inlineStr">
        <is>
          <t>Début gradient</t>
        </is>
      </c>
      <c r="E5" s="2517" t="inlineStr">
        <is>
          <t>Min où débute un signe</t>
        </is>
      </c>
      <c r="F5" s="2457" t="n"/>
      <c r="G5" s="2457" t="n"/>
      <c r="H5" s="291" t="inlineStr">
        <is>
          <t>Max</t>
        </is>
      </c>
      <c r="I5" s="2521" t="n"/>
      <c r="J5" s="2521" t="n"/>
      <c r="K5" s="2521" t="n"/>
      <c r="L5" s="291" t="n"/>
      <c r="M5" s="831" t="n"/>
      <c r="N5" s="831" t="n"/>
      <c r="O5" s="831" t="n"/>
      <c r="P5" s="2457" t="n"/>
      <c r="Q5" s="2517" t="n"/>
      <c r="S5" s="2124" t="n"/>
      <c r="T5" s="277" t="n"/>
      <c r="U5" s="2196" t="inlineStr">
        <is>
          <t>AP</t>
        </is>
      </c>
      <c r="V5" s="2196" t="inlineStr">
        <is>
          <t>CL</t>
        </is>
      </c>
      <c r="W5" s="2196" t="inlineStr">
        <is>
          <t>CSS</t>
        </is>
      </c>
      <c r="X5" s="2124" t="n"/>
      <c r="Y5" s="1752" t="n"/>
    </row>
    <row r="6" ht="23" customHeight="1" s="2456">
      <c r="A6" s="1717" t="n"/>
      <c r="C6" s="2524" t="n"/>
      <c r="D6" s="2517" t="n"/>
      <c r="E6" s="1798" t="n">
        <v>0.25</v>
      </c>
      <c r="F6" s="1798" t="n">
        <v>0.38</v>
      </c>
      <c r="G6" s="1798">
        <f>1-E6-F6</f>
        <v/>
      </c>
      <c r="H6" s="291" t="n"/>
      <c r="I6" s="2521" t="n"/>
      <c r="J6" s="2521" t="n"/>
      <c r="K6" s="2521" t="n"/>
      <c r="L6" s="291" t="n"/>
      <c r="M6" s="831" t="n"/>
      <c r="N6" s="831" t="n"/>
      <c r="O6" s="831" t="n"/>
      <c r="P6" s="2457" t="n"/>
      <c r="Q6" s="2517"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56">
      <c r="A7" s="1717" t="n"/>
      <c r="C7" s="589" t="inlineStr">
        <is>
          <t>Résultat</t>
        </is>
      </c>
      <c r="D7" s="2517" t="inlineStr">
        <is>
          <t>Vert=&gt;</t>
        </is>
      </c>
      <c r="E7" s="2517" t="inlineStr">
        <is>
          <t>jaune=&gt;</t>
        </is>
      </c>
      <c r="F7" s="2457" t="inlineStr">
        <is>
          <t>orange=&gt;</t>
        </is>
      </c>
      <c r="G7" s="2457" t="inlineStr">
        <is>
          <t>rouge=&gt;</t>
        </is>
      </c>
      <c r="H7" s="1757" t="n"/>
      <c r="I7" s="2428" t="n"/>
      <c r="J7" s="2428" t="n"/>
      <c r="K7" s="2428" t="n"/>
      <c r="L7" s="1757" t="n"/>
      <c r="M7" s="2517" t="n"/>
      <c r="N7" s="2517" t="n"/>
      <c r="O7" s="2517" t="n"/>
      <c r="P7" s="2457" t="n"/>
      <c r="Q7" s="2517" t="n"/>
      <c r="S7" s="2124" t="n"/>
      <c r="T7" s="2124" t="inlineStr">
        <is>
          <t>Coparent</t>
        </is>
      </c>
      <c r="U7" s="2195">
        <f>'Modèle Calcul A-R + Sommaire'!AG27</f>
        <v/>
      </c>
      <c r="V7" s="2195">
        <f>'Modèle Calcul A-R + Sommaire'!AH27</f>
        <v/>
      </c>
      <c r="W7" s="2195">
        <f>'Modèle Calcul A-R + Sommaire'!AI27</f>
        <v/>
      </c>
      <c r="X7" s="2124" t="n"/>
    </row>
    <row r="8" ht="23" customHeight="1" s="2456">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8">
        <f>IF(AND($C$8&gt;=103,$C$8&lt;135),1,IF(AND($C$8&gt;=135,$C$8&lt;171),2,IF($C$8&gt;=171,3,0)))</f>
        <v/>
      </c>
      <c r="J8" s="2428" t="n"/>
      <c r="K8" s="2428" t="n"/>
      <c r="L8" s="1757" t="n"/>
      <c r="M8" s="2517" t="n"/>
      <c r="N8" s="2517" t="n"/>
      <c r="O8" s="2517" t="n"/>
      <c r="P8" s="2457" t="n"/>
      <c r="Q8" s="2517" t="n"/>
    </row>
    <row r="9" ht="33" customHeight="1" s="2456">
      <c r="A9" s="1717" t="n"/>
      <c r="C9" s="1885" t="inlineStr">
        <is>
          <t>Stade léger</t>
        </is>
      </c>
      <c r="H9" s="1752" t="n"/>
      <c r="I9" s="1752" t="n"/>
      <c r="J9" s="1752" t="n"/>
      <c r="K9" s="1752" t="n"/>
      <c r="L9" s="1752" t="n"/>
    </row>
    <row r="10" ht="50" customHeight="1" s="2456">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5" t="n"/>
      <c r="G10" s="2425" t="n"/>
      <c r="H10" s="2425" t="n"/>
      <c r="I10" s="2537" t="inlineStr">
        <is>
          <t>Zone de programmation</t>
        </is>
      </c>
      <c r="K10" s="2505" t="n"/>
      <c r="L10" s="2151" t="n"/>
      <c r="P10" s="2563" t="n"/>
    </row>
    <row r="11" ht="21" customHeight="1" s="2456">
      <c r="H11" s="291" t="n"/>
      <c r="I11" s="2186" t="inlineStr">
        <is>
          <t>Constats</t>
        </is>
      </c>
      <c r="J11" s="2186" t="inlineStr">
        <is>
          <t>Drapeaux jaunes</t>
        </is>
      </c>
      <c r="K11" s="2186" t="inlineStr">
        <is>
          <t>Drapeaux rouges</t>
        </is>
      </c>
      <c r="L11" s="2364" t="n"/>
      <c r="M11" s="2427" t="inlineStr">
        <is>
          <t>Bloc Constats</t>
        </is>
      </c>
      <c r="N11" s="2427" t="inlineStr">
        <is>
          <t>Bloc Constats</t>
        </is>
      </c>
      <c r="O11" s="2427" t="inlineStr">
        <is>
          <t>Bloc Constats</t>
        </is>
      </c>
      <c r="P11" s="2544" t="inlineStr">
        <is>
          <t>SECTION DRAPEAUX</t>
        </is>
      </c>
      <c r="R11" s="2520" t="n"/>
      <c r="S11" s="2188" t="n"/>
      <c r="T11" s="2457" t="n"/>
      <c r="U11" s="2559" t="n"/>
    </row>
    <row r="12" ht="62" customHeight="1" s="2456">
      <c r="B12" t="inlineStr">
        <is>
          <t>Catégories</t>
        </is>
      </c>
      <c r="C12" s="246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20" t="inlineStr">
        <is>
          <t>Léger</t>
        </is>
      </c>
      <c r="N12" s="2520" t="inlineStr">
        <is>
          <t>Modéré</t>
        </is>
      </c>
      <c r="O12" s="2520" t="inlineStr">
        <is>
          <t>Sévère</t>
        </is>
      </c>
      <c r="P12" s="2465" t="inlineStr">
        <is>
          <t>Drapeaux jaunes</t>
        </is>
      </c>
      <c r="Q12" s="2520" t="inlineStr">
        <is>
          <t>Drapeaux rouges</t>
        </is>
      </c>
      <c r="S12" s="2520" t="n"/>
      <c r="T12" s="2520" t="n"/>
      <c r="U12" s="2559" t="n"/>
    </row>
    <row r="13" ht="18" customHeight="1" s="2456">
      <c r="C13" s="2465" t="n"/>
      <c r="D13" s="2072" t="n"/>
      <c r="E13" s="2073" t="n"/>
      <c r="F13" s="2185" t="n"/>
      <c r="G13" s="2185" t="n"/>
      <c r="H13" s="54" t="n"/>
      <c r="I13" s="2269" t="n"/>
      <c r="J13" s="2269" t="n"/>
      <c r="K13" s="2269" t="n"/>
      <c r="L13" s="2269" t="n"/>
      <c r="M13" s="2520" t="n">
        <v>1</v>
      </c>
      <c r="N13" s="2520" t="n">
        <v>2</v>
      </c>
      <c r="O13" s="2520" t="n">
        <v>3</v>
      </c>
      <c r="P13" s="2465" t="n"/>
      <c r="Q13" s="2520" t="n"/>
      <c r="S13" s="2520" t="n"/>
      <c r="T13" s="2520" t="n"/>
      <c r="U13" s="2559" t="n"/>
    </row>
    <row r="14" ht="136" customHeight="1" s="2456">
      <c r="C14" s="2465" t="n"/>
      <c r="D14" s="2072" t="n"/>
      <c r="E14" s="2073" t="n"/>
      <c r="F14" s="2185" t="n"/>
      <c r="G14" s="2270" t="inlineStr">
        <is>
          <t>Max Q et SQ</t>
        </is>
      </c>
      <c r="H14" s="54" t="n"/>
      <c r="I14" s="2411">
        <f>IF($I$8,HLOOKUP($I$8,$M$13:$O$42,2),"")</f>
        <v/>
      </c>
      <c r="J14" s="2580" t="n"/>
      <c r="K14" s="2580" t="n"/>
      <c r="L14" s="2580" t="n"/>
      <c r="M14" s="2578" t="inlineStr">
        <is>
          <t xml:space="preserve">L’analyse des réponses obtenues aux questionnaires révèle un degré d’implication léger de la part du nouveau ou de la nouvelle conjoint·e dans la dynamique familiale. </t>
        </is>
      </c>
      <c r="N14" s="2578"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578"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65" t="n"/>
      <c r="Q14" s="2520" t="n"/>
      <c r="S14" s="2520" t="n"/>
      <c r="T14" s="2520" t="n"/>
      <c r="U14" s="2559"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64" t="inlineStr">
        <is>
          <t>Crée une alliance avec l'enfant qui nuit à la dynamique de coparentalité</t>
        </is>
      </c>
      <c r="I15" s="826" t="n"/>
      <c r="J15" s="2411">
        <f>IF(OR($I$17="",P15=""),"",P15)</f>
        <v/>
      </c>
      <c r="K15" s="2411">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496" t="n"/>
      <c r="I16" s="1838" t="n"/>
      <c r="J16" s="2411">
        <f>IF(OR($I$17="",P16=""),"",P16)</f>
        <v/>
      </c>
      <c r="K16" s="2411">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11">
        <f>IF(H17&gt;=$H$40,HLOOKUP($I$8,$M$13:$O$42,5),"")</f>
        <v/>
      </c>
      <c r="J17" s="2411">
        <f>IF(OR(I17="",P17=""),"",P17)</f>
        <v/>
      </c>
      <c r="K17" s="2411">
        <f>IF(OR(I17="",Q17=""),"",Q17)</f>
        <v/>
      </c>
      <c r="L17" s="2173" t="n"/>
      <c r="M17" s="2286" t="inlineStr">
        <is>
          <t xml:space="preserve">Une certaine complicité semble s'être installée entre votre enfant et le nouveau ou la nouvelle conjoint·e de l'autre parent. </t>
        </is>
      </c>
      <c r="N17" s="2286" t="inlineStr">
        <is>
          <t xml:space="preserve">Il ou elle semble avoir créé une certaine alliance avec votre enfant qui pourrait aller au-delà d'une complicité attendue entre un enfant et son beau-parent. </t>
        </is>
      </c>
      <c r="O17" s="2286" t="inlineStr">
        <is>
          <t>Il ou elle semble avoir créé une alliance qui va au-delà d'une complicité normale entre un enfant et son beau-parent.</t>
        </is>
      </c>
      <c r="P17" s="2329" t="inlineStr">
        <is>
          <t xml:space="preserve">Lorem ipsum eligendi tempora qui nihil animi qui dolore consequatur  – DRAPEAU JAUNE PAR THÈME -- unde similique sed deserunt aperiam ad eligendi tempora! </t>
        </is>
      </c>
      <c r="Q17" s="2174" t="n"/>
      <c r="R17" s="2174" t="n"/>
      <c r="S17" s="2174" t="n"/>
      <c r="T17" s="2174" t="n"/>
    </row>
    <row r="18" ht="49" customFormat="1" customHeight="1" s="82">
      <c r="A18" s="2412"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11">
        <f>IF(OR($I$19="",P18=""),"",P18)</f>
        <v/>
      </c>
      <c r="K18" s="2411">
        <f>IF(OR($I$19="",Q18=""),"",Q18)</f>
        <v/>
      </c>
      <c r="M18" s="826" t="n"/>
      <c r="N18" s="826" t="n"/>
      <c r="O18" s="826" t="n"/>
      <c r="P18" s="826" t="n"/>
      <c r="Q18" s="2286" t="inlineStr">
        <is>
          <t xml:space="preserve">On laisse entendre à l'enfant qu'il n'est pas en sécurité  – DRAPEAU ROUGE * COMPORTEMENT TYPIQUEMENT AP – similique sed deserunt aperiam ad eligendi tempora! </t>
        </is>
      </c>
      <c r="R18" s="2174" t="n"/>
      <c r="S18" s="2174" t="n"/>
      <c r="T18" s="2174" t="n"/>
    </row>
    <row r="19" ht="51" customFormat="1" customHeight="1" s="82">
      <c r="A19" s="2178" t="n"/>
      <c r="B19" s="2178" t="n"/>
      <c r="C19" s="2179" t="n"/>
      <c r="D19" s="2180" t="n"/>
      <c r="E19" s="2180" t="n"/>
      <c r="F19" s="2181" t="n"/>
      <c r="G19" s="2174" t="n"/>
      <c r="H19" s="2172">
        <f>AVERAGE(G18)</f>
        <v/>
      </c>
      <c r="I19" s="2411">
        <f>IF(H19&gt;=$H$40,HLOOKUP($I$8,$M$13:$O$42,7),"")</f>
        <v/>
      </c>
      <c r="J19" s="2411">
        <f>IF(OR(I19="",P19=""),"",P19)</f>
        <v/>
      </c>
      <c r="K19" s="2411">
        <f>IF(OR(I19="",Q19=""),"",Q19)</f>
        <v/>
      </c>
      <c r="L19" s="2173" t="n"/>
      <c r="M19" s="2286" t="n"/>
      <c r="N19" s="2286" t="inlineStr">
        <is>
          <t xml:space="preserve">Il ou elle semble laisser entendre que votre enfant n'est pas en sécurité lorsqu'il ou elle est avec vous ou sous votre responsabilité. </t>
        </is>
      </c>
      <c r="O19" s="2286" t="inlineStr">
        <is>
          <t xml:space="preserve">Il ou elle semble laisser entendre que votre enfant n'est pas en sécurité lorsqu'il ou elle est avec vous ou sous votre responsabilité. </t>
        </is>
      </c>
      <c r="P19" s="826" t="n"/>
      <c r="Q19" s="2174" t="n"/>
      <c r="R19" s="2174" t="n"/>
      <c r="S19" s="2174" t="n"/>
      <c r="T19" s="2174" t="n"/>
    </row>
    <row r="20" ht="34"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11">
        <f>IF(OR($I$21="non prioritaire",P20=""),"",P20)</f>
        <v/>
      </c>
      <c r="K20" s="2411">
        <f>IF(OR($I$21="non prioritaire",Q20=""),"",Q20)</f>
        <v/>
      </c>
      <c r="M20" s="826" t="n"/>
      <c r="N20" s="826" t="n"/>
      <c r="O20" s="826" t="n"/>
      <c r="P20" s="826" t="n"/>
      <c r="Q20" s="2174" t="n"/>
      <c r="R20" s="2174" t="n"/>
      <c r="S20" s="2174" t="n"/>
      <c r="T20" s="2174" t="n"/>
    </row>
    <row r="21" ht="102" customFormat="1" customHeight="1" s="82">
      <c r="C21" s="826" t="n"/>
      <c r="F21" s="2174" t="n"/>
      <c r="G21" s="2174" t="n"/>
      <c r="H21" s="2172">
        <f>AVERAGE(G20)</f>
        <v/>
      </c>
      <c r="I21" s="2411">
        <f>IF(H21&gt;=$H$40,HLOOKUP($I$8,$M$13:$O$42,9),"")</f>
        <v/>
      </c>
      <c r="J21" s="2411">
        <f>IF(OR(I21="",P21=""),"",P21)</f>
        <v/>
      </c>
      <c r="K21" s="2411">
        <f>IF(OR(I21="",Q21=""),"",Q21)</f>
        <v/>
      </c>
      <c r="L21" s="2173" t="n"/>
      <c r="M21" s="2286"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Il ou elle semble vous ignorer lorsqu'il ou elle vous croise en compagnie de votre enfant, créant possiblement un malaise pour votre enfant et créer un conlfit de loyauté.</t>
        </is>
      </c>
      <c r="O21" s="2286" t="inlineStr">
        <is>
          <t xml:space="preserve">Le nouveau ou la nouvelle conjoint·e vous ignore lorsqu'il ou elle vous croise en compagnie de votre enfant. Ce qui nourit possiblement un malaise et conlfit de loyauté. Chez votre enfant. </t>
        </is>
      </c>
      <c r="P21" s="2286"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38" t="inlineStr">
        <is>
          <t>Dénigre l'ex-conjoint·e, l'autre parent de l'enfant</t>
        </is>
      </c>
      <c r="I22" s="1838" t="n"/>
      <c r="J22" s="2411">
        <f>IF(OR($I$25="",P22=""),"",P22)</f>
        <v/>
      </c>
      <c r="K22" s="2411">
        <f>IF(OR($I$25="",Q22=""),"",Q22)</f>
        <v/>
      </c>
      <c r="L22" s="2173" t="n"/>
      <c r="M22" s="826" t="n"/>
      <c r="N22" s="826" t="n"/>
      <c r="O22" s="826" t="n"/>
      <c r="P22" s="826" t="n"/>
      <c r="Q22" s="2174" t="n"/>
      <c r="R22" s="2174" t="n"/>
      <c r="S22" s="2174" t="n"/>
      <c r="T22" s="2174" t="n"/>
    </row>
    <row r="23" ht="68" customFormat="1" customHeight="1" s="82">
      <c r="A23" s="2413" t="inlineStr">
        <is>
          <t>NC04a1</t>
        </is>
      </c>
      <c r="B23" s="2201">
        <f>BIBLE!V100</f>
        <v/>
      </c>
      <c r="C23" s="2202">
        <f>BIBLE!R100</f>
        <v/>
      </c>
      <c r="D23" s="2203">
        <f>Test_Bible!D415</f>
        <v/>
      </c>
      <c r="E23" s="2203">
        <f>Test_Bible!P415</f>
        <v/>
      </c>
      <c r="F23" s="2204">
        <f>BIBLE!Q223</f>
        <v/>
      </c>
      <c r="G23" s="2204" t="n"/>
      <c r="H23" s="2495" t="n"/>
      <c r="I23" s="826" t="n"/>
      <c r="J23" s="2411">
        <f>IF(OR($I$25="",P23=""),"",P23)</f>
        <v/>
      </c>
      <c r="K23" s="2411">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496" t="n"/>
      <c r="I24" s="826" t="n"/>
      <c r="J24" s="2411">
        <f>IF(OR($I$25="",P24=""),"",P24)</f>
        <v/>
      </c>
      <c r="K24" s="2411">
        <f>IF(OR($I$25="",Q24=""),"",Q24)</f>
        <v/>
      </c>
      <c r="M24" s="826" t="n"/>
      <c r="N24" s="826" t="n"/>
      <c r="O24" s="826" t="n"/>
      <c r="P24" s="826" t="n"/>
      <c r="Q24" s="2174" t="n"/>
      <c r="R24" s="2174" t="n"/>
      <c r="S24" s="2174" t="n"/>
      <c r="T24" s="2174" t="n"/>
    </row>
    <row r="25" ht="85" customFormat="1" customHeight="1" s="82">
      <c r="C25" s="1838" t="n"/>
      <c r="D25" s="2173" t="n"/>
      <c r="E25" s="2173" t="n"/>
      <c r="F25" s="2174" t="n"/>
      <c r="G25" s="2174" t="n"/>
      <c r="H25" s="2172">
        <f>AVERAGE(G22:G24)</f>
        <v/>
      </c>
      <c r="I25" s="2411">
        <f>IF(H25&gt;=$H$40,HLOOKUP($I$8,$M$13:$O$42,13),"")</f>
        <v/>
      </c>
      <c r="J25" s="2411">
        <f>IF(OR(I25="",P25=""),"",P25)</f>
        <v/>
      </c>
      <c r="K25" s="2411">
        <f>IF(OR(I25="",Q25=""),"",Q25)</f>
        <v/>
      </c>
      <c r="L25" s="2173" t="n"/>
      <c r="M25" s="2286" t="n"/>
      <c r="N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329" t="inlineStr">
        <is>
          <t xml:space="preserve">Lorem ipsum eligendi tempora qui nihil animi qui dolore consequatur  – DRAPEAU JAUNE PAR THÈME -- unde similique sed deserunt aperiam ad eligendi tempora! </t>
        </is>
      </c>
      <c r="Q25" s="2174" t="n"/>
      <c r="R25" s="2174" t="n"/>
      <c r="S25" s="2174" t="n"/>
      <c r="T25" s="2174" t="n"/>
    </row>
    <row r="26" ht="34" customFormat="1" customHeight="1" s="82">
      <c r="A26" s="2414" t="inlineStr">
        <is>
          <t>NC07</t>
        </is>
      </c>
      <c r="B26" s="82">
        <f>BIBLE!V107</f>
        <v/>
      </c>
      <c r="C26" s="1838">
        <f>BIBLE!R107</f>
        <v/>
      </c>
      <c r="D26" s="2173">
        <f>Test_Bible!D417</f>
        <v/>
      </c>
      <c r="E26" s="2173">
        <f>Test_Bible!P417</f>
        <v/>
      </c>
      <c r="F26" s="2174">
        <f>BIBLE!Q225</f>
        <v/>
      </c>
      <c r="G26" s="2174">
        <f>MAX(F26:F27)</f>
        <v/>
      </c>
      <c r="H26" s="2561" t="inlineStr">
        <is>
          <t>S'interpose dans la gestion familiale de coparentalité et des responsabilités face à l'enfant</t>
        </is>
      </c>
      <c r="I26" s="826" t="n"/>
      <c r="J26" s="2411">
        <f>IF(OR($I$33="",P26=""),"",P26)</f>
        <v/>
      </c>
      <c r="K26" s="2411">
        <f>IF(OR($I$33="",Q26=""),"",Q26)</f>
        <v/>
      </c>
      <c r="M26" s="826" t="n"/>
      <c r="N26" s="826" t="n"/>
      <c r="O26" s="826" t="n"/>
      <c r="P26" s="826" t="n"/>
      <c r="Q26" s="2174" t="n"/>
      <c r="R26" s="2174" t="n"/>
      <c r="S26" s="2174" t="n"/>
      <c r="T26" s="2174" t="n"/>
    </row>
    <row r="27" ht="102" customFormat="1" customHeight="1" s="82">
      <c r="A27" s="2413" t="inlineStr">
        <is>
          <t>NC07a</t>
        </is>
      </c>
      <c r="B27" s="2201">
        <f>BIBLE!V110</f>
        <v/>
      </c>
      <c r="C27" s="2202">
        <f>BIBLE!R110</f>
        <v/>
      </c>
      <c r="D27" s="2203">
        <f>Test_Bible!D418</f>
        <v/>
      </c>
      <c r="E27" s="2203">
        <f>Test_Bible!P418</f>
        <v/>
      </c>
      <c r="F27" s="2204">
        <f>BIBLE!Q226</f>
        <v/>
      </c>
      <c r="G27" s="2204" t="n"/>
      <c r="H27" s="2495" t="n"/>
      <c r="I27" s="826" t="n"/>
      <c r="J27" s="2411">
        <f>IF(OR($I$33="",P27=""),"",P27)</f>
        <v/>
      </c>
      <c r="K27" s="2411">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495" t="n"/>
      <c r="I28" s="826" t="n"/>
      <c r="J28" s="2411">
        <f>IF(OR($I$33="",P28=""),"",P28)</f>
        <v/>
      </c>
      <c r="K28" s="2411">
        <f>IF(OR($I$33="",Q28=""),"",Q28)</f>
        <v/>
      </c>
      <c r="M28" s="826" t="n"/>
      <c r="N28" s="826" t="n"/>
      <c r="O28" s="826" t="n"/>
      <c r="P28" s="826" t="n"/>
      <c r="Q28" s="2174" t="n"/>
      <c r="R28" s="2174" t="n"/>
      <c r="S28" s="2174" t="n"/>
      <c r="T28" s="2174" t="n"/>
    </row>
    <row r="29" ht="34" customFormat="1" customHeight="1" s="82">
      <c r="A29" s="2414" t="inlineStr">
        <is>
          <t>NC10</t>
        </is>
      </c>
      <c r="B29" s="82">
        <f>BIBLE!V116</f>
        <v/>
      </c>
      <c r="C29" s="1838">
        <f>BIBLE!R116</f>
        <v/>
      </c>
      <c r="D29" s="2173">
        <f>Test_Bible!D420</f>
        <v/>
      </c>
      <c r="E29" s="2173">
        <f>Test_Bible!P420</f>
        <v/>
      </c>
      <c r="F29" s="2174">
        <f>BIBLE!Q228</f>
        <v/>
      </c>
      <c r="G29" s="2174">
        <f>F29</f>
        <v/>
      </c>
      <c r="H29" s="2495" t="n"/>
      <c r="I29" s="826" t="n"/>
      <c r="J29" s="2411">
        <f>IF(OR($I$33="",P29=""),"",P29)</f>
        <v/>
      </c>
      <c r="K29" s="2411">
        <f>IF(OR($I$33="",Q29=""),"",Q29)</f>
        <v/>
      </c>
      <c r="M29" s="826" t="n"/>
      <c r="N29" s="826" t="n"/>
      <c r="O29" s="826" t="n"/>
      <c r="P29" s="826" t="n"/>
      <c r="Q29" s="2174" t="n"/>
      <c r="R29" s="2174" t="n"/>
      <c r="S29" s="2174" t="n"/>
      <c r="T29" s="2174" t="n"/>
    </row>
    <row r="30" ht="34" customFormat="1" customHeight="1" s="82">
      <c r="A30" s="2414" t="inlineStr">
        <is>
          <t>NC11</t>
        </is>
      </c>
      <c r="B30" s="82">
        <f>BIBLE!V229</f>
        <v/>
      </c>
      <c r="C30" s="1838">
        <f>BIBLE!R229</f>
        <v/>
      </c>
      <c r="D30" s="2173">
        <f>Test_Bible!D421</f>
        <v/>
      </c>
      <c r="E30" s="2173">
        <f>Test_Bible!P421</f>
        <v/>
      </c>
      <c r="F30" s="2174">
        <f>BIBLE!Q229</f>
        <v/>
      </c>
      <c r="G30" s="2174">
        <f>F30</f>
        <v/>
      </c>
      <c r="H30" s="2495" t="n"/>
      <c r="I30" s="826" t="n"/>
      <c r="J30" s="2411">
        <f>IF(OR($I$33="",P30=""),"",P30)</f>
        <v/>
      </c>
      <c r="K30" s="2411">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495" t="n"/>
      <c r="I31" s="826" t="n"/>
      <c r="J31" s="2411">
        <f>IF(OR($I$33="",P31=""),"",P31)</f>
        <v/>
      </c>
      <c r="K31" s="2411">
        <f>IF(OR($I$33="",Q31=""),"",Q31)</f>
        <v/>
      </c>
      <c r="M31" s="826" t="n"/>
      <c r="N31" s="826" t="n"/>
      <c r="O31" s="826" t="n"/>
      <c r="P31" s="826" t="n"/>
      <c r="Q31" s="2174" t="n"/>
      <c r="R31" s="2174" t="n"/>
      <c r="S31" s="2174" t="n"/>
      <c r="T31" s="2174" t="n"/>
    </row>
    <row r="32" ht="34" customFormat="1" customHeight="1" s="82">
      <c r="A32" s="2415" t="inlineStr">
        <is>
          <t>NC13</t>
        </is>
      </c>
      <c r="B32" s="2175">
        <f>BIBLE!V114</f>
        <v/>
      </c>
      <c r="C32" s="2184">
        <f>BIBLE!R114</f>
        <v/>
      </c>
      <c r="D32" s="2176">
        <f>Test_Bible!D423</f>
        <v/>
      </c>
      <c r="E32" s="2176">
        <f>Test_Bible!P423</f>
        <v/>
      </c>
      <c r="F32" s="2177">
        <f>BIBLE!Q231</f>
        <v/>
      </c>
      <c r="G32" s="2177">
        <f>F32</f>
        <v/>
      </c>
      <c r="H32" s="2496" t="n"/>
      <c r="I32" s="1838" t="n"/>
      <c r="J32" s="2411">
        <f>IF(OR($I$33="",P32=""),"",P32)</f>
        <v/>
      </c>
      <c r="K32" s="2411">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11">
        <f>IF(H33&gt;=$H$40,HLOOKUP($I$8,$M$13:$O$42,21),"")</f>
        <v/>
      </c>
      <c r="J33" s="2411">
        <f>IF(OR(I33="",P33=""),"",P33)</f>
        <v/>
      </c>
      <c r="K33" s="2411">
        <f>IF(OR(I33="",Q33=""),"",Q33)</f>
        <v/>
      </c>
      <c r="L33" s="2173" t="n"/>
      <c r="M33" s="2329" t="inlineStr">
        <is>
          <t>Les responsabilités du nouveau ou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329" t="inlineStr">
        <is>
          <t xml:space="preserve">Lorem ipsum eligendi tempora qui nihil animi qui dolore consequatur  – DRAPEAU JAUNE PAR THÈME -- unde similique sed deserunt aperiam ad eligendi tempora! </t>
        </is>
      </c>
      <c r="Q33" s="2174" t="n"/>
      <c r="R33" s="2174" t="n"/>
      <c r="S33" s="2174" t="n"/>
      <c r="T33" s="2174" t="n"/>
    </row>
    <row r="34" ht="34" customFormat="1" customHeight="1" s="82">
      <c r="A34" s="2414" t="inlineStr">
        <is>
          <t>NC14</t>
        </is>
      </c>
      <c r="B34" s="82">
        <f>BIBLE!V232</f>
        <v/>
      </c>
      <c r="C34" s="1838">
        <f>BIBLE!R232</f>
        <v/>
      </c>
      <c r="D34" s="2173">
        <f>Test_Bible!D424</f>
        <v/>
      </c>
      <c r="E34" s="2173">
        <f>Test_Bible!P424</f>
        <v/>
      </c>
      <c r="F34" s="2174">
        <f>BIBLE!Q232</f>
        <v/>
      </c>
      <c r="G34" s="2174">
        <f>F34</f>
        <v/>
      </c>
      <c r="H34" s="2538" t="inlineStr">
        <is>
          <t>Se positionne comme parent remplaçant</t>
        </is>
      </c>
      <c r="I34" s="826" t="n"/>
      <c r="J34" s="2411">
        <f>IF(OR($I$36="",P34=""),"",P34)</f>
        <v/>
      </c>
      <c r="K34" s="2411">
        <f>IF(OR($I$36="",Q34=""),"",Q34)</f>
        <v/>
      </c>
      <c r="M34" s="826" t="n"/>
      <c r="N34" s="826" t="n"/>
      <c r="O34" s="826" t="n"/>
      <c r="P34" s="826" t="n"/>
      <c r="Q34" s="2174" t="n"/>
      <c r="R34" s="2174" t="n"/>
      <c r="S34" s="2174" t="n"/>
      <c r="T34" s="2174" t="n"/>
    </row>
    <row r="35" ht="102" customFormat="1" customHeight="1" s="82">
      <c r="A35" s="2416" t="inlineStr">
        <is>
          <t>NC15</t>
        </is>
      </c>
      <c r="B35" s="2175">
        <f>BIBLE!V233</f>
        <v/>
      </c>
      <c r="C35" s="2184">
        <f>BIBLE!R233</f>
        <v/>
      </c>
      <c r="D35" s="2176">
        <f>Test_Bible!D425</f>
        <v/>
      </c>
      <c r="E35" s="2176">
        <f>Test_Bible!P425</f>
        <v/>
      </c>
      <c r="F35" s="2177">
        <f>BIBLE!Q233</f>
        <v/>
      </c>
      <c r="G35" s="2177">
        <f>F35</f>
        <v/>
      </c>
      <c r="H35" s="2496" t="n"/>
      <c r="I35" s="1838" t="n"/>
      <c r="J35" s="2411">
        <f>IF(OR($I$36="",P35=""),"",P35)</f>
        <v/>
      </c>
      <c r="K35" s="2411">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11">
        <f>IF(H36&gt;=$H$40,HLOOKUP($I$8,$M$13:$O$42,24),"")</f>
        <v/>
      </c>
      <c r="J36" s="2411">
        <f>IF(OR(I36="",P36=""),"",P36)</f>
        <v/>
      </c>
      <c r="K36" s="2411">
        <f>IF(OR(I36="",Q36=""),"",Q36)</f>
        <v/>
      </c>
      <c r="L36" s="2173" t="n"/>
      <c r="M36" s="2286" t="inlineStr">
        <is>
          <t xml:space="preserve">L'affection du NC pour votre enfant et la relation es responsabilités peut créer un peu confusion chez l'enfant et/ou affecter la valeur symbolique. </t>
        </is>
      </c>
      <c r="N36" s="2286" t="inlineStr">
        <is>
          <t>la valeur parentale du coparent Le nouvse subsitue au rôle maternel ou parental ce qui peut créer de la confusion chez l'enfant.</t>
        </is>
      </c>
      <c r="O36" s="2286" t="inlineStr">
        <is>
          <t xml:space="preserve">Le NC semble se subsituer au rôle maternel ou paretenel, ce qui crée possiblement une certaine  confusion sur le plan affectif chez votre enfant.  </t>
        </is>
      </c>
      <c r="P36" s="2329" t="inlineStr">
        <is>
          <t xml:space="preserve">Lorem ipsum eligendi tempora – DRAPEAU JAUNE PAR THÈME qui nihil animi qui dolore consequatur unde similique sed deserunt aperiam ad eligendi tempora! </t>
        </is>
      </c>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11">
        <f>IF(OR($I$38="",P37=""),"",P37)</f>
        <v/>
      </c>
      <c r="K37" s="2411">
        <f>IF(OR($I$38="",Q37=""),"",Q37)</f>
        <v/>
      </c>
      <c r="M37" s="826" t="n"/>
      <c r="N37" s="826" t="n"/>
      <c r="O37" s="826" t="n"/>
      <c r="P37" s="826" t="n"/>
      <c r="Q37" s="2174" t="n"/>
      <c r="R37" s="2174" t="n"/>
      <c r="S37" s="2174" t="n"/>
      <c r="T37" s="2174" t="n"/>
    </row>
    <row r="38" ht="98" customHeight="1" s="2456">
      <c r="H38" s="1057">
        <f>AVERAGE(G37)</f>
        <v/>
      </c>
      <c r="I38" s="2411">
        <f>IF(H38&gt;=$H$40,HLOOKUP($I$8,$M$13:$O$42,26),"")</f>
        <v/>
      </c>
      <c r="J38" s="2411">
        <f>IF(OR(I38="",P38=""),"",P38)</f>
        <v/>
      </c>
      <c r="K38" s="2411">
        <f>IF(OR(I38="",Q38=""),"",Q38)</f>
        <v/>
      </c>
      <c r="L38" s="2173" t="n"/>
      <c r="M38" s="2329" t="n"/>
      <c r="N38" s="2329" t="inlineStr">
        <is>
          <t xml:space="preserve">Le NC demande à ce que les désirs de l'enfant soit respectés, s'arrogeant une autorité parentale qui ne lui revient pas.  </t>
        </is>
      </c>
      <c r="O38" s="2329" t="inlineStr">
        <is>
          <t xml:space="preserve">Le NC demande à ce que les désirs de l'enfant soit respectés, s'arrogeant une autorité parentale qui ne lui revient pas.  </t>
        </is>
      </c>
      <c r="P38" s="1447" t="n"/>
      <c r="Q38" s="2174" t="n"/>
      <c r="R38" s="90" t="n"/>
      <c r="S38" s="90" t="n"/>
      <c r="T38" s="90" t="n"/>
    </row>
    <row r="39" ht="21" customHeight="1" s="2456">
      <c r="E39" t="inlineStr">
        <is>
          <t>TOTAL</t>
        </is>
      </c>
      <c r="F39" s="6" t="n"/>
      <c r="G39" s="6">
        <f>SUM(G15:G37)</f>
        <v/>
      </c>
      <c r="H39" s="2457" t="n"/>
    </row>
    <row r="40" ht="24" customHeight="1" s="2456">
      <c r="D40" s="2170" t="n"/>
      <c r="E40" s="55" t="n"/>
      <c r="G40" t="inlineStr">
        <is>
          <t>Moyenne</t>
        </is>
      </c>
      <c r="H40" s="2171">
        <f>AVERAGE(H17,H19,H21,H25,H33,H36,H38)</f>
        <v/>
      </c>
      <c r="J40" s="1803" t="n"/>
      <c r="K40" s="1803" t="n"/>
      <c r="L40" s="57" t="inlineStr">
        <is>
          <t>Zone Sommaire du baromètre</t>
        </is>
      </c>
      <c r="M40" s="2464" t="n"/>
      <c r="N40" s="2464" t="n"/>
      <c r="O40" s="2464" t="n"/>
      <c r="P40" s="2464" t="n"/>
    </row>
    <row r="41" ht="114" customHeight="1" s="2456">
      <c r="H41" t="inlineStr">
        <is>
          <t>Conseils généraux</t>
        </is>
      </c>
      <c r="I41" s="2411">
        <f>IF(HLOOKUP($I$8,$M$13:$O$42,29)="","",HLOOKUP($I$8,$M$13:$O$42,29))</f>
        <v/>
      </c>
      <c r="J41" s="2580" t="n"/>
      <c r="K41" s="2580" t="n"/>
      <c r="L41" s="2469" t="inlineStr">
        <is>
          <t>Conseils généraux (Autres)</t>
        </is>
      </c>
      <c r="M41" s="1824" t="n"/>
      <c r="N41" s="1824" t="n"/>
      <c r="O41" s="1824" t="n"/>
    </row>
    <row r="42" ht="104" customHeight="1" s="2456">
      <c r="J42" s="2464" t="n"/>
      <c r="K42" s="2464" t="n"/>
      <c r="L42" s="2323" t="inlineStr">
        <is>
          <t>Références</t>
        </is>
      </c>
      <c r="M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A53" zoomScale="44" zoomScaleNormal="130" workbookViewId="0">
      <selection activeCell="E61" sqref="A1:XFD1048576"/>
    </sheetView>
  </sheetViews>
  <sheetFormatPr baseColWidth="10" defaultColWidth="11" defaultRowHeight="26"/>
  <cols>
    <col width="9.5" customWidth="1" style="2456" min="1" max="1"/>
    <col width="15" customWidth="1" style="1658"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57" min="36" max="40"/>
    <col width="11.33203125" customWidth="1" style="2457"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80" min="64" max="64"/>
    <col width="69.1640625" customWidth="1" style="2580" min="65" max="65"/>
    <col width="51.6640625" customWidth="1" style="2559" min="66" max="66"/>
    <col width="78.33203125" customWidth="1" style="2580"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style="2456" min="84" max="84"/>
    <col width="30" bestFit="1" customWidth="1" style="2456" min="85" max="85"/>
    <col width="16" bestFit="1" customWidth="1" style="2456" min="86" max="86"/>
    <col hidden="1" style="2456" min="87" max="87"/>
    <col width="42.1640625" bestFit="1" customWidth="1" style="2456" min="88" max="88"/>
    <col width="255.83203125" bestFit="1" customWidth="1" style="2456" min="89" max="89"/>
    <col hidden="1" style="2456"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9"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31" t="inlineStr">
        <is>
          <t>Zone "Constat" du baromètre</t>
        </is>
      </c>
      <c r="BM5" s="2431"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1"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0" t="n"/>
      <c r="CM6" s="2560" t="n"/>
      <c r="CN6" s="2560" t="n"/>
      <c r="CO6" s="2560" t="n"/>
      <c r="CP6" s="471" t="n"/>
      <c r="CQ6" s="471" t="n"/>
    </row>
    <row r="7" ht="119"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1" t="n"/>
      <c r="BQ7" s="591" t="n"/>
      <c r="BR7" s="591" t="n"/>
      <c r="BS7" s="591" t="n"/>
      <c r="BT7" s="591" t="n"/>
      <c r="BU7" s="591" t="n"/>
      <c r="BV7" s="591" t="n"/>
      <c r="BW7" s="591" t="n"/>
      <c r="BX7" s="591" t="n"/>
      <c r="BY7" s="591" t="n"/>
      <c r="BZ7" s="591" t="n"/>
      <c r="CA7" s="73" t="n"/>
      <c r="CB7" s="49" t="n"/>
      <c r="CL7" s="2560" t="n"/>
      <c r="CM7" s="2560" t="n"/>
      <c r="CN7" s="2560" t="n"/>
      <c r="CO7" s="2560" t="n"/>
      <c r="CP7" s="471" t="n"/>
      <c r="CQ7" s="471" t="n"/>
    </row>
    <row r="8" ht="40"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14" t="inlineStr">
        <is>
          <t>AP</t>
        </is>
      </c>
      <c r="AU8" s="2514" t="inlineStr">
        <is>
          <t>CL</t>
        </is>
      </c>
      <c r="AV8" s="2514" t="inlineStr">
        <is>
          <t>CSS</t>
        </is>
      </c>
      <c r="AX8" s="2514" t="n"/>
      <c r="AY8" t="inlineStr">
        <is>
          <t>SUJET</t>
        </is>
      </c>
      <c r="AZ8" s="2514" t="inlineStr">
        <is>
          <t>Score total</t>
        </is>
      </c>
      <c r="BB8" s="2525" t="inlineStr">
        <is>
          <t>Score A-R</t>
        </is>
      </c>
      <c r="BC8" s="441" t="inlineStr">
        <is>
          <t>Devant les comportements aliénants du PF, l'enfant répond :</t>
        </is>
      </c>
      <c r="BD8" s="2469" t="n"/>
      <c r="BE8" s="2525" t="inlineStr">
        <is>
          <t>Score A-R</t>
        </is>
      </c>
      <c r="BF8" s="729" t="inlineStr">
        <is>
          <t>L'enfant présente les comportements suivants sans signe ou évaluation de la participation du PFA :</t>
        </is>
      </c>
      <c r="BG8" s="728" t="n"/>
      <c r="BH8" s="2525" t="inlineStr">
        <is>
          <t>Score A-R</t>
        </is>
      </c>
      <c r="BI8" s="430" t="inlineStr">
        <is>
          <t>L'enfant ne semble pas répondre aux comportements suivant du PFA :</t>
        </is>
      </c>
      <c r="BL8" s="2579" t="inlineStr">
        <is>
          <t>AP</t>
        </is>
      </c>
      <c r="BP8" s="2167" t="n"/>
      <c r="BQ8" s="2167" t="n"/>
      <c r="BR8" s="2167" t="n"/>
      <c r="BS8" s="2167" t="n"/>
      <c r="BT8" s="2167" t="n"/>
      <c r="BU8" s="2167" t="n"/>
      <c r="BV8" s="2167" t="n"/>
      <c r="BW8" s="2167" t="n"/>
      <c r="BX8" s="2167" t="n"/>
      <c r="BY8" s="2167" t="n"/>
      <c r="BZ8" s="2167" t="n"/>
      <c r="CA8" s="74" t="n"/>
      <c r="CL8" s="2560" t="n"/>
      <c r="CM8" s="2560" t="n"/>
      <c r="CN8" s="2560" t="n"/>
      <c r="CO8" s="2560" t="n"/>
      <c r="CP8" s="471" t="n"/>
      <c r="CQ8" s="471" t="n"/>
    </row>
    <row r="9">
      <c r="C9" s="36" t="n"/>
      <c r="D9" s="36" t="n"/>
      <c r="E9" s="36" t="n"/>
      <c r="F9" s="36" t="n"/>
      <c r="G9" s="36" t="n"/>
      <c r="H9" s="36" t="n"/>
      <c r="I9" s="36" t="n"/>
      <c r="J9" s="36" t="n"/>
      <c r="K9" s="36" t="n"/>
      <c r="L9" s="36" t="n"/>
      <c r="M9" s="36" t="n"/>
      <c r="N9" s="49" t="n"/>
      <c r="AT9" s="2514" t="n"/>
      <c r="AU9" s="2514" t="n"/>
      <c r="AV9" s="2514" t="n"/>
      <c r="AX9" s="2514" t="n"/>
      <c r="AZ9" s="2514" t="n"/>
      <c r="BB9" s="2525" t="n"/>
      <c r="BC9" s="441" t="n"/>
      <c r="BD9" s="2469" t="n"/>
      <c r="BE9" s="2525" t="n"/>
      <c r="BF9" s="729" t="n"/>
      <c r="BG9" s="728" t="n"/>
      <c r="BH9" s="2525" t="n"/>
      <c r="BI9" s="2145" t="n"/>
      <c r="BL9" s="2432" t="inlineStr">
        <is>
          <t>Constat</t>
        </is>
      </c>
      <c r="BM9" s="2432" t="inlineStr">
        <is>
          <t>Conseils</t>
        </is>
      </c>
      <c r="BN9" s="2417" t="inlineStr">
        <is>
          <t>Drapeaux jaunes</t>
        </is>
      </c>
      <c r="BO9" s="2432" t="inlineStr">
        <is>
          <t>Drapeaux rouges</t>
        </is>
      </c>
      <c r="BP9" s="406" t="n"/>
      <c r="BQ9" s="406" t="n"/>
      <c r="BR9" s="406" t="n"/>
      <c r="BS9" s="406" t="n"/>
      <c r="BT9" s="406" t="n"/>
      <c r="BU9" s="406" t="n"/>
      <c r="BV9" s="406" t="n"/>
      <c r="BW9" s="406" t="n"/>
      <c r="BX9" s="406" t="n"/>
      <c r="BY9" s="406" t="n"/>
      <c r="BZ9" s="406" t="n"/>
      <c r="CA9" s="74" t="n"/>
      <c r="CL9" s="2560" t="n"/>
      <c r="CM9" s="2560" t="n"/>
      <c r="CN9" s="2560" t="n"/>
      <c r="CO9" s="2560" t="n"/>
      <c r="CP9" s="471" t="n"/>
      <c r="CQ9" s="471" t="n"/>
    </row>
    <row r="10" ht="51" customHeight="1" s="2456">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3" t="inlineStr">
        <is>
          <t>Votre enfant garde des secrets ou vous cache des choses concernant sa relation avec l'autre parent.</t>
        </is>
      </c>
      <c r="BM10" s="2437" t="n"/>
      <c r="BN10" s="2430" t="n"/>
      <c r="BO10" s="23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60" t="n"/>
      <c r="CM10" s="2560" t="n"/>
      <c r="CN10" s="2560" t="n"/>
      <c r="CO10" s="2560" t="n"/>
      <c r="CP10" s="471" t="n"/>
      <c r="CQ10" s="471" t="n"/>
    </row>
    <row r="11" ht="51" customHeight="1" s="2456">
      <c r="C11" s="36" t="n"/>
      <c r="D11" s="36" t="inlineStr">
        <is>
          <t>1) Le PFA (et ou le NC) a le comportement aliénant désigné avec intensité</t>
        </is>
      </c>
      <c r="E11" s="523" t="n"/>
      <c r="N11" s="49" t="n"/>
      <c r="AS11" s="2">
        <f>D69</f>
        <v/>
      </c>
      <c r="AT11">
        <f>AD86</f>
        <v/>
      </c>
      <c r="AU11">
        <f>AE86</f>
        <v/>
      </c>
      <c r="AV11">
        <f>AF86</f>
        <v/>
      </c>
      <c r="AX11" s="2457"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4" t="inlineStr">
        <is>
          <t xml:space="preserve">Votre enfant laisse entendre que vous ne l'aimez pas vraiment (par opposition à l'autre parent), que vous l'avez abandonné ou abandonné la famille au moment de la séparation. </t>
        </is>
      </c>
      <c r="BM11" s="2438" t="inlineStr">
        <is>
          <t xml:space="preserve">Méthode ADR : Important de rassurer votre enfant sans impliquer ou blâmer l'autre parent </t>
        </is>
      </c>
      <c r="BN11" s="2430" t="n"/>
      <c r="BO11" s="2441"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57"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4" t="inlineStr">
        <is>
          <t xml:space="preserve">Votre enfant laisse entendre que vous êtes instable psychologiquement. </t>
        </is>
      </c>
      <c r="BM12" s="2438" t="inlineStr">
        <is>
          <t xml:space="preserve">Méthode ADR : Important de rassurer votre enfant sans impliquer ou blâmer l'autre parent </t>
        </is>
      </c>
      <c r="BN12" s="2430" t="n"/>
      <c r="BO12" s="2441" t="n"/>
      <c r="CA12" s="75" t="n"/>
      <c r="CB12" s="2520" t="inlineStr">
        <is>
          <t>1) Si le parent fait l'action (secret) selon les conditions (VRAI)</t>
        </is>
      </c>
      <c r="CC12" s="2469" t="n"/>
      <c r="CD12" s="68" t="inlineStr">
        <is>
          <t>L'enfant réagit -compt A (VRAI)</t>
        </is>
      </c>
      <c r="CE12" s="2469" t="n"/>
      <c r="CF12" s="2469" t="n"/>
      <c r="CG12" s="2469" t="inlineStr">
        <is>
          <t>Accél.</t>
        </is>
      </c>
      <c r="CH12" s="2469" t="n"/>
      <c r="CI12" s="2469" t="n"/>
      <c r="CJ12" s="2575" t="inlineStr">
        <is>
          <t>On prend l'accél. maximum et non pas l'addition des deux</t>
        </is>
      </c>
      <c r="CK12" s="2465" t="b">
        <v>1</v>
      </c>
    </row>
    <row r="13" ht="52"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14" t="inlineStr">
        <is>
          <t>AP</t>
        </is>
      </c>
      <c r="AH13" s="2514" t="inlineStr">
        <is>
          <t>CL</t>
        </is>
      </c>
      <c r="AI13" s="251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57"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4" t="inlineStr">
        <is>
          <t xml:space="preserve">Votre enfant laisse entendre qu'il n'était pas en sécurité lorsqu'il ou elle est sous votre responsabilité. </t>
        </is>
      </c>
      <c r="BM13" s="2438" t="n"/>
      <c r="BN13" s="2430" t="n"/>
      <c r="BO13" s="2329" t="inlineStr">
        <is>
          <t>Lorem ipsum – DRAPEAU ROUGE / COMPORTEMENT AP – similique sed deserunt aperiam ad eligendi tempora! Est voluptas omnis cum expedita autem aut quod illum qui consequatur.</t>
        </is>
      </c>
      <c r="CA13" s="2469" t="n"/>
      <c r="CD13" s="68" t="inlineStr">
        <is>
          <t>L'enfant réagit -compt B (VRAI)</t>
        </is>
      </c>
      <c r="CE13" s="2469" t="n"/>
      <c r="CF13" s="2469" t="n"/>
      <c r="CG13" s="2469" t="inlineStr">
        <is>
          <t>Accél. ++</t>
        </is>
      </c>
      <c r="CH13" s="2469" t="inlineStr">
        <is>
          <t>compt plus sévère</t>
        </is>
      </c>
    </row>
    <row r="14" ht="51" customHeight="1" s="2456">
      <c r="C14" s="36" t="n"/>
      <c r="D14" s="36" t="inlineStr">
        <is>
          <t>2) Le PFA (et ou le NC) ne démontre pas ce comportement aliénant avec intensité</t>
        </is>
      </c>
      <c r="N14" s="49" t="n"/>
      <c r="X14" s="1732" t="n"/>
      <c r="Y14" s="2541" t="n"/>
      <c r="Z14" s="1733" t="inlineStr">
        <is>
          <t>Coparent</t>
        </is>
      </c>
      <c r="AA14" s="2541" t="n"/>
      <c r="AB14" s="1741">
        <f>H53+H73+H92+H111+H130+H150+H169+H188+H207+H226+H245+H264+H283+H302+H321+H340+H359+H378+H397+H417+H437+H456+H475+H494+H513+H532+H555+H575+H595+H615+H635+H656+H679+H698+H717+H737+H756</f>
        <v/>
      </c>
      <c r="AC14" s="2541" t="n"/>
      <c r="AD14" s="2541" t="n"/>
      <c r="AE14" s="2541" t="n"/>
      <c r="AF14" s="2541" t="n"/>
      <c r="AG14" s="2541">
        <f>AG53+AG73+AG92+AG111+AG130+AG149+AG169+AG188+AG207+AG226+AG245+AG264+AG283+AG302+AG321+AG340+AG359+AG378+AG397+AG417+AG437+AG456+AG475+AG494+AG513+AG532+AG555+AG575+AG595+AG615+AG635+AG656+AG679+AG698+AG717+AG737+AG756</f>
        <v/>
      </c>
      <c r="AH14" s="2541">
        <f>AH53+AH73+AH92+AH111+AH130+AH149+AH169+AH188+AH207+AH226+AH245+AH264+AH283+AH302+AH321+AH340+AH359+AH378+AH397+AH417+AH437+AH456+AH475+AH494+AH513+AH532+AH555+AH575+AH595+AH615+AH635+AH656+AH679+AH698+AH717+AH737+AH756</f>
        <v/>
      </c>
      <c r="AI14" s="2541">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57"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4" t="inlineStr">
        <is>
          <t xml:space="preserve">Le récit du passé de votre enfant est altéré par l'autre parent qui déforme les souvenirs de votre enfant. </t>
        </is>
      </c>
      <c r="BM14" s="2438" t="n"/>
      <c r="BN14" s="2430" t="n"/>
      <c r="BO14" s="23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2469" t="inlineStr">
        <is>
          <t>condition non-respectée (0%)</t>
        </is>
      </c>
      <c r="CH14" s="2469" t="n"/>
      <c r="CI14" s="2469" t="n"/>
      <c r="CJ14" s="2576" t="inlineStr">
        <is>
          <t>Malgré l'ordre reçu, l'enfant n'agit pas. Donc, aucun accel.</t>
        </is>
      </c>
      <c r="CK14" s="2465" t="b">
        <v>0</v>
      </c>
      <c r="CL14" s="2469" t="n"/>
    </row>
    <row r="15" ht="85"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57"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4" t="inlineStr">
        <is>
          <t xml:space="preserve">Votre enfant se sent coupable de l'amour qu'il vous porte. </t>
        </is>
      </c>
      <c r="BM15" s="2438"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30" t="n"/>
      <c r="BO15" s="2441" t="n"/>
      <c r="CA15" s="6" t="n"/>
      <c r="CB15" s="35" t="n"/>
      <c r="CD15" s="38" t="inlineStr">
        <is>
          <t>L'enfant réagit -compt B (VRAI)</t>
        </is>
      </c>
      <c r="CG15" s="2578" t="inlineStr">
        <is>
          <t>Même si l'enfant a reçu l'ordre, il ne garde pas de secrets.</t>
        </is>
      </c>
      <c r="CL15" s="2469" t="n"/>
    </row>
    <row r="16" ht="52"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2" t="n"/>
      <c r="Z16" s="1734" t="inlineStr">
        <is>
          <t>Coparent et NC</t>
        </is>
      </c>
      <c r="AA16" s="2462" t="n"/>
      <c r="AB16" s="1735">
        <f>H57+H77+H96+H115+H134+H154+H173+H192+H211+H230+H249+H268+H287+H306+H325+H344+H363+H382+H401+H422+H441+H460+H479+H498+H517+H536+H559+H579+H599+H619+H639+H660+H683+H702+H721+H741+H760</f>
        <v/>
      </c>
      <c r="AC16" s="2462" t="n"/>
      <c r="AD16" s="2462" t="n"/>
      <c r="AE16" s="2462" t="n"/>
      <c r="AF16" s="2462" t="n"/>
      <c r="AG16" s="2462">
        <f>AG57+AG77+AG96+AG115+AG134+AG154+AG173+AG192+AG211+AG230+AG249+AG268+AG287+AG306+AG325+AG344+AG363+AG382+AG401+AG422+AG441+AG460+AG479+AG498+AG517+AG536+AG559+AG579+AG599+AG619+AG639+AG660+AG683+AG702+AG721+AG741+AG760</f>
        <v/>
      </c>
      <c r="AH16" s="2462">
        <f>AH57+AH77+AH96+AH115+AH134+AH154+AH173+AH192+AH211+AH230+AH249+AH268+AH287+AH306+AH325+AH344+AH363+AH382+AH401+AH422+AH441+AH460+AH479+AH498+AH517+AH536+AH559+AH579+AH599+AH619+AH639+AH660+AH683+AH702+AH721+AH741+AH760</f>
        <v/>
      </c>
      <c r="AI16" s="2462">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57"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4" t="inlineStr">
        <is>
          <t xml:space="preserve">Votre enfant vous accable de question ou de reproches à son retour (changement de garde).  </t>
        </is>
      </c>
      <c r="BM16" s="2438" t="inlineStr">
        <is>
          <t>Il est important de se familiariser avec le principe de communication non violente (CNV) et de la contre manipulation au besoin. Et de consulter la section coparentalité de l'onglet Ressources, dont la charte de la coparentalité.</t>
        </is>
      </c>
      <c r="BN16" s="2430" t="n"/>
      <c r="BO16" s="2441" t="n"/>
      <c r="CB16" s="2520" t="n"/>
      <c r="CD16" s="68" t="inlineStr">
        <is>
          <t>L'enfant réagit -compt A (VRAI)</t>
        </is>
      </c>
      <c r="CG16" s="2469" t="inlineStr">
        <is>
          <t>Accél.</t>
        </is>
      </c>
      <c r="CJ16" s="2575" t="inlineStr">
        <is>
          <t>Il y a accélération de la réaction A, même sans B.</t>
        </is>
      </c>
      <c r="CK16" s="2465" t="b">
        <v>1</v>
      </c>
    </row>
    <row r="17" ht="137" customHeight="1" s="2456"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57"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4" t="inlineStr">
        <is>
          <t xml:space="preserve">Votre enfant change d'attitude lorsqu'il ou elle est en présence de l'autre parent. </t>
        </is>
      </c>
      <c r="BM17" s="2438"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30" t="n"/>
      <c r="BO17" s="2441" t="n"/>
      <c r="CA17" s="15" t="n"/>
      <c r="CD17" s="69" t="inlineStr">
        <is>
          <t>L'enfant ne réagit pas -compt B (FAUX)</t>
        </is>
      </c>
      <c r="CG17" s="2469" t="inlineStr">
        <is>
          <t>condition non-respectée (0%)</t>
        </is>
      </c>
    </row>
    <row r="18" ht="51"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1" t="n"/>
      <c r="AB18" s="1741">
        <f>H61+H81+H100+H119+H138+H158+H177+H196+H215+H234+H253+H272+H291+H310+H329+H348+H367+H386+H406+H426+H445+H464+H483+H502+H521+H541+H563+H583+H603+H623+H643+H664+H687+H706+H726+H745+H764</f>
        <v/>
      </c>
      <c r="AC18" s="1739" t="n"/>
      <c r="AD18" s="1739" t="n"/>
      <c r="AE18" s="1739" t="n"/>
      <c r="AF18" s="1739" t="n"/>
      <c r="AG18" s="2541">
        <f>AG61+AG81+AG100+AG119+AG138+AG158+AG177+AG196+AG215+AG234+AG253+AG272+AG291+AG310+AG329+AG348+AG367+AG386+AG406+AG426+AG445+AG464+AG483+AG502+AG521+AG541+AG563+AG583+AG603+AG623+AG643+AG664+AG687+AG706+AG726+AG745+AG764</f>
        <v/>
      </c>
      <c r="AH18" s="2541">
        <f>AH61+AH81+AH100+AH119+AH138+AH158+AH177+AH196+AH215+AH234+AH253+AH272+AH291+AH310+AH329+AH348+AH367+AH386+AH406+AH426+AH445+AH464+AH483+AH502+AH521+AH541+AH563+AH583+AH603+AH623+AH643+AH664+AH687+AH706+AH726+AH745+AH764</f>
        <v/>
      </c>
      <c r="AI18" s="2541">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57"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4" t="inlineStr">
        <is>
          <t xml:space="preserve">L'autre parent dénigre vos compétences parentales par texto ou par courriel. </t>
        </is>
      </c>
      <c r="BM18" s="2438" t="inlineStr">
        <is>
          <t>Il est important de se familiariser avec le principe de CNV et de la contre manipulation au besoin. Et de consulter la section coparentalité dont la charte de la coparentalité.</t>
        </is>
      </c>
      <c r="BN18" s="2430" t="n"/>
      <c r="BO18" s="2441" t="n"/>
      <c r="CA18" s="2464" t="n"/>
      <c r="CB18" s="291" t="n"/>
      <c r="CD18" s="38" t="inlineStr">
        <is>
          <t>L'enfant ne réagit pas -compt A (FAUX)</t>
        </is>
      </c>
      <c r="CG18" s="2469" t="inlineStr">
        <is>
          <t>condition non-respectée (0%)</t>
        </is>
      </c>
      <c r="CJ18" s="2576" t="inlineStr">
        <is>
          <t>Conditions non-respectées par l'enfant. Aucun accel.</t>
        </is>
      </c>
      <c r="CK18" s="2465" t="b">
        <v>0</v>
      </c>
    </row>
    <row r="19" ht="5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57"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4" t="inlineStr">
        <is>
          <t>Votre enfant dénigre votre famille (famille recomposée ou famille élargie).</t>
        </is>
      </c>
      <c r="BM19" s="2438" t="n"/>
      <c r="BN19" s="2430" t="n"/>
      <c r="BO19" s="23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2469" t="inlineStr">
        <is>
          <t>condition non-respectée (0%)</t>
        </is>
      </c>
    </row>
    <row r="20" ht="61"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2" t="n"/>
      <c r="Z20" s="1734" t="inlineStr">
        <is>
          <t>Globale</t>
        </is>
      </c>
      <c r="AA20" s="2462" t="n"/>
      <c r="AB20" s="2462" t="n"/>
      <c r="AC20" s="2462" t="n"/>
      <c r="AD20" s="2462" t="n"/>
      <c r="AE20" s="2462" t="n"/>
      <c r="AF20" s="2462"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57"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4" t="inlineStr">
        <is>
          <t xml:space="preserve">Votre enfant laisse entendre que sa vraie famille est avec l'autre parent. </t>
        </is>
      </c>
      <c r="BM20" s="2438" t="n"/>
      <c r="BN20" s="2430" t="n"/>
      <c r="BO20" s="23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69"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57"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4" t="inlineStr">
        <is>
          <t xml:space="preserve">Votre enfant appelle Le nouveau ou la nouvelle conjoint·e papa ou maman </t>
        </is>
      </c>
      <c r="BM21" s="2438" t="n"/>
      <c r="BN21" s="2430" t="n"/>
      <c r="BO21" s="2329" t="inlineStr">
        <is>
          <t>Lorem ipsum – DRAPEAU ROUGE / COMPORTEMENT AP – similique sed deserunt aperiam ad eligendi tempora! Est voluptas omnis cum expedita autem aut quod illum qui consequatur.</t>
        </is>
      </c>
      <c r="CA21" s="75" t="n"/>
      <c r="CB21" s="35" t="n"/>
      <c r="CD21" s="68" t="inlineStr">
        <is>
          <t>L'enfant réagit -compt A (VRAI)</t>
        </is>
      </c>
      <c r="CE21" s="2469" t="n"/>
      <c r="CF21" s="2469" t="n"/>
      <c r="CG21" s="2469" t="inlineStr">
        <is>
          <t>L'enfant agit de son propre chef.</t>
        </is>
      </c>
      <c r="CH21" s="2469" t="n"/>
      <c r="CI21" s="2469" t="n"/>
      <c r="CJ21" s="2575" t="inlineStr">
        <is>
          <t>Même si l'enfant réagit, c'est autre chose qui cause son action et pas le compt du parent = 0%</t>
        </is>
      </c>
      <c r="CK21" s="2465" t="b">
        <v>0</v>
      </c>
    </row>
    <row r="22" ht="68"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57"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4" t="inlineStr">
        <is>
          <t>Votre enfant impose des changements d'horaire (de garde) sans vous consulter.</t>
        </is>
      </c>
      <c r="BM22" s="2438"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30" t="n"/>
      <c r="BO22" s="2441" t="n"/>
      <c r="CA22" s="6" t="n"/>
      <c r="CD22" s="68" t="inlineStr">
        <is>
          <t>L'enfant réagit -compt B (VRAI)</t>
        </is>
      </c>
      <c r="CE22" s="2469" t="n"/>
      <c r="CF22" s="2469" t="n"/>
      <c r="CG22" s="2469" t="inlineStr">
        <is>
          <t>Peu réaliste si le parent n'agit pas.</t>
        </is>
      </c>
      <c r="CH22" s="2469" t="n"/>
    </row>
    <row r="23" ht="34"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57"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4" t="inlineStr">
        <is>
          <t>Votre enfant subit de la pression pour passer plus de temps chez l'autre parent (par opposition à du temps en votre compagnie).</t>
        </is>
      </c>
      <c r="BM23" s="2438" t="inlineStr">
        <is>
          <t>Méthode ADR appliquée avec exemple de réponse à venir (important de rassurer votre enfant et de recadrer sans impliquer ou blâmer l'autre parent).</t>
        </is>
      </c>
      <c r="BN23" s="2430" t="n"/>
      <c r="BO23" s="2441" t="n"/>
      <c r="CD23" s="38" t="inlineStr">
        <is>
          <t>L'enfant ne réagit pas -compt A (FAUX)</t>
        </is>
      </c>
      <c r="CG23" s="2469" t="inlineStr">
        <is>
          <t>condition non-respectée (0%)</t>
        </is>
      </c>
      <c r="CH23" s="2469" t="n"/>
      <c r="CI23" s="2469" t="n"/>
      <c r="CJ23" s="2576" t="inlineStr">
        <is>
          <t>Condition peu réaliste - inconsistence des résultats</t>
        </is>
      </c>
      <c r="CK23" s="2465" t="b">
        <v>0</v>
      </c>
    </row>
    <row r="24" ht="40" customHeight="1" s="2456">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57"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4" t="inlineStr">
        <is>
          <t>L'autre parent (ou son nouveau ou nouvelle conjoint·e) s'impose régulièrement sur votre temps parental (tour de garde).</t>
        </is>
      </c>
      <c r="BM24" s="2438" t="inlineStr">
        <is>
          <t>Méthode ADR appliquée avec exemple de réponse à venir (important de rassurer votre enfant et de recadrer sans impliquer ou blâmer l'autre parent).</t>
        </is>
      </c>
      <c r="BN24" s="2430" t="n"/>
      <c r="BO24" s="2441" t="n"/>
      <c r="CA24" s="15" t="n"/>
      <c r="CD24" s="38" t="inlineStr">
        <is>
          <t>L'enfant réagit -compt B (VRAI)</t>
        </is>
      </c>
      <c r="CG24" s="2578" t="inlineStr">
        <is>
          <t>Même si l'enfant a reçu l'ordre, il ne garde pas de secrets.</t>
        </is>
      </c>
    </row>
    <row r="25" ht="40"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57"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4" t="inlineStr">
        <is>
          <t xml:space="preserve">Votre enfant écourte ou refuse les conversations téléphoniques avec vous lorsqu'il u elle est chez l'autre parent. </t>
        </is>
      </c>
      <c r="BM25" s="2438" t="inlineStr">
        <is>
          <t>Méthode ADR appliquée avec exemple de réponse à venir (important de rassurer votre enfant et de recadrer sans impliquer ou blâmer l'autre parent).</t>
        </is>
      </c>
      <c r="BN25" s="2430" t="n"/>
      <c r="BO25" s="2441" t="n"/>
      <c r="CA25" s="2464" t="n"/>
      <c r="CD25" s="68" t="inlineStr">
        <is>
          <t>L'enfant réagit -compt A (VRAI)</t>
        </is>
      </c>
      <c r="CG25" s="2469" t="inlineStr">
        <is>
          <t>L'enfant agit de son propre chef.</t>
        </is>
      </c>
      <c r="CJ25" s="2575" t="inlineStr">
        <is>
          <t>Même si l'enfant réagit, c'est autre chose qui cause son action et pas le compt du parent = 0%</t>
        </is>
      </c>
      <c r="CK25" s="2465" t="b">
        <v>0</v>
      </c>
    </row>
    <row r="26" ht="52" customHeight="1" s="2456" thickBot="1">
      <c r="C26" s="49" t="n"/>
      <c r="D26" s="49" t="n"/>
      <c r="E26" s="49" t="n"/>
      <c r="F26" s="49" t="n"/>
      <c r="G26" s="49" t="n"/>
      <c r="H26" s="49" t="n"/>
      <c r="I26" s="49" t="n"/>
      <c r="J26" s="49" t="n"/>
      <c r="K26" s="49" t="n"/>
      <c r="L26" s="49" t="n"/>
      <c r="M26" s="49" t="n"/>
      <c r="N26" s="49" t="n"/>
      <c r="AB26" s="2" t="inlineStr">
        <is>
          <t>Valeur totale</t>
        </is>
      </c>
      <c r="AG26" s="2514" t="inlineStr">
        <is>
          <t>AP</t>
        </is>
      </c>
      <c r="AH26" s="2514" t="inlineStr">
        <is>
          <t>CL</t>
        </is>
      </c>
      <c r="AI26" s="251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57"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4" t="inlineStr">
        <is>
          <t>On cherche à limiter les contacts entre votre enfant et votre famille élargie (cousin.es, grands-parents, etc.).</t>
        </is>
      </c>
      <c r="BM26" s="2438" t="n"/>
      <c r="BN26" s="2430" t="n"/>
      <c r="BO26" s="2329" t="inlineStr">
        <is>
          <t>Lorem ipsum – DRAPEAU ROUGE / COMPORTEMENT AP – similique sed deserunt aperiam ad eligendi tempora! Est voluptas omnis cum expedita autem aut quod illum qui consequatur.</t>
        </is>
      </c>
      <c r="CA26" s="2464" t="n"/>
      <c r="CD26" s="68" t="n"/>
      <c r="CG26" s="2469" t="n"/>
    </row>
    <row r="27" ht="34" customHeight="1" s="2456">
      <c r="C27" s="49" t="n"/>
      <c r="D27" s="49" t="n"/>
      <c r="E27" s="49" t="n"/>
      <c r="F27" s="49" t="n"/>
      <c r="G27" s="49" t="n"/>
      <c r="H27" s="49" t="n"/>
      <c r="I27" s="49" t="n"/>
      <c r="J27" s="49" t="n"/>
      <c r="K27" s="49" t="n"/>
      <c r="L27" s="49" t="n"/>
      <c r="M27" s="49" t="n"/>
      <c r="N27" s="49" t="n"/>
      <c r="X27" s="1732" t="n"/>
      <c r="Y27" s="2541" t="n"/>
      <c r="Z27" s="1733" t="inlineStr">
        <is>
          <t>Coparent</t>
        </is>
      </c>
      <c r="AA27" s="2541" t="n"/>
      <c r="AB27" s="2541" t="n"/>
      <c r="AC27" s="2541" t="n"/>
      <c r="AD27" s="2541" t="n"/>
      <c r="AE27" s="2541" t="n"/>
      <c r="AF27" s="2541" t="n"/>
      <c r="AG27" s="2541">
        <f>AG113+AG188+AG207+AG226+AG264+AG283+AG302+AG321+AG340+AG418+AG475+AG532</f>
        <v/>
      </c>
      <c r="AH27" s="2541">
        <f>AH113+AH188+AH207+AH226+AH264+AH283+AH302+AH321+AH340+AH418+AH475+AH532</f>
        <v/>
      </c>
      <c r="AI27" s="2541">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57"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4" t="inlineStr">
        <is>
          <t xml:space="preserve">Votre enfant connaît des détails intimes de votre vie. </t>
        </is>
      </c>
      <c r="BM27" s="2438" t="inlineStr">
        <is>
          <t>Méthode ADR appliquée avec exemple de réponse à venir (important de rassurer votre enfant et de recadrer sans impliquer ou blâmer l'autre parent).</t>
        </is>
      </c>
      <c r="BN27" s="2430" t="n"/>
      <c r="BO27" s="2441" t="n"/>
      <c r="CA27" s="2464" t="n"/>
      <c r="CD27" s="68" t="n"/>
      <c r="CG27" s="2469" t="n"/>
    </row>
    <row r="28" ht="35" customHeight="1" s="2456" thickBot="1">
      <c r="C28" s="49" t="n"/>
      <c r="D28" s="49" t="n"/>
      <c r="E28" s="49" t="n"/>
      <c r="F28" s="49" t="n"/>
      <c r="G28" s="49" t="n"/>
      <c r="H28" s="49" t="n"/>
      <c r="I28" s="49" t="n"/>
      <c r="J28" s="49" t="n"/>
      <c r="K28" s="49" t="n"/>
      <c r="L28" s="49" t="n"/>
      <c r="M28" s="49" t="n"/>
      <c r="N28" s="49" t="n"/>
      <c r="X28" s="293" t="n"/>
      <c r="Y28" s="2462" t="n"/>
      <c r="Z28" s="1734" t="inlineStr">
        <is>
          <t>NC</t>
        </is>
      </c>
      <c r="AA28" s="2462" t="n"/>
      <c r="AB28" s="2462" t="n"/>
      <c r="AC28" s="2462" t="n"/>
      <c r="AD28" s="2462" t="n"/>
      <c r="AE28" s="2462" t="n"/>
      <c r="AF28" s="2462" t="n"/>
      <c r="AG28" s="2462">
        <f>AG114+AG191+AG210+AG229+AG267+AG286+AG305+AG324+AG343+AG421+AG478+AG535</f>
        <v/>
      </c>
      <c r="AH28" s="2462">
        <f>AH114+AH191+AH210+AH229+AH267+AH286+AH305+AH324+AH343+AH421+AH478+AH535</f>
        <v/>
      </c>
      <c r="AI28" s="2462">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57"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4" t="inlineStr">
        <is>
          <t xml:space="preserve">Votre enfant est au courant des enjeux juridiques ou des conflits qui vous opposent à l'autre parent. </t>
        </is>
      </c>
      <c r="BM28" s="2438" t="inlineStr">
        <is>
          <t>Méthode ADR appliquée avec exemple de réponse à venir (important de rassurer votre enfant et de recadrer sans impliquer ou blâmer l'autre parent).</t>
        </is>
      </c>
      <c r="BN28" s="2430" t="n"/>
      <c r="BO28" s="2441" t="n"/>
      <c r="CA28" s="2464" t="n"/>
      <c r="CD28" s="68" t="n"/>
      <c r="CG28" s="2469" t="n"/>
    </row>
    <row r="29" ht="40"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57"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4" t="inlineStr">
        <is>
          <t xml:space="preserve">Votre enfant vous dénigre en présence de l'autre parent. </t>
        </is>
      </c>
      <c r="BM29" s="2439" t="inlineStr">
        <is>
          <t>Méthode ADR appliquée avec exemple de réponse à venir (important de rassurer votre enfant et de recadrer sans impliquer ou blâmer l'autre parent).</t>
        </is>
      </c>
      <c r="BN29" s="2430" t="n"/>
      <c r="BO29" s="2441" t="n"/>
      <c r="CA29" s="2464" t="n"/>
      <c r="CD29" s="68" t="n"/>
      <c r="CG29" s="2469" t="n"/>
    </row>
    <row r="30" ht="85"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57"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4" t="inlineStr">
        <is>
          <t xml:space="preserve">Votre enfant demande le droit de choisir de respecter ou non votre temps parental. </t>
        </is>
      </c>
      <c r="BM30" s="2438" t="n"/>
      <c r="BN30" s="2430" t="n"/>
      <c r="BO30"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2469" t="inlineStr">
        <is>
          <t>condition non-respectée (0%)</t>
        </is>
      </c>
    </row>
    <row r="31" ht="85" customHeight="1" s="2456">
      <c r="C31" s="49" t="n"/>
      <c r="D31" s="49" t="n"/>
      <c r="E31" s="49" t="n"/>
      <c r="F31" s="49" t="n"/>
      <c r="G31" s="49" t="n"/>
      <c r="H31" s="49" t="n"/>
      <c r="I31" s="49" t="n"/>
      <c r="J31" s="49" t="n"/>
      <c r="K31" s="49" t="n"/>
      <c r="L31" s="49" t="n"/>
      <c r="M31" s="49" t="n"/>
      <c r="N31" s="49" t="n"/>
      <c r="X31" s="36" t="n"/>
      <c r="AG31" s="589" t="n"/>
      <c r="AH31" s="2517" t="inlineStr">
        <is>
          <t>Début gradient</t>
        </is>
      </c>
      <c r="AI31" s="2517" t="inlineStr">
        <is>
          <t>Min où débute un signe</t>
        </is>
      </c>
      <c r="AL31" s="2457" t="inlineStr">
        <is>
          <t>Max</t>
        </is>
      </c>
      <c r="AS31" s="2">
        <f>D452</f>
        <v/>
      </c>
      <c r="AT31">
        <f>AD469</f>
        <v/>
      </c>
      <c r="AU31">
        <f>AE469</f>
        <v/>
      </c>
      <c r="AV31">
        <f>AF469</f>
        <v/>
      </c>
      <c r="AX31" s="2457"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4" t="inlineStr">
        <is>
          <t xml:space="preserve">Votre enfant demande de choisir avec qui il ou elle souhaite vivre </t>
        </is>
      </c>
      <c r="BM31" s="2438" t="n"/>
      <c r="BN31" s="2430" t="n"/>
      <c r="BO31"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69" t="n"/>
      <c r="CJ31" s="2575" t="n"/>
      <c r="CK31" s="2465" t="n"/>
    </row>
    <row r="32" ht="51" customHeight="1" s="2456">
      <c r="C32" s="49" t="n"/>
      <c r="D32" s="49" t="n"/>
      <c r="E32" s="49" t="n"/>
      <c r="F32" s="49" t="n"/>
      <c r="G32" s="49" t="n"/>
      <c r="H32" s="49" t="n"/>
      <c r="I32" s="49" t="n"/>
      <c r="J32" s="49" t="n"/>
      <c r="K32" s="49" t="n"/>
      <c r="L32" s="49" t="n"/>
      <c r="M32" s="49" t="n"/>
      <c r="N32" s="49" t="n"/>
      <c r="X32" s="36" t="n"/>
      <c r="AG32" s="589" t="n"/>
      <c r="AH32" s="2517" t="n"/>
      <c r="AI32" s="1798" t="n">
        <v>0.25</v>
      </c>
      <c r="AJ32" s="1798" t="n">
        <v>0.38</v>
      </c>
      <c r="AK32" s="1798">
        <f>1-AI32-AJ32</f>
        <v/>
      </c>
      <c r="AS32" s="2">
        <f>D471</f>
        <v/>
      </c>
      <c r="AT32">
        <f>AD488</f>
        <v/>
      </c>
      <c r="AU32">
        <f>AE488</f>
        <v/>
      </c>
      <c r="AV32">
        <f>AF488</f>
        <v/>
      </c>
      <c r="AX32" s="2457"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4" t="inlineStr">
        <is>
          <t>Votre enfant vous demande de respecter ses désirs et ses choix.</t>
        </is>
      </c>
      <c r="BM32" s="2438" t="n"/>
      <c r="BN32" s="2430" t="n"/>
      <c r="BO32" s="2329" t="inlineStr">
        <is>
          <t>Lorem ipsum – DRAPEAU ROUGE / COMPORTEMENT AP – similique sed deserunt aperiam ad eligendi tempora! Est voluptas omnis cum expedita autem aut quod illum qui consequatur.</t>
        </is>
      </c>
      <c r="CA32" s="75" t="n"/>
      <c r="CD32" s="69" t="n"/>
      <c r="CG32" s="2469" t="n"/>
      <c r="CJ32" s="2575" t="n"/>
      <c r="CK32" s="2465" t="n"/>
    </row>
    <row r="33" ht="85" customHeight="1" s="2456">
      <c r="C33" s="49" t="n"/>
      <c r="D33" s="49" t="n"/>
      <c r="E33" s="49" t="n"/>
      <c r="F33" s="49" t="n"/>
      <c r="G33" s="49" t="n"/>
      <c r="H33" s="49" t="n"/>
      <c r="I33" s="49" t="n"/>
      <c r="J33" s="49" t="n"/>
      <c r="K33" s="49" t="n"/>
      <c r="L33" s="49" t="n"/>
      <c r="M33" s="49" t="n"/>
      <c r="N33" s="49" t="n"/>
      <c r="X33" s="36" t="n"/>
      <c r="AG33" s="1672" t="n"/>
      <c r="AH33" s="2517" t="inlineStr">
        <is>
          <t>Vert=&gt;</t>
        </is>
      </c>
      <c r="AI33" s="2517" t="inlineStr">
        <is>
          <t>jaune=&gt;</t>
        </is>
      </c>
      <c r="AJ33" s="2457" t="inlineStr">
        <is>
          <t>orange=&gt;</t>
        </is>
      </c>
      <c r="AK33" s="2457" t="inlineStr">
        <is>
          <t>rouge=&gt;</t>
        </is>
      </c>
      <c r="AL33" s="90" t="n"/>
      <c r="AS33" s="2">
        <f>D490</f>
        <v/>
      </c>
      <c r="AT33">
        <f>AD507</f>
        <v/>
      </c>
      <c r="AU33">
        <f>AE507</f>
        <v/>
      </c>
      <c r="AV33">
        <f>AF507</f>
        <v/>
      </c>
      <c r="AX33" s="2457"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4" t="inlineStr">
        <is>
          <t xml:space="preserve">L'autre parent semble forcer votre enfant à choisir entre ses deux parents. </t>
        </is>
      </c>
      <c r="BM33" s="2438"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30" t="n"/>
      <c r="BO33" s="2441" t="n"/>
      <c r="CA33" s="75" t="n"/>
      <c r="CD33" s="69" t="n"/>
      <c r="CG33" s="2469" t="n"/>
      <c r="CJ33" s="2575" t="n"/>
      <c r="CK33" s="2465" t="n"/>
    </row>
    <row r="34" ht="34" customHeight="1" s="2456">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57"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4" t="inlineStr">
        <is>
          <t xml:space="preserve">Votre enfant n'est pas libre d'apporter ses vêtements, ses jouets ou autres effets personnels d'une maison à l'autre. </t>
        </is>
      </c>
      <c r="BM34" s="2438" t="n"/>
      <c r="BN34" s="2430" t="n"/>
      <c r="BO34" s="2441" t="n"/>
      <c r="CA34" s="75" t="n"/>
      <c r="CD34" s="38" t="inlineStr">
        <is>
          <t>L'enfant ne réagit pas -compt A (FAUX)</t>
        </is>
      </c>
      <c r="CG34" s="2469" t="inlineStr">
        <is>
          <t>condition non-respectée (0%)</t>
        </is>
      </c>
      <c r="CJ34" s="2576" t="inlineStr">
        <is>
          <t>Aucune condition respectée</t>
        </is>
      </c>
      <c r="CK34" s="2465" t="b">
        <v>0</v>
      </c>
      <c r="CY34" s="36" t="inlineStr">
        <is>
          <t>On donne un diagnostique à un concept selon les critères suivants :</t>
        </is>
      </c>
    </row>
    <row r="35" ht="40"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57"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4" t="inlineStr">
        <is>
          <t xml:space="preserve">Votre enfant cherche à vous convaincre des qualités de l'autre parent et sent le besoin de le défendre ou de défendre ses positions ou ses intérêts. </t>
        </is>
      </c>
      <c r="BM35" s="2438" t="n"/>
      <c r="BN35" s="2430" t="n"/>
      <c r="BO35" s="2441" t="n"/>
      <c r="CA35" s="6" t="n"/>
      <c r="CD35" s="38" t="inlineStr">
        <is>
          <t>L'enfant ne réagit pas -compt B (FAUX)</t>
        </is>
      </c>
      <c r="CG35" s="2469" t="inlineStr">
        <is>
          <t>condition non-respectée (0%)</t>
        </is>
      </c>
    </row>
    <row r="36" ht="51"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14" t="n"/>
      <c r="AS36" s="2">
        <f>D551</f>
        <v/>
      </c>
      <c r="AT36">
        <f>AD568</f>
        <v/>
      </c>
      <c r="AU36">
        <f>AE568</f>
        <v/>
      </c>
      <c r="AV36">
        <f>AF568</f>
        <v/>
      </c>
      <c r="AX36" s="2457" t="n">
        <v>27</v>
      </c>
      <c r="AY36" s="89">
        <f>D694</f>
        <v/>
      </c>
      <c r="AZ36" s="2138">
        <f>H706</f>
        <v/>
      </c>
      <c r="BA36" s="87" t="n"/>
      <c r="BB36" s="438" t="n"/>
      <c r="BC36" s="737" t="n"/>
      <c r="BD36" s="738" t="inlineStr">
        <is>
          <t>🔸</t>
        </is>
      </c>
      <c r="BE36" s="734">
        <f>IF(BF36&lt;&gt;"",AZ36,"")</f>
        <v/>
      </c>
      <c r="BF36" s="737">
        <f>IF(N706="","",N706)</f>
        <v/>
      </c>
      <c r="BG36" s="443" t="n"/>
      <c r="BH36" s="734" t="n"/>
      <c r="BI36" s="737" t="n"/>
      <c r="BL36" s="2434" t="inlineStr">
        <is>
          <t xml:space="preserve">Votre enfant cherche à vous convaincre des qualités de l'autre parent et sent le besoin de le défendre ou de défendre ses positions ou ses intérêts. </t>
        </is>
      </c>
      <c r="BM36" s="2438" t="n"/>
      <c r="BN36" s="2430" t="n"/>
      <c r="BO36" s="23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s="2456">
      <c r="C37" s="49" t="n"/>
      <c r="D37" s="49" t="n"/>
      <c r="E37" s="49" t="n"/>
      <c r="F37" s="49" t="n"/>
      <c r="G37" s="49" t="n"/>
      <c r="H37" s="49" t="n"/>
      <c r="I37" s="49" t="n"/>
      <c r="J37" s="49" t="n"/>
      <c r="K37" s="49" t="n"/>
      <c r="L37" s="49" t="n"/>
      <c r="M37" s="49" t="n"/>
      <c r="N37" s="49" t="n"/>
      <c r="X37" s="36" t="n"/>
      <c r="AG37" s="589" t="n"/>
      <c r="AH37" s="2517" t="inlineStr">
        <is>
          <t>Début gradient</t>
        </is>
      </c>
      <c r="AI37" s="2517" t="inlineStr">
        <is>
          <t>Min où débute un signe</t>
        </is>
      </c>
      <c r="AL37" s="2457" t="inlineStr">
        <is>
          <t>Max</t>
        </is>
      </c>
      <c r="AS37" s="2">
        <f>D571</f>
        <v/>
      </c>
      <c r="AT37">
        <f>AD588</f>
        <v/>
      </c>
      <c r="AU37">
        <f>AE588</f>
        <v/>
      </c>
      <c r="AV37">
        <f>AF588</f>
        <v/>
      </c>
      <c r="AX37" s="2457" t="n">
        <v>28</v>
      </c>
      <c r="AY37" s="89">
        <f>D713</f>
        <v/>
      </c>
      <c r="AZ37" s="2138">
        <f>H726</f>
        <v/>
      </c>
      <c r="BA37" s="87" t="n"/>
      <c r="BB37" s="438" t="n"/>
      <c r="BC37" s="737" t="n"/>
      <c r="BD37" s="738" t="inlineStr">
        <is>
          <t>🔸</t>
        </is>
      </c>
      <c r="BE37" s="734">
        <f>IF(BF37&lt;&gt;"",AZ37,"")</f>
        <v/>
      </c>
      <c r="BF37" s="737">
        <f>IF(N726="","",N726)</f>
        <v/>
      </c>
      <c r="BG37" s="443" t="n"/>
      <c r="BH37" s="734" t="n"/>
      <c r="BI37" s="737" t="n"/>
      <c r="BL37" s="2434" t="inlineStr">
        <is>
          <t>Votre enfant défend l'autre parent et calque ses paroles ou ses désirs quoi que vous disiez, quoi que vous fassiez ; l'autre parent semble par ailleurs être parfait aux yeux de votre enfant.</t>
        </is>
      </c>
      <c r="BM37" s="2438" t="n"/>
      <c r="BN37" s="2430" t="n"/>
      <c r="BO37" s="23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s="2456">
      <c r="C38" s="49" t="n"/>
      <c r="D38" s="49" t="n"/>
      <c r="E38" s="49" t="n"/>
      <c r="F38" s="49" t="n"/>
      <c r="G38" s="49" t="n"/>
      <c r="H38" s="49" t="n"/>
      <c r="I38" s="49" t="n"/>
      <c r="J38" s="49" t="n"/>
      <c r="K38" s="49" t="n"/>
      <c r="L38" s="49" t="n"/>
      <c r="M38" s="49" t="n"/>
      <c r="N38" s="49" t="n"/>
      <c r="AG38" s="589" t="n"/>
      <c r="AH38" s="2517" t="n"/>
      <c r="AI38" s="1798" t="n">
        <v>0.25</v>
      </c>
      <c r="AJ38" s="1798" t="n">
        <v>0.38</v>
      </c>
      <c r="AK38" s="1798">
        <f>1-AI38-AJ38</f>
        <v/>
      </c>
      <c r="AS38" s="2">
        <f>D591</f>
        <v/>
      </c>
      <c r="AT38">
        <f>AD608</f>
        <v/>
      </c>
      <c r="AU38">
        <f>AE608</f>
        <v/>
      </c>
      <c r="AV38">
        <f>AF608</f>
        <v/>
      </c>
      <c r="AX38" s="2457" t="n">
        <v>29</v>
      </c>
      <c r="AY38" s="89">
        <f>D733</f>
        <v/>
      </c>
      <c r="AZ38" s="2138">
        <f>H745</f>
        <v/>
      </c>
      <c r="BA38" s="87" t="n"/>
      <c r="BB38" s="438" t="n"/>
      <c r="BC38" s="737" t="n"/>
      <c r="BD38" s="738" t="inlineStr">
        <is>
          <t>🔸</t>
        </is>
      </c>
      <c r="BE38" s="734">
        <f>IF(BF38&lt;&gt;"",AZ38,"")</f>
        <v/>
      </c>
      <c r="BF38" s="737">
        <f>IF(N745="","",N745)</f>
        <v/>
      </c>
      <c r="BG38" s="443" t="n"/>
      <c r="BH38" s="734" t="n"/>
      <c r="BI38" s="737" t="n"/>
      <c r="BL38" s="2434" t="inlineStr">
        <is>
          <t>Votre enfant s'exprime avec des paroles ou des expressions empruntées à l'autre parent ou tient des propos d'adultes (ou qui ne sont pas vraiment de son âge).</t>
        </is>
      </c>
      <c r="BM38" s="2438" t="n"/>
      <c r="BO38" s="2329" t="inlineStr">
        <is>
          <t>Lorem ipsum – DRAPEAU ROUGE / COMPORTEMENT AP – similique sed deserunt aperiam ad eligendi tempora! Est voluptas omnis cum expedita autem aut quod illum qui consequatur.</t>
        </is>
      </c>
      <c r="CY38" t="inlineStr">
        <is>
          <t>CL :</t>
        </is>
      </c>
    </row>
    <row r="39" ht="51" customHeight="1" s="2456">
      <c r="C39" s="49" t="n"/>
      <c r="D39" s="49" t="n"/>
      <c r="E39" s="49" t="n"/>
      <c r="F39" s="49" t="n"/>
      <c r="G39" s="49" t="n"/>
      <c r="H39" s="49" t="n"/>
      <c r="I39" s="49" t="n"/>
      <c r="J39" s="49" t="n"/>
      <c r="K39" s="49" t="n"/>
      <c r="L39" s="49" t="n"/>
      <c r="M39" s="49" t="n"/>
      <c r="N39" s="49" t="n"/>
      <c r="AG39" s="1672" t="n"/>
      <c r="AH39" s="2517" t="inlineStr">
        <is>
          <t>Vert=&gt;</t>
        </is>
      </c>
      <c r="AI39" s="2517" t="inlineStr">
        <is>
          <t>jaune=&gt;</t>
        </is>
      </c>
      <c r="AJ39" s="2457" t="inlineStr">
        <is>
          <t>orange=&gt;</t>
        </is>
      </c>
      <c r="AK39" s="2457" t="inlineStr">
        <is>
          <t>rouge=&gt;</t>
        </is>
      </c>
      <c r="AL39" s="90" t="n"/>
      <c r="AS39" s="2">
        <f>D611</f>
        <v/>
      </c>
      <c r="AT39">
        <f>AD628</f>
        <v/>
      </c>
      <c r="AU39">
        <f>AE628</f>
        <v/>
      </c>
      <c r="AV39">
        <f>AF628</f>
        <v/>
      </c>
      <c r="AX39" s="2457" t="n">
        <v>30</v>
      </c>
      <c r="AY39" s="89">
        <f>D752</f>
        <v/>
      </c>
      <c r="AZ39" s="2138">
        <f>H764</f>
        <v/>
      </c>
      <c r="BA39" s="87" t="n"/>
      <c r="BB39" s="438" t="n"/>
      <c r="BC39" s="2193" t="n"/>
      <c r="BD39" s="2194" t="inlineStr">
        <is>
          <t>🔸</t>
        </is>
      </c>
      <c r="BE39" s="442">
        <f>IF(BF39&lt;&gt;"",AZ39,"")</f>
        <v/>
      </c>
      <c r="BF39" s="2193">
        <f>IF(N764="","",N764)</f>
        <v/>
      </c>
      <c r="BG39" s="443" t="n"/>
      <c r="BH39" s="442" t="n"/>
      <c r="BI39" s="2193" t="n"/>
      <c r="BL39" s="2435" t="inlineStr">
        <is>
          <t xml:space="preserve">Votre enfant semble avoir adapté ses champs d'intérêts et ses valeurs pour épouser ceux de l'autre parent. </t>
        </is>
      </c>
      <c r="BM39" s="2440" t="n"/>
      <c r="BO39" s="23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6" t="inlineStr">
        <is>
          <t>Références :</t>
        </is>
      </c>
      <c r="BM40" s="2436" t="n"/>
    </row>
    <row r="41" ht="409" customHeight="1" s="2456">
      <c r="C41" s="49" t="n"/>
      <c r="D41" s="49" t="n"/>
      <c r="E41" s="49" t="n"/>
      <c r="F41" s="49" t="n"/>
      <c r="G41" s="49" t="n"/>
      <c r="H41" s="49" t="n"/>
      <c r="I41" s="49" t="n"/>
      <c r="J41" s="49" t="n"/>
      <c r="K41" s="49" t="n"/>
      <c r="L41" s="49" t="n"/>
      <c r="M41" s="49" t="n"/>
      <c r="N41" s="49" t="n"/>
      <c r="AS41" s="53">
        <f>D675</f>
        <v/>
      </c>
      <c r="AT41" s="2469">
        <f>AD692</f>
        <v/>
      </c>
      <c r="AU41" s="2469">
        <f>AE692</f>
        <v/>
      </c>
      <c r="AV41" s="2469">
        <f>AF692</f>
        <v/>
      </c>
      <c r="AX41" s="2469" t="n"/>
      <c r="AY41" s="2138">
        <f>AVERAGE(AZ10:AZ39)</f>
        <v/>
      </c>
      <c r="AZ41" s="728" t="n"/>
      <c r="BA41" s="87" t="n"/>
      <c r="BB41" s="438" t="n"/>
      <c r="BC41" s="89" t="n"/>
      <c r="BD41" s="442" t="n"/>
      <c r="BE41" s="442" t="n"/>
      <c r="BF41" s="89" t="n"/>
      <c r="BG41" s="443" t="n"/>
      <c r="BH41" s="443" t="n"/>
      <c r="BI41" s="439" t="n"/>
      <c r="BN41" s="2580" t="n"/>
      <c r="BO41" s="2442" t="n"/>
      <c r="BP41" s="2469" t="n"/>
      <c r="BQ41" s="2469" t="n"/>
      <c r="BR41" s="2469" t="n"/>
      <c r="BS41" s="2469" t="n"/>
      <c r="BT41" s="2469" t="n"/>
      <c r="BU41" s="2469" t="n"/>
      <c r="BV41" s="2469" t="n"/>
      <c r="BW41" s="2469" t="n"/>
      <c r="BX41" s="2469" t="n"/>
      <c r="BY41" s="2469" t="n"/>
      <c r="BZ41" s="2469" t="n"/>
      <c r="CY41" t="inlineStr">
        <is>
          <t>CSS :</t>
        </is>
      </c>
    </row>
    <row r="42">
      <c r="C42" s="49" t="n"/>
      <c r="D42" s="49" t="n"/>
      <c r="E42" s="49" t="n"/>
      <c r="F42" s="49" t="n"/>
      <c r="G42" s="49" t="n"/>
      <c r="H42" s="49" t="n"/>
      <c r="I42" s="49" t="n"/>
      <c r="J42" s="49" t="n"/>
      <c r="K42" s="49" t="n"/>
      <c r="L42" s="49" t="n"/>
      <c r="M42" s="49" t="n"/>
      <c r="N42" s="49" t="n"/>
      <c r="AS42" s="53">
        <f>D694</f>
        <v/>
      </c>
      <c r="AT42" s="2469">
        <f>AD711</f>
        <v/>
      </c>
      <c r="AU42" s="2469">
        <f>AE711</f>
        <v/>
      </c>
      <c r="AV42" s="2469">
        <f>AF711</f>
        <v/>
      </c>
      <c r="AX42" s="2469" t="n"/>
      <c r="AY42" s="728" t="n"/>
      <c r="AZ42" s="728" t="n"/>
      <c r="BA42" s="87" t="n"/>
      <c r="BB42" s="438" t="n"/>
      <c r="BC42" s="89" t="n"/>
      <c r="BD42" s="442" t="n"/>
      <c r="BE42" s="442" t="n"/>
      <c r="BF42" s="89" t="n"/>
      <c r="BG42" s="443" t="n"/>
      <c r="BH42" s="443" t="n"/>
      <c r="BI42" s="439" t="n"/>
      <c r="BN42" s="2580" t="n"/>
      <c r="BP42" s="2469" t="n"/>
      <c r="BQ42" s="2469" t="n"/>
      <c r="BR42" s="2469" t="n"/>
      <c r="BS42" s="2469" t="n"/>
      <c r="BT42" s="2469" t="n"/>
      <c r="BU42" s="2469" t="n"/>
      <c r="BV42" s="2469" t="n"/>
      <c r="BW42" s="2469" t="n"/>
      <c r="BX42" s="2469" t="n"/>
      <c r="BY42" s="2469" t="n"/>
      <c r="BZ42" s="2469" t="n"/>
    </row>
    <row r="43">
      <c r="C43" s="49" t="n"/>
      <c r="D43" s="49" t="n"/>
      <c r="E43" s="49" t="n"/>
      <c r="F43" s="49" t="n"/>
      <c r="G43" s="49" t="n"/>
      <c r="H43" s="49" t="n"/>
      <c r="I43" s="49" t="n"/>
      <c r="J43" s="49" t="n"/>
      <c r="K43" s="49" t="n"/>
      <c r="L43" s="49" t="n"/>
      <c r="M43" s="49" t="n"/>
      <c r="N43" s="49" t="n"/>
      <c r="AS43" s="53">
        <f>D713</f>
        <v/>
      </c>
      <c r="AT43" s="2469">
        <f>AD731</f>
        <v/>
      </c>
      <c r="AU43" s="2469">
        <f>AE731</f>
        <v/>
      </c>
      <c r="AV43" s="2469">
        <f>AF731</f>
        <v/>
      </c>
      <c r="AX43" s="2469" t="n"/>
      <c r="AY43" s="728" t="n"/>
      <c r="AZ43" s="728" t="n"/>
      <c r="BA43" s="87" t="n"/>
      <c r="BB43" s="438" t="n"/>
      <c r="BC43" s="89" t="n"/>
      <c r="BD43" s="442" t="n"/>
      <c r="BE43" s="442" t="n"/>
      <c r="BF43" s="89" t="n"/>
      <c r="BG43" s="443" t="n"/>
      <c r="BH43" s="443" t="n"/>
      <c r="BI43" s="439" t="n"/>
      <c r="BN43" s="2580" t="n"/>
      <c r="BP43" s="2469" t="n"/>
      <c r="BQ43" s="2469" t="n"/>
      <c r="BR43" s="2469" t="n"/>
      <c r="BS43" s="2469" t="n"/>
      <c r="BT43" s="2469" t="n"/>
      <c r="BU43" s="2469" t="n"/>
      <c r="BV43" s="2469" t="n"/>
      <c r="BW43" s="2469" t="n"/>
      <c r="BX43" s="2469" t="n"/>
      <c r="BY43" s="2469" t="n"/>
      <c r="BZ43" s="2469" t="n"/>
    </row>
    <row r="44">
      <c r="C44" s="49" t="n"/>
      <c r="D44" s="49" t="n"/>
      <c r="E44" s="49" t="n"/>
      <c r="F44" s="49" t="n"/>
      <c r="G44" s="49" t="n"/>
      <c r="H44" s="49" t="n"/>
      <c r="I44" s="49" t="n"/>
      <c r="J44" s="49" t="n"/>
      <c r="K44" s="49" t="n"/>
      <c r="L44" s="49" t="n"/>
      <c r="M44" s="49" t="n"/>
      <c r="N44" s="49" t="n"/>
      <c r="AS44" s="53">
        <f>D733</f>
        <v/>
      </c>
      <c r="AT44" s="2469">
        <f>AD750</f>
        <v/>
      </c>
      <c r="AU44" s="2469">
        <f>AE750</f>
        <v/>
      </c>
      <c r="AV44" s="2469">
        <f>AF750</f>
        <v/>
      </c>
      <c r="AX44" s="2469" t="n"/>
      <c r="AY44" s="728" t="n"/>
      <c r="AZ44" s="728" t="n"/>
      <c r="BA44" s="87" t="n"/>
      <c r="BB44" s="438" t="n"/>
      <c r="BC44" s="89" t="n"/>
      <c r="BD44" s="442" t="n"/>
      <c r="BE44" s="442" t="n"/>
      <c r="BF44" s="89" t="n"/>
      <c r="BG44" s="443" t="n"/>
      <c r="BH44" s="443" t="n"/>
      <c r="BI44" s="439" t="n"/>
      <c r="BN44" s="2580" t="n"/>
      <c r="BP44" s="2469" t="n"/>
      <c r="BQ44" s="2469" t="n"/>
      <c r="BR44" s="2469" t="n"/>
      <c r="BS44" s="2469" t="n"/>
      <c r="BT44" s="2469" t="n"/>
      <c r="BU44" s="2469" t="n"/>
      <c r="BV44" s="2469" t="n"/>
      <c r="BW44" s="2469" t="n"/>
      <c r="BX44" s="2469" t="n"/>
      <c r="BY44" s="2469" t="n"/>
      <c r="BZ44" s="2469" t="n"/>
    </row>
    <row r="45">
      <c r="A45" s="2520"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69">
        <f>AD769</f>
        <v/>
      </c>
      <c r="AU45" s="2469">
        <f>AE769</f>
        <v/>
      </c>
      <c r="AV45" s="2469">
        <f>AF769</f>
        <v/>
      </c>
      <c r="AX45" s="2469" t="n"/>
      <c r="AY45" s="728" t="n"/>
      <c r="AZ45" s="728" t="n"/>
      <c r="BA45" s="87" t="n"/>
      <c r="BB45" s="438" t="n"/>
      <c r="BC45" s="89" t="n"/>
      <c r="BD45" s="442" t="n"/>
      <c r="BE45" s="442" t="n"/>
      <c r="BF45" s="89" t="n"/>
      <c r="BG45" s="443" t="n"/>
      <c r="BH45" s="443" t="n"/>
      <c r="BI45" s="439" t="n"/>
      <c r="BN45" s="2580" t="n"/>
      <c r="BP45" s="2469" t="n"/>
      <c r="BQ45" s="2469" t="n"/>
      <c r="BR45" s="2469" t="n"/>
      <c r="BS45" s="2469" t="n"/>
      <c r="BT45" s="2469" t="n"/>
      <c r="BU45" s="2469" t="n"/>
      <c r="BV45" s="2469" t="n"/>
      <c r="BW45" s="2469" t="n"/>
      <c r="BX45" s="2469" t="n"/>
      <c r="BY45" s="2469" t="n"/>
      <c r="BZ45" s="2469"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69" t="n"/>
      <c r="AX46" s="2469" t="n"/>
      <c r="AY46" s="728" t="n"/>
      <c r="AZ46" s="728" t="n"/>
      <c r="BA46" s="87" t="n"/>
      <c r="BB46" s="438" t="n"/>
      <c r="BC46" s="89" t="n"/>
      <c r="BD46" s="442" t="n"/>
      <c r="BE46" s="442" t="n"/>
      <c r="BF46" s="89" t="n"/>
      <c r="BG46" s="443" t="n"/>
      <c r="BH46" s="443" t="n"/>
      <c r="BI46" s="439" t="n"/>
      <c r="BN46" s="2580" t="n"/>
      <c r="BP46" s="2469" t="n"/>
      <c r="BQ46" s="2469" t="n"/>
      <c r="BR46" s="2469" t="n"/>
      <c r="BS46" s="2469" t="n"/>
      <c r="BT46" s="2469" t="n"/>
      <c r="BU46" s="2469" t="n"/>
      <c r="BV46" s="2469" t="n"/>
      <c r="BW46" s="2469" t="n"/>
      <c r="BX46" s="2469" t="n"/>
      <c r="BY46" s="2469" t="n"/>
      <c r="BZ46" s="2469" t="n"/>
    </row>
    <row r="47" ht="30" customHeight="1" s="2456"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69" t="n"/>
      <c r="AX47" s="2469" t="n"/>
      <c r="AY47" s="728" t="n"/>
      <c r="AZ47" s="728" t="n"/>
      <c r="BA47" s="87" t="n"/>
      <c r="BB47" s="438" t="n"/>
      <c r="BC47" s="89" t="n"/>
      <c r="BD47" s="442" t="n"/>
      <c r="BE47" s="442" t="n"/>
      <c r="BF47" s="89" t="n"/>
      <c r="BG47" s="443" t="n"/>
      <c r="BH47" s="443" t="n"/>
      <c r="BI47" s="439" t="n"/>
      <c r="BN47" s="2580" t="n"/>
      <c r="BP47" s="2469" t="n"/>
      <c r="BQ47" s="2469" t="n"/>
      <c r="BR47" s="2469" t="n"/>
      <c r="BS47" s="2469" t="n"/>
      <c r="BT47" s="2469" t="n"/>
      <c r="BU47" s="2469" t="n"/>
      <c r="BV47" s="2469" t="n"/>
      <c r="BW47" s="2469" t="n"/>
      <c r="BX47" s="2469" t="n"/>
      <c r="BY47" s="2469" t="n"/>
      <c r="BZ47" s="2469" t="n"/>
    </row>
    <row r="48">
      <c r="E48" s="85" t="inlineStr">
        <is>
          <t>Mots-clés</t>
        </is>
      </c>
      <c r="F48" s="1326" t="n"/>
      <c r="G48" s="1326" t="n"/>
      <c r="H48" s="1326" t="n"/>
      <c r="I48" s="2565" t="inlineStr">
        <is>
          <t xml:space="preserve">instrumentalisation de l'enfant qui rend le actif / force la prise d'otage psycho ou physique </t>
        </is>
      </c>
      <c r="J48" s="2541" t="n"/>
      <c r="K48" s="2552" t="n"/>
      <c r="L48" s="2568" t="n"/>
      <c r="M48" s="2541" t="n"/>
      <c r="N48" s="2541" t="n"/>
      <c r="O48" s="1333" t="n"/>
      <c r="P48" s="2577" t="inlineStr">
        <is>
          <t xml:space="preserve">compt. fragilise la relation parent-enfant ou les individus, enclenche rôle de protecteur, demande de faire un choix / choisir son camp </t>
        </is>
      </c>
      <c r="Q48" s="2541" t="n"/>
      <c r="R48" s="2552" t="n"/>
      <c r="S48" s="1380" t="inlineStr">
        <is>
          <t>Est-ce que cela créé un déclencheur?</t>
        </is>
      </c>
      <c r="T48" s="1332" t="n"/>
      <c r="U48" s="1333" t="n"/>
      <c r="V48" s="73" t="n"/>
      <c r="AD48" s="10" t="n"/>
      <c r="AE48" s="10" t="n"/>
      <c r="AF48" s="10" t="n"/>
      <c r="AV48" s="2469" t="n"/>
      <c r="AX48" s="2469" t="n"/>
      <c r="AY48" s="728" t="n"/>
      <c r="AZ48" s="728" t="n"/>
      <c r="BA48" s="87" t="n"/>
      <c r="BB48" s="438" t="n"/>
      <c r="BC48" s="89" t="n"/>
      <c r="BD48" s="442" t="n"/>
      <c r="BE48" s="442" t="n"/>
      <c r="BF48" s="89" t="n"/>
      <c r="BG48" s="443" t="n"/>
      <c r="BH48" s="443" t="n"/>
      <c r="BI48" s="439" t="n"/>
      <c r="BN48" s="2580" t="n"/>
      <c r="BP48" s="2469" t="n"/>
      <c r="BQ48" s="2469" t="n"/>
      <c r="BR48" s="2469" t="n"/>
      <c r="BS48" s="2469" t="n"/>
      <c r="BT48" s="2469" t="n"/>
      <c r="BU48" s="2469" t="n"/>
      <c r="BV48" s="2469" t="n"/>
      <c r="BW48" s="2469" t="n"/>
      <c r="BX48" s="2469" t="n"/>
      <c r="BY48" s="2469" t="n"/>
      <c r="BZ48" s="2469" t="n"/>
    </row>
    <row r="49">
      <c r="B49" s="1685" t="n">
        <v>1</v>
      </c>
      <c r="D49" s="437">
        <f>'Cpts AR +indép + Sommaire'!B8</f>
        <v/>
      </c>
      <c r="E49" s="84" t="n"/>
      <c r="F49" s="50" t="n"/>
      <c r="G49" s="18" t="n"/>
      <c r="H49" s="18" t="n"/>
      <c r="I49" s="2572" t="inlineStr">
        <is>
          <t>AP</t>
        </is>
      </c>
      <c r="L49" s="2570" t="inlineStr">
        <is>
          <t>Dynamique d'AP</t>
        </is>
      </c>
      <c r="O49" s="2567" t="n"/>
      <c r="P49" s="2566" t="inlineStr">
        <is>
          <t>CL</t>
        </is>
      </c>
      <c r="R49" s="2567" t="n"/>
      <c r="S49" s="2571" t="inlineStr">
        <is>
          <t>CSS</t>
        </is>
      </c>
      <c r="U49" s="2567"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69" t="inlineStr">
        <is>
          <t>AP</t>
        </is>
      </c>
      <c r="AL49" s="2569" t="inlineStr">
        <is>
          <t>CL</t>
        </is>
      </c>
      <c r="AN49" s="2569" t="inlineStr">
        <is>
          <t>CSS</t>
        </is>
      </c>
      <c r="AV49" s="2469" t="n"/>
      <c r="AX49" s="2469" t="n"/>
      <c r="AY49" s="728" t="n"/>
      <c r="AZ49" s="728" t="n"/>
      <c r="BA49" s="87" t="n"/>
      <c r="BB49" s="438" t="n"/>
      <c r="BC49" s="89" t="n"/>
      <c r="BD49" s="442" t="n"/>
      <c r="BE49" s="442" t="n"/>
      <c r="BF49" s="89" t="n"/>
      <c r="BG49" s="443" t="n"/>
      <c r="BH49" s="443" t="n"/>
      <c r="BI49" s="439" t="n"/>
      <c r="BN49" s="2580" t="n"/>
      <c r="BP49" s="2469" t="n"/>
      <c r="BQ49" s="2469" t="n"/>
      <c r="BR49" s="2469" t="n"/>
      <c r="BS49" s="2469" t="n"/>
      <c r="BT49" s="2469" t="n"/>
      <c r="BU49" s="2469" t="n"/>
      <c r="BV49" s="2469" t="n"/>
      <c r="BW49" s="2469" t="n"/>
      <c r="BX49" s="2469" t="n"/>
      <c r="BY49" s="2469" t="n"/>
      <c r="BZ49" s="2469" t="n"/>
    </row>
    <row r="50" ht="34" customHeight="1" s="2456">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5"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69" t="n"/>
      <c r="AX50" s="2469" t="n"/>
      <c r="AY50" s="728" t="n"/>
      <c r="AZ50" s="728" t="n"/>
      <c r="BA50" s="87" t="n"/>
      <c r="BB50" s="438" t="n"/>
      <c r="BC50" s="89" t="n"/>
      <c r="BD50" s="442" t="n"/>
      <c r="BE50" s="442" t="n"/>
      <c r="BF50" s="89" t="n"/>
      <c r="BG50" s="443" t="n"/>
      <c r="BH50" s="443" t="n"/>
      <c r="BI50" s="439" t="n"/>
      <c r="BN50" s="2580" t="n"/>
      <c r="BP50" s="2469" t="n"/>
      <c r="BQ50" s="2469" t="n"/>
      <c r="BR50" s="2469" t="n"/>
      <c r="BS50" s="2469" t="n"/>
      <c r="BT50" s="2469" t="n"/>
      <c r="BU50" s="2469" t="n"/>
      <c r="BV50" s="2469" t="n"/>
      <c r="BW50" s="2469" t="n"/>
      <c r="BX50" s="2469" t="n"/>
      <c r="BY50" s="2469" t="n"/>
      <c r="BZ50" s="2469" t="n"/>
    </row>
    <row r="51" ht="34" customHeight="1" s="2456">
      <c r="A51">
        <f>IF(Test_Bible!B170="","F","O")</f>
        <v/>
      </c>
      <c r="B51" s="1687">
        <f>'Cpts AR +indép + Sommaire'!G8</f>
        <v/>
      </c>
      <c r="C51" s="376">
        <f>'Cpts AR +indép + Sommaire'!C8</f>
        <v/>
      </c>
      <c r="D51" s="258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88">
        <f>IF($K51=TRUE,H51,0)</f>
        <v/>
      </c>
      <c r="AH51" s="2588">
        <f>IF($R51=TRUE,H51,0)</f>
        <v/>
      </c>
      <c r="AI51" s="2588">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56">
      <c r="B52" s="1686" t="n"/>
      <c r="C52" s="376" t="n"/>
      <c r="D52" s="258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88">
        <f>IF($K52=TRUE,H52,0)</f>
        <v/>
      </c>
      <c r="AH52" s="2588">
        <f>IF($R52=TRUE,H52,0)</f>
        <v/>
      </c>
      <c r="AI52" s="2588">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56">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56">
      <c r="B54" s="1686" t="n"/>
      <c r="C54" s="38" t="n"/>
      <c r="D54" s="258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88">
        <f>IF(K54=TRUE,H54,0)</f>
        <v/>
      </c>
      <c r="AH54" s="2588">
        <f>IF(R54=TRUE,H54,0)</f>
        <v/>
      </c>
      <c r="AI54" s="2588">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56">
      <c r="B55" s="1686" t="n"/>
      <c r="C55" s="38" t="n"/>
      <c r="D55" s="258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88">
        <f>IF(K55=TRUE,H55,0)</f>
        <v/>
      </c>
      <c r="AH55" s="2588">
        <f>IF(R55=TRUE,H55,0)</f>
        <v/>
      </c>
      <c r="AI55" s="2588">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56"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69" t="n"/>
      <c r="AX56" s="2469" t="n"/>
      <c r="AY56" s="728" t="n"/>
      <c r="AZ56" s="728" t="n"/>
      <c r="BA56" s="87" t="n"/>
      <c r="BB56" s="438" t="n"/>
      <c r="BC56" s="89" t="n"/>
      <c r="BD56" s="442" t="n"/>
      <c r="BE56" s="442" t="n"/>
      <c r="BF56" s="89" t="n"/>
      <c r="BG56" s="443" t="n"/>
      <c r="BH56" s="443" t="n"/>
      <c r="BI56" s="439" t="n"/>
      <c r="BN56" s="2580" t="n"/>
      <c r="BP56" s="2469" t="n"/>
      <c r="BQ56" s="2469" t="n"/>
      <c r="BR56" s="2469" t="n"/>
      <c r="BS56" s="2469" t="n"/>
      <c r="BT56" s="2469" t="n"/>
      <c r="BU56" s="2469" t="n"/>
      <c r="BV56" s="2469" t="n"/>
      <c r="BW56" s="2469" t="n"/>
      <c r="BX56" s="2469" t="n"/>
      <c r="BY56" s="2469" t="n"/>
      <c r="BZ56" s="2469" t="n"/>
    </row>
    <row r="57" ht="35" customHeight="1" s="2456"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16">
        <f>IF(AND($K53=TRUE,$K56=FALSE),AG53,IF(AND($K53=FALSE,$K56=TRUE),AG56,IF(AND($K53=TRUE,$K56=TRUE),AG53+AG56,0)))</f>
        <v/>
      </c>
      <c r="AH57" s="2516">
        <f>IF(AND($R53=TRUE,$R56=FALSE),AH53,IF(AND($R53=FALSE,$R56=TRUE),AH56,IF(AND($R53=TRUE,$R56=TRUE),AH53+AH56,0)))</f>
        <v/>
      </c>
      <c r="AI57" s="2516">
        <f>IF(AND($U53=TRUE,$U56=FALSE),AI53,IF(AND($U53=FALSE,$U56=TRUE),AI56,IF(AND($U53=TRUE,$U56=TRUE),AI53+AI56,0)))</f>
        <v/>
      </c>
      <c r="AJ57" s="2516">
        <f>IF(AND($K53=TRUE,$K56=FALSE),AJ53,IF(AND($K53=FALSE,$K56=TRUE),AJ56,IF(AND($K53=TRUE,$K56=TRUE),AJ53+AJ56,MAX(AJ53,AJ56))))</f>
        <v/>
      </c>
      <c r="AK57" s="2516">
        <f>IF(AND($K53=TRUE,$K56=FALSE),AK53,IF(AND($K53=FALSE,$K56=TRUE),AK56,IF(AND($K53=TRUE,$K56=TRUE),AK53+AK56,MAX(AK53,AK56))))</f>
        <v/>
      </c>
      <c r="AL57" s="2516">
        <f>IF(AND($R53=TRUE,$R56=FALSE),AL53,IF(AND($R53=FALSE,$R56=TRUE),AL56,IF(AND($R53=TRUE,$R56=TRUE),AL53+AL56,MAX(AL53,AL56))))</f>
        <v/>
      </c>
      <c r="AM57" s="2516">
        <f>IF(AND($R53=TRUE,$R56=FALSE),AM53,IF(AND($R53=FALSE,$R56=TRUE),AM56,IF(AND($R53=TRUE,$R56=TRUE),AM53+AM56,MAX(AM53,AM56))))</f>
        <v/>
      </c>
      <c r="AN57" s="2516">
        <f>IF(AND($U53=TRUE,$U56=FALSE),AN53,IF(AND($U53=FALSE,$U56=TRUE),AN56,IF(AND($U53=TRUE,$U56=TRUE),AN53+AN56,MAX(AN53,AN56))))</f>
        <v/>
      </c>
      <c r="AO57" s="2516">
        <f>IF(AND($U53=TRUE,$U56=FALSE),AO53,IF(AND($U53=FALSE,$U56=TRUE),AO56,IF(AND($U53=TRUE,$U56=TRUE),AO53+AO56,MAX(AO53,AO56))))</f>
        <v/>
      </c>
      <c r="AV57" s="2469" t="n"/>
      <c r="AX57" s="2469" t="n"/>
      <c r="AY57" s="728" t="n"/>
      <c r="AZ57" s="728" t="n"/>
      <c r="BA57" s="87" t="n"/>
      <c r="BB57" s="438" t="n"/>
      <c r="BC57" s="89" t="n"/>
      <c r="BD57" s="442" t="n"/>
      <c r="BE57" s="442" t="n"/>
      <c r="BF57" s="89" t="n"/>
      <c r="BG57" s="443" t="n"/>
      <c r="BH57" s="443" t="n"/>
      <c r="BI57" s="439" t="n"/>
      <c r="BN57" s="2580" t="n"/>
      <c r="BP57" s="2469" t="n"/>
      <c r="BQ57" s="2469" t="n"/>
      <c r="BR57" s="2469" t="n"/>
      <c r="BS57" s="2469" t="n"/>
      <c r="BT57" s="2469" t="n"/>
      <c r="BU57" s="2469" t="n"/>
      <c r="BV57" s="2469" t="n"/>
      <c r="BW57" s="2469" t="n"/>
      <c r="BX57" s="2469" t="n"/>
      <c r="BY57" s="2469" t="n"/>
      <c r="BZ57" s="2469" t="n"/>
    </row>
    <row r="58" ht="34" customHeight="1" s="2456">
      <c r="A58">
        <f>IF(Test_Bible!B267="","F","O")</f>
        <v/>
      </c>
      <c r="B58" s="1686">
        <f>'Cpts AR +indép + Sommaire'!S8</f>
        <v/>
      </c>
      <c r="C58" s="287">
        <f>'Cpts AR +indép + Sommaire'!O8</f>
        <v/>
      </c>
      <c r="D58" s="258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inlineStr"/>
      <c r="X58" s="814" t="n"/>
      <c r="Y58" s="813" t="n"/>
      <c r="Z58" s="814" t="n"/>
      <c r="AA58" s="813" t="n"/>
      <c r="AB58" s="814" t="n"/>
      <c r="AD58" s="10" t="n"/>
      <c r="AE58" s="10" t="n"/>
      <c r="AF58" s="10" t="n"/>
      <c r="AG58" s="2588">
        <f>IF($K58=TRUE,H58,0)</f>
        <v/>
      </c>
      <c r="AH58" s="2588">
        <f>IF($R58=TRUE,H58,0)</f>
        <v/>
      </c>
      <c r="AI58" s="2588" t="n"/>
      <c r="AJ58" s="1476">
        <f>IF(OR(I58=11,A58="F"),0,G58*I58)</f>
        <v/>
      </c>
      <c r="AK58" s="1476">
        <f>IF(OR(J58=11,A58="F"),0,G58*J58)</f>
        <v/>
      </c>
      <c r="AL58" s="1476">
        <f>IF(OR(P58=11,A58="F"),0,G58*P58)</f>
        <v/>
      </c>
      <c r="AM58" s="1476">
        <f>IF(OR(Q58=11,A58="F"),0,G58*Q58)</f>
        <v/>
      </c>
      <c r="AN58" s="1476">
        <f>IF(OR(S58=11,A58="F"),0,S58*G58)</f>
        <v/>
      </c>
      <c r="AO58" s="1476">
        <f>IF(OR(T58=11,A58="F"),0,T58*G58)</f>
        <v/>
      </c>
      <c r="AV58" s="2469" t="n"/>
      <c r="AX58" s="2469" t="n"/>
      <c r="AY58" s="728" t="n"/>
      <c r="AZ58" s="728" t="n"/>
      <c r="BA58" s="87" t="n"/>
      <c r="BB58" s="438" t="n"/>
      <c r="BC58" s="89" t="n"/>
      <c r="BD58" s="442" t="n"/>
      <c r="BE58" s="442" t="n"/>
      <c r="BF58" s="89" t="n"/>
      <c r="BG58" s="443" t="n"/>
      <c r="BH58" s="443" t="n"/>
      <c r="BI58" s="439" t="n"/>
      <c r="BN58" s="2580" t="n"/>
      <c r="BP58" s="2469" t="n"/>
      <c r="BQ58" s="2469" t="n"/>
      <c r="BR58" s="2469" t="n"/>
      <c r="BS58" s="2469" t="n"/>
      <c r="BT58" s="2469" t="n"/>
      <c r="BU58" s="2469" t="n"/>
      <c r="BV58" s="2469" t="n"/>
      <c r="BW58" s="2469" t="n"/>
      <c r="BX58" s="2469" t="n"/>
      <c r="BY58" s="2469" t="n"/>
      <c r="BZ58" s="2469" t="n"/>
    </row>
    <row r="59" ht="35" customHeight="1" s="2456"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88">
        <f>IF($K59=TRUE,H59,0)</f>
        <v/>
      </c>
      <c r="AH59" s="2588">
        <f>IF($R59=TRUE,H59,0)</f>
        <v/>
      </c>
      <c r="AI59" s="2588"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56"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56">
      <c r="B61" s="1686" t="n"/>
      <c r="D61" s="383" t="inlineStr">
        <is>
          <t>COMPARATIF Comportement PFA-Enf</t>
        </is>
      </c>
      <c r="E61" s="2576"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64" t="n"/>
      <c r="M62" s="2464" t="n"/>
      <c r="N62" s="2464" t="n"/>
      <c r="O62" s="1365" t="n"/>
      <c r="P62" s="122" t="n"/>
      <c r="R62" s="2567" t="n"/>
      <c r="S62" s="122" t="n"/>
      <c r="U62" s="2567" t="n"/>
      <c r="V62" s="2464" t="n"/>
      <c r="W62" s="813" t="n"/>
      <c r="X62" s="814" t="n"/>
      <c r="Y62" s="813" t="n"/>
      <c r="Z62" s="814" t="n"/>
      <c r="AA62" s="813" t="n"/>
      <c r="AB62" s="814" t="n"/>
      <c r="AD62" s="10" t="n"/>
      <c r="AE62" s="10" t="n"/>
      <c r="AF62" s="10" t="n"/>
      <c r="AG62" s="2588" t="n"/>
      <c r="AH62" s="2588" t="n"/>
      <c r="AI62" s="2588"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64" t="n"/>
      <c r="W63" s="813" t="n"/>
      <c r="X63" s="814" t="n"/>
      <c r="Y63" s="813" t="n"/>
      <c r="Z63" s="814" t="n"/>
      <c r="AA63" s="813" t="n"/>
      <c r="AB63" s="814" t="n"/>
      <c r="AD63" s="10" t="n"/>
      <c r="AE63" s="10" t="n"/>
      <c r="AF63" s="10" t="n"/>
      <c r="AG63" s="2588">
        <f>IF($K63=TRUE,H63,0)</f>
        <v/>
      </c>
      <c r="AH63" s="2588">
        <f>IF($R63=TRUE,H63,0)</f>
        <v/>
      </c>
      <c r="AI63" s="2588">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56"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64" t="n"/>
      <c r="W64" s="813" t="n"/>
      <c r="X64" s="814" t="n"/>
      <c r="Y64" s="813" t="n"/>
      <c r="Z64" s="814" t="n"/>
      <c r="AA64" s="813" t="n"/>
      <c r="AB64" s="814" t="n"/>
      <c r="AD64" s="10" t="n"/>
      <c r="AE64" s="10" t="n"/>
      <c r="AF64" s="10" t="n"/>
      <c r="AG64" s="2588">
        <f>IF($K64=TRUE,H64,0)</f>
        <v/>
      </c>
      <c r="AH64" s="2588">
        <f>IF($R64=TRUE,H64,0)</f>
        <v/>
      </c>
      <c r="AI64" s="2588">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56"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56"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65" t="inlineStr">
        <is>
          <t xml:space="preserve">instrumentalisation de l'enfant qui rend le actif / force la prise d'otage psycho ou physique </t>
        </is>
      </c>
      <c r="J68" s="2541" t="n"/>
      <c r="K68" s="2552" t="n"/>
      <c r="L68" s="2568" t="n"/>
      <c r="M68" s="2541" t="n"/>
      <c r="N68" s="2541" t="n"/>
      <c r="O68" s="1333" t="n"/>
      <c r="P68" s="2577" t="inlineStr">
        <is>
          <t xml:space="preserve">compt. fragilise la relation parent-enfant ou les individus, enclenche rôle de protecteur, demande de faire un choix / choisir son camp </t>
        </is>
      </c>
      <c r="Q68" s="2541" t="n"/>
      <c r="R68" s="2552"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2" t="inlineStr">
        <is>
          <t>AP</t>
        </is>
      </c>
      <c r="L69" s="2570" t="inlineStr">
        <is>
          <t>Dynamique d'AP</t>
        </is>
      </c>
      <c r="O69" s="2567" t="n"/>
      <c r="P69" s="2566" t="inlineStr">
        <is>
          <t>CL</t>
        </is>
      </c>
      <c r="R69" s="2567" t="n"/>
      <c r="S69" s="2571" t="inlineStr">
        <is>
          <t>CSS</t>
        </is>
      </c>
      <c r="U69" s="2567"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69" t="inlineStr">
        <is>
          <t>AP</t>
        </is>
      </c>
      <c r="AL69" s="2569" t="inlineStr">
        <is>
          <t>CL</t>
        </is>
      </c>
      <c r="AN69" s="2569" t="inlineStr">
        <is>
          <t>CSS</t>
        </is>
      </c>
      <c r="AY69" s="728" t="n"/>
      <c r="AZ69" s="728" t="n"/>
      <c r="BA69" s="87" t="n"/>
      <c r="BB69" s="438" t="n"/>
      <c r="BC69" s="89" t="n"/>
      <c r="BD69" s="442" t="n"/>
      <c r="BE69" s="442" t="n"/>
      <c r="BF69" s="89" t="n"/>
      <c r="BG69" s="443" t="n"/>
      <c r="BH69" s="443" t="n"/>
      <c r="BI69" s="439" t="n"/>
    </row>
    <row r="70" ht="34" customHeight="1" s="2456">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5"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56">
      <c r="A71">
        <f>IF(Test_Bible!B171="","F","O")</f>
        <v/>
      </c>
      <c r="B71" s="1517">
        <f>'Cpts AR +indép + Sommaire'!G11</f>
        <v/>
      </c>
      <c r="C71" s="376">
        <f>'Cpts AR +indép + Sommaire'!C11</f>
        <v/>
      </c>
      <c r="D71" s="258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88">
        <f>IF($K71=TRUE,H71,0)</f>
        <v/>
      </c>
      <c r="AH71" s="2588">
        <f>IF($R71=TRUE,H71,0)</f>
        <v/>
      </c>
      <c r="AI71" s="2588">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56">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88">
        <f>IF($K72=TRUE,H72,0)</f>
        <v/>
      </c>
      <c r="AH72" s="2588">
        <f>IF($R72=TRUE,H72,0)</f>
        <v/>
      </c>
      <c r="AI72" s="2588">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56">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56">
      <c r="B74" s="1686" t="n"/>
      <c r="C74" s="38" t="n"/>
      <c r="D74" s="258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88">
        <f>IF(K74=TRUE,H74,0)</f>
        <v/>
      </c>
      <c r="AH74" s="2588">
        <f>IF(R74=TRUE,H74,0)</f>
        <v/>
      </c>
      <c r="AI74" s="2588">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56">
      <c r="B75" s="1686" t="n"/>
      <c r="C75" s="38" t="n"/>
      <c r="D75" s="258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88">
        <f>IF(K75=TRUE,H75,0)</f>
        <v/>
      </c>
      <c r="AH75" s="2588">
        <f>IF(R75=TRUE,H75,0)</f>
        <v/>
      </c>
      <c r="AI75" s="2588">
        <f>IF(U75=TRUE,H75,0)</f>
        <v/>
      </c>
      <c r="AJ75" s="1476">
        <f>IF(OR(I75=11,A75="F"),0,G75*I75)</f>
        <v/>
      </c>
      <c r="AK75" s="1476">
        <f>IF(OR(J75=11,A75="F"),0,G75*J75)</f>
        <v/>
      </c>
      <c r="AL75" s="1476">
        <f>IF(OR(P75=11,A75="F"),0,G75*P75)</f>
        <v/>
      </c>
      <c r="AM75" s="1476">
        <f>IF(OR(Q75=11,A75="F"),0,G75*Q75)</f>
        <v/>
      </c>
      <c r="AN75" s="1476">
        <f>IF(OR(S75=11,A75="F"),0,S75*G75)</f>
        <v/>
      </c>
      <c r="AO75" s="1476">
        <f>IF(OR(T75=11,A75="F"),0,T75*G75)</f>
        <v/>
      </c>
      <c r="AV75" s="2469" t="n"/>
      <c r="AX75" s="2469" t="n"/>
      <c r="AY75" s="728" t="n"/>
      <c r="AZ75" s="728" t="n"/>
      <c r="BA75" s="87" t="n"/>
      <c r="BB75" s="438" t="n"/>
      <c r="BC75" s="89" t="n"/>
      <c r="BD75" s="442" t="n"/>
      <c r="BE75" s="442" t="n"/>
      <c r="BF75" s="89" t="n"/>
      <c r="BG75" s="443" t="n"/>
      <c r="BH75" s="443" t="n"/>
      <c r="BI75" s="439" t="n"/>
      <c r="BN75" s="2580" t="n"/>
      <c r="BP75" s="2469" t="n"/>
      <c r="BQ75" s="2469" t="n"/>
      <c r="BR75" s="2469" t="n"/>
      <c r="BS75" s="2469" t="n"/>
      <c r="BT75" s="2469" t="n"/>
      <c r="BU75" s="2469" t="n"/>
      <c r="BV75" s="2469" t="n"/>
      <c r="BW75" s="2469" t="n"/>
      <c r="BX75" s="2469" t="n"/>
      <c r="BY75" s="2469" t="n"/>
      <c r="BZ75" s="2469" t="n"/>
    </row>
    <row r="76" ht="20" customHeight="1" s="2456"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69" t="n"/>
      <c r="AX76" s="2469" t="n"/>
      <c r="AY76" s="728" t="n"/>
      <c r="AZ76" s="728" t="n"/>
      <c r="BA76" s="87" t="n"/>
      <c r="BB76" s="438" t="n"/>
      <c r="BC76" s="89" t="n"/>
      <c r="BD76" s="442" t="n"/>
      <c r="BE76" s="442" t="n"/>
      <c r="BF76" s="89" t="n"/>
      <c r="BG76" s="443" t="n"/>
      <c r="BH76" s="443" t="n"/>
      <c r="BI76" s="439" t="n"/>
      <c r="BN76" s="2580" t="n"/>
      <c r="BP76" s="2469" t="n"/>
      <c r="BQ76" s="2469" t="n"/>
      <c r="BR76" s="2469" t="n"/>
      <c r="BS76" s="2469" t="n"/>
      <c r="BT76" s="2469" t="n"/>
      <c r="BU76" s="2469" t="n"/>
      <c r="BV76" s="2469" t="n"/>
      <c r="BW76" s="2469" t="n"/>
      <c r="BX76" s="2469" t="n"/>
      <c r="BY76" s="2469" t="n"/>
      <c r="BZ76" s="2469" t="n"/>
    </row>
    <row r="77" ht="35" customHeight="1" s="2456"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16">
        <f>IF(AND($K73=TRUE,$K76=FALSE),AG73,IF(AND($K73=FALSE,$K76=TRUE),AG76,IF(AND($K73=TRUE,$K76=TRUE),AG73+AG76,0)))</f>
        <v/>
      </c>
      <c r="AH77" s="2516">
        <f>IF(AND($R73=TRUE,$R76=FALSE),AH73,IF(AND($R73=FALSE,$R76=TRUE),AH76,IF(AND($R73=TRUE,$R76=TRUE),AH73+AH76,0)))</f>
        <v/>
      </c>
      <c r="AI77" s="2516">
        <f>IF(AND($U73=TRUE,$U76=FALSE),AI73,IF(AND($U73=FALSE,$U76=TRUE),AI76,IF(AND($U73=TRUE,$U76=TRUE),AI73+AI76,0)))</f>
        <v/>
      </c>
      <c r="AJ77" s="2516">
        <f>IF(AND($K73=TRUE,$K76=FALSE),AJ73,IF(AND($K73=FALSE,$K76=TRUE),AJ76,IF(AND($K73=TRUE,$K76=TRUE),AJ73+AJ76,MAX(AJ73,AJ76))))</f>
        <v/>
      </c>
      <c r="AK77" s="2516">
        <f>IF(AND($K73=TRUE,$K76=FALSE),AK73,IF(AND($K73=FALSE,$K76=TRUE),AK76,IF(AND($K73=TRUE,$K76=TRUE),AK73+AK76,MAX(AK73,AK76))))</f>
        <v/>
      </c>
      <c r="AL77" s="2516">
        <f>IF(AND($R73=TRUE,$R76=FALSE),AL73,IF(AND($R73=FALSE,$R76=TRUE),AL76,IF(AND($R73=TRUE,$R76=TRUE),AL73+AL76,MAX(AL73,AL76))))</f>
        <v/>
      </c>
      <c r="AM77" s="2516">
        <f>IF(AND($R73=TRUE,$R76=FALSE),AM73,IF(AND($R73=FALSE,$R76=TRUE),AM76,IF(AND($R73=TRUE,$R76=TRUE),AM73+AM76,MAX(AM73,AM76))))</f>
        <v/>
      </c>
      <c r="AN77" s="2516">
        <f>IF(AND($U73=TRUE,$U76=FALSE),AN73,IF(AND($U73=FALSE,$U76=TRUE),AN76,IF(AND($U73=TRUE,$U76=TRUE),AN73+AN76,MAX(AN73,AN76))))</f>
        <v/>
      </c>
      <c r="AO77" s="2516">
        <f>IF(AND($U73=TRUE,$U76=FALSE),AO73,IF(AND($U73=FALSE,$U76=TRUE),AO76,IF(AND($U73=TRUE,$U76=TRUE),AO73+AO76,MAX(AO73,AO76))))</f>
        <v/>
      </c>
      <c r="AV77" s="2469" t="n"/>
      <c r="AX77" s="2469" t="n"/>
      <c r="AY77" s="728" t="n"/>
      <c r="AZ77" s="728" t="n"/>
      <c r="BA77" s="87" t="n"/>
      <c r="BB77" s="438" t="n"/>
      <c r="BC77" s="89" t="n"/>
      <c r="BD77" s="442" t="n"/>
      <c r="BE77" s="442" t="n"/>
      <c r="BF77" s="89" t="n"/>
      <c r="BG77" s="443" t="n"/>
      <c r="BH77" s="443" t="n"/>
      <c r="BI77" s="439" t="n"/>
      <c r="BN77" s="2580" t="n"/>
      <c r="BP77" s="2469" t="n"/>
      <c r="BQ77" s="2469" t="n"/>
      <c r="BR77" s="2469" t="n"/>
      <c r="BS77" s="2469" t="n"/>
      <c r="BT77" s="2469" t="n"/>
      <c r="BU77" s="2469" t="n"/>
      <c r="BV77" s="2469" t="n"/>
      <c r="BW77" s="2469" t="n"/>
      <c r="BX77" s="2469" t="n"/>
      <c r="BY77" s="2469" t="n"/>
      <c r="BZ77" s="2469" t="n"/>
    </row>
    <row r="78" ht="48" customHeight="1" s="2456">
      <c r="A78">
        <f>IF(Test_Bible!B278="","F","O")</f>
        <v/>
      </c>
      <c r="B78" s="1686">
        <f>'Cpts AR +indép + Sommaire'!S11</f>
        <v/>
      </c>
      <c r="C78" s="287">
        <f>'Cpts AR +indép + Sommaire'!O11</f>
        <v/>
      </c>
      <c r="D78" s="258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inlineStr"/>
      <c r="X78" s="814" t="n"/>
      <c r="Y78" s="813" t="n"/>
      <c r="Z78" s="814" t="n"/>
      <c r="AA78" s="813" t="n"/>
      <c r="AB78" s="814" t="n"/>
      <c r="AD78" s="10" t="n"/>
      <c r="AE78" s="10" t="n"/>
      <c r="AF78" s="10" t="n"/>
      <c r="AG78" s="2588">
        <f>IF($K78=TRUE,H78,0)</f>
        <v/>
      </c>
      <c r="AH78" s="2588">
        <f>IF($R78=TRUE,H78,0)</f>
        <v/>
      </c>
      <c r="AI78" s="2588"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56" thickBot="1">
      <c r="B79" s="1686" t="n"/>
      <c r="C79" s="287" t="n"/>
      <c r="D79" s="258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88">
        <f>IF($K79=TRUE,H79,0)</f>
        <v/>
      </c>
      <c r="AH79" s="2588">
        <f>IF($R79=TRUE,H79,0)</f>
        <v/>
      </c>
      <c r="AI79" s="2588"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56"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56">
      <c r="B81" s="1686" t="n"/>
      <c r="D81" s="383" t="inlineStr">
        <is>
          <t>COMPARATIF Comportement PFA-Enf</t>
        </is>
      </c>
      <c r="E81" s="2576"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56">
      <c r="B82" s="1686" t="n"/>
      <c r="C82" t="inlineStr">
        <is>
          <t>PCR</t>
        </is>
      </c>
      <c r="I82" s="122" t="n"/>
      <c r="L82" s="2464" t="n"/>
      <c r="M82" s="2464" t="n"/>
      <c r="N82" s="2464" t="n"/>
      <c r="O82" s="1365" t="n"/>
      <c r="P82" s="122" t="n"/>
      <c r="R82" s="2567" t="n"/>
      <c r="S82" s="122" t="n"/>
      <c r="U82" s="2567" t="n"/>
      <c r="V82" s="2464" t="n"/>
      <c r="W82" s="813" t="n"/>
      <c r="X82" s="814" t="n"/>
      <c r="Y82" s="813" t="n"/>
      <c r="Z82" s="814" t="n"/>
      <c r="AA82" s="813" t="n"/>
      <c r="AB82" s="814" t="n"/>
      <c r="AD82" s="10" t="n"/>
      <c r="AE82" s="10" t="n"/>
      <c r="AF82" s="10" t="n"/>
      <c r="AG82" s="2588" t="n"/>
      <c r="AH82" s="2588" t="n"/>
      <c r="AI82" s="2588"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56">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64" t="n"/>
      <c r="W83" s="813" t="n"/>
      <c r="X83" s="814" t="n"/>
      <c r="Y83" s="813" t="n"/>
      <c r="Z83" s="814" t="n"/>
      <c r="AA83" s="813" t="n"/>
      <c r="AB83" s="814" t="n"/>
      <c r="AD83" s="10" t="n"/>
      <c r="AE83" s="10" t="n"/>
      <c r="AF83" s="10" t="n"/>
      <c r="AG83" s="2588">
        <f>IF($K83=TRUE,H83,0)</f>
        <v/>
      </c>
      <c r="AH83" s="2588">
        <f>IF($R83=TRUE,H83,0)</f>
        <v/>
      </c>
      <c r="AI83" s="2588">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56"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88">
        <f>IF($K84=TRUE,H84,0)</f>
        <v/>
      </c>
      <c r="AH84" s="2588">
        <f>IF($R84=TRUE,H84,0)</f>
        <v/>
      </c>
      <c r="AI84" s="2588">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56"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56"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65" t="inlineStr">
        <is>
          <t xml:space="preserve">instrumentalisation de l'enfant qui rend le actif / force la prise d'otage psycho ou physique </t>
        </is>
      </c>
      <c r="J87" s="2541" t="n"/>
      <c r="K87" s="2552" t="n"/>
      <c r="L87" s="2568" t="n"/>
      <c r="M87" s="2541" t="n"/>
      <c r="N87" s="2541" t="n"/>
      <c r="O87" s="1333" t="n"/>
      <c r="P87" s="2577" t="inlineStr">
        <is>
          <t xml:space="preserve">compt. fragilise la relation parent-enfant ou les individus, enclenche rôle de protecteur, demande de faire un choix / choisir son camp </t>
        </is>
      </c>
      <c r="Q87" s="2541" t="n"/>
      <c r="R87" s="2552"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2" t="inlineStr">
        <is>
          <t>AP</t>
        </is>
      </c>
      <c r="L88" s="2570" t="inlineStr">
        <is>
          <t>Dynamique d'AP</t>
        </is>
      </c>
      <c r="O88" s="2567" t="n"/>
      <c r="P88" s="2566" t="inlineStr">
        <is>
          <t>CL</t>
        </is>
      </c>
      <c r="R88" s="2567" t="n"/>
      <c r="S88" s="2571" t="inlineStr">
        <is>
          <t>CSS</t>
        </is>
      </c>
      <c r="U88" s="2567"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69" t="inlineStr">
        <is>
          <t>AP</t>
        </is>
      </c>
      <c r="AL88" s="2569" t="inlineStr">
        <is>
          <t>CL</t>
        </is>
      </c>
      <c r="AN88" s="2569" t="inlineStr">
        <is>
          <t>CSS</t>
        </is>
      </c>
      <c r="AY88" s="728" t="n"/>
      <c r="AZ88" s="728" t="n"/>
      <c r="BA88" s="87" t="n"/>
      <c r="BB88" s="438" t="n"/>
      <c r="BC88" s="89" t="n"/>
      <c r="BD88" s="442" t="n"/>
      <c r="BE88" s="442" t="n"/>
      <c r="BF88" s="89" t="n"/>
      <c r="BG88" s="443" t="n"/>
      <c r="BH88" s="443" t="n"/>
      <c r="BI88" s="439" t="n"/>
    </row>
    <row r="89" ht="34" customHeight="1" s="2456">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5"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56">
      <c r="A90">
        <f>IF(Test_Bible!B174="","F","O")</f>
        <v/>
      </c>
      <c r="B90" s="1517">
        <f>'Cpts AR +indép + Sommaire'!G14</f>
        <v/>
      </c>
      <c r="C90" s="376">
        <f>'Cpts AR +indép + Sommaire'!C14</f>
        <v/>
      </c>
      <c r="D90" s="258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88">
        <f>IF($K90=TRUE,H90,0)</f>
        <v/>
      </c>
      <c r="AH90" s="2588">
        <f>IF($R90=TRUE,H90,0)</f>
        <v/>
      </c>
      <c r="AI90" s="2588">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56">
      <c r="B91" s="1688" t="n"/>
      <c r="C91" s="376" t="n"/>
      <c r="D91" s="258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88">
        <f>IF($K91=TRUE,H91,0)</f>
        <v/>
      </c>
      <c r="AH91" s="2588">
        <f>IF($R91=TRUE,H91,0)</f>
        <v/>
      </c>
      <c r="AI91" s="2588">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56">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56">
      <c r="B93" s="1686" t="n"/>
      <c r="C93" s="38" t="n"/>
      <c r="D93" s="258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88">
        <f>IF(K93=TRUE,H93,0)</f>
        <v/>
      </c>
      <c r="AH93" s="2588">
        <f>IF(R93=TRUE,H93,0)</f>
        <v/>
      </c>
      <c r="AI93" s="2588">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56">
      <c r="B94" s="1686" t="n"/>
      <c r="C94" s="38" t="n"/>
      <c r="D94" s="258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88">
        <f>IF(K94=TRUE,H94,0)</f>
        <v/>
      </c>
      <c r="AH94" s="2588">
        <f>IF(R94=TRUE,H94,0)</f>
        <v/>
      </c>
      <c r="AI94" s="2588">
        <f>IF(U94=TRUE,H94,0)</f>
        <v/>
      </c>
      <c r="AJ94" s="1476">
        <f>IF(OR(I94=11,A94="F"),0,G94*I94)</f>
        <v/>
      </c>
      <c r="AK94" s="1476">
        <f>IF(OR(J94=11,A94="F"),0,G94*J94)</f>
        <v/>
      </c>
      <c r="AL94" s="1476">
        <f>IF(OR(P94=11,A94="F"),0,G94*P94)</f>
        <v/>
      </c>
      <c r="AM94" s="1476">
        <f>IF(OR(Q94=11,A94="F"),0,G94*Q94)</f>
        <v/>
      </c>
      <c r="AN94" s="1476">
        <f>IF(OR(S94=11,A94="F"),0,S94*G94)</f>
        <v/>
      </c>
      <c r="AO94" s="1476">
        <f>IF(OR(T94=11,A94="F"),0,T94*G94)</f>
        <v/>
      </c>
      <c r="AV94" s="2469" t="n"/>
      <c r="AX94" s="2469" t="n"/>
      <c r="AY94" s="728" t="n"/>
      <c r="AZ94" s="728" t="n"/>
      <c r="BA94" s="87" t="n"/>
      <c r="BB94" s="438" t="n"/>
      <c r="BC94" s="89" t="n"/>
      <c r="BD94" s="442" t="n"/>
      <c r="BE94" s="442" t="n"/>
      <c r="BF94" s="89" t="n"/>
      <c r="BG94" s="443" t="n"/>
      <c r="BH94" s="443" t="n"/>
      <c r="BI94" s="439" t="n"/>
      <c r="BN94" s="2580" t="n"/>
      <c r="BP94" s="2469" t="n"/>
      <c r="BQ94" s="2469" t="n"/>
      <c r="BR94" s="2469" t="n"/>
      <c r="BS94" s="2469" t="n"/>
      <c r="BT94" s="2469" t="n"/>
      <c r="BU94" s="2469" t="n"/>
      <c r="BV94" s="2469" t="n"/>
      <c r="BW94" s="2469" t="n"/>
      <c r="BX94" s="2469" t="n"/>
      <c r="BY94" s="2469" t="n"/>
      <c r="BZ94" s="2469" t="n"/>
    </row>
    <row r="95" ht="20" customHeight="1" s="2456"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69" t="n"/>
      <c r="AX95" s="2469" t="n"/>
      <c r="AY95" s="728" t="n"/>
      <c r="AZ95" s="728" t="n"/>
      <c r="BA95" s="87" t="n"/>
      <c r="BB95" s="438" t="n"/>
      <c r="BC95" s="89" t="n"/>
      <c r="BD95" s="442" t="n"/>
      <c r="BE95" s="442" t="n"/>
      <c r="BF95" s="89" t="n"/>
      <c r="BG95" s="443" t="n"/>
      <c r="BH95" s="443" t="n"/>
      <c r="BI95" s="439" t="n"/>
      <c r="BN95" s="2580" t="n"/>
      <c r="BP95" s="2469" t="n"/>
      <c r="BQ95" s="2469" t="n"/>
      <c r="BR95" s="2469" t="n"/>
      <c r="BS95" s="2469" t="n"/>
      <c r="BT95" s="2469" t="n"/>
      <c r="BU95" s="2469" t="n"/>
      <c r="BV95" s="2469" t="n"/>
      <c r="BW95" s="2469" t="n"/>
      <c r="BX95" s="2469" t="n"/>
      <c r="BY95" s="2469" t="n"/>
      <c r="BZ95" s="2469" t="n"/>
    </row>
    <row r="96" ht="35" customHeight="1" s="2456"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16">
        <f>IF(AND($K92=TRUE,$K95=FALSE),AG92,IF(AND($K92=FALSE,$K95=TRUE),AG95,IF(AND($K92=TRUE,$K95=TRUE),AG92+AG95,0)))</f>
        <v/>
      </c>
      <c r="AH96" s="2516">
        <f>IF(AND($R92=TRUE,$R95=FALSE),AH92,IF(AND($R92=FALSE,$R95=TRUE),AH95,IF(AND($R92=TRUE,$R95=TRUE),AH92+AH95,0)))</f>
        <v/>
      </c>
      <c r="AI96" s="2516">
        <f>IF(AND($U92=TRUE,$U95=FALSE),AI92,IF(AND($U92=FALSE,$U95=TRUE),AI95,IF(AND($U92=TRUE,$U95=TRUE),AI92+AI95,0)))</f>
        <v/>
      </c>
      <c r="AJ96" s="2516">
        <f>IF(AND($K92=TRUE,$K95=FALSE),AJ92,IF(AND($K92=FALSE,$K95=TRUE),AJ95,IF(AND($K92=TRUE,$K95=TRUE),AJ92+AJ95,MAX(AJ92,AJ95))))</f>
        <v/>
      </c>
      <c r="AK96" s="2516">
        <f>IF(AND($K92=TRUE,$K95=FALSE),AK92,IF(AND($K92=FALSE,$K95=TRUE),AK95,IF(AND($K92=TRUE,$K95=TRUE),AK92+AK95,MAX(AK92,AK95))))</f>
        <v/>
      </c>
      <c r="AL96" s="2516">
        <f>IF(AND($R92=TRUE,$R95=FALSE),AL92,IF(AND($R92=FALSE,$R95=TRUE),AL95,IF(AND($R92=TRUE,$R95=TRUE),AL92+AL95,MAX(AL92,AL95))))</f>
        <v/>
      </c>
      <c r="AM96" s="2516">
        <f>IF(AND($R92=TRUE,$R95=FALSE),AM92,IF(AND($R92=FALSE,$R95=TRUE),AM95,IF(AND($R92=TRUE,$R95=TRUE),AM92+AM95,MAX(AM92,AM95))))</f>
        <v/>
      </c>
      <c r="AN96" s="2516">
        <f>IF(AND($U92=TRUE,$U95=FALSE),AN92,IF(AND($U92=FALSE,$U95=TRUE),AN95,IF(AND($U92=TRUE,$U95=TRUE),AN92+AN95,MAX(AN92,AN95))))</f>
        <v/>
      </c>
      <c r="AO96" s="2516">
        <f>IF(AND($U92=TRUE,$U95=FALSE),AO92,IF(AND($U92=FALSE,$U95=TRUE),AO95,IF(AND($U92=TRUE,$U95=TRUE),AO92+AO95,MAX(AO92,AO95))))</f>
        <v/>
      </c>
      <c r="AV96" s="2469" t="n"/>
      <c r="AX96" s="2469" t="n"/>
      <c r="AY96" s="728" t="n"/>
      <c r="AZ96" s="728" t="n"/>
      <c r="BA96" s="87" t="n"/>
      <c r="BB96" s="438" t="n"/>
      <c r="BC96" s="89" t="n"/>
      <c r="BD96" s="442" t="n"/>
      <c r="BE96" s="442" t="n"/>
      <c r="BF96" s="89" t="n"/>
      <c r="BG96" s="443" t="n"/>
      <c r="BH96" s="443" t="n"/>
      <c r="BI96" s="439" t="n"/>
      <c r="BN96" s="2580" t="n"/>
      <c r="BP96" s="2469" t="n"/>
      <c r="BQ96" s="2469" t="n"/>
      <c r="BR96" s="2469" t="n"/>
      <c r="BS96" s="2469" t="n"/>
      <c r="BT96" s="2469" t="n"/>
      <c r="BU96" s="2469" t="n"/>
      <c r="BV96" s="2469" t="n"/>
      <c r="BW96" s="2469" t="n"/>
      <c r="BX96" s="2469" t="n"/>
      <c r="BY96" s="2469" t="n"/>
      <c r="BZ96" s="2469" t="n"/>
    </row>
    <row r="97" ht="48" customHeight="1" s="2456">
      <c r="A97">
        <f>IF(Test_Bible!B279="","F","O")</f>
        <v/>
      </c>
      <c r="B97" s="1686">
        <f>'Cpts AR +indép + Sommaire'!S14</f>
        <v/>
      </c>
      <c r="C97" s="287">
        <f>'Cpts AR +indép + Sommaire'!O14</f>
        <v/>
      </c>
      <c r="D97" s="258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inlineStr"/>
      <c r="X97" s="814" t="n"/>
      <c r="Y97" s="813" t="n"/>
      <c r="Z97" s="814" t="n"/>
      <c r="AA97" s="813" t="n"/>
      <c r="AB97" s="814" t="n"/>
      <c r="AD97" s="10" t="n"/>
      <c r="AE97" s="10" t="n"/>
      <c r="AF97" s="10" t="n"/>
      <c r="AG97" s="2588">
        <f>IF($K97=TRUE,H97,0)</f>
        <v/>
      </c>
      <c r="AH97" s="2588">
        <f>IF($R97=TRUE,H97,0)</f>
        <v/>
      </c>
      <c r="AI97" s="2588"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56" thickBot="1">
      <c r="B98" s="1686" t="n"/>
      <c r="C98" s="287" t="n"/>
      <c r="D98" s="258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88">
        <f>IF($K98=TRUE,H98,0)</f>
        <v/>
      </c>
      <c r="AH98" s="2588">
        <f>IF($R98=TRUE,H98,0)</f>
        <v/>
      </c>
      <c r="AI98" s="2588"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56"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56">
      <c r="B100" s="1686" t="n"/>
      <c r="D100" s="383" t="inlineStr">
        <is>
          <t>COMPARATIF Comportement PFA-Enf</t>
        </is>
      </c>
      <c r="E100" s="2576"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56">
      <c r="B101" s="1686" t="n"/>
      <c r="C101" t="inlineStr">
        <is>
          <t>PCR</t>
        </is>
      </c>
      <c r="I101" s="122" t="n"/>
      <c r="L101" s="2464" t="n"/>
      <c r="M101" s="2464" t="n"/>
      <c r="N101" s="2464" t="n"/>
      <c r="O101" s="1365" t="n"/>
      <c r="P101" s="122" t="n"/>
      <c r="R101" s="2567" t="n"/>
      <c r="S101" s="122" t="n"/>
      <c r="U101" s="2567" t="n"/>
      <c r="V101" s="2464" t="n"/>
      <c r="W101" s="813" t="n"/>
      <c r="X101" s="814" t="n"/>
      <c r="Y101" s="813" t="n"/>
      <c r="Z101" s="814" t="n"/>
      <c r="AA101" s="813" t="n"/>
      <c r="AB101" s="814" t="n"/>
      <c r="AD101" s="10" t="n"/>
      <c r="AE101" s="10" t="n"/>
      <c r="AF101" s="10" t="n"/>
      <c r="AG101" s="2588" t="n"/>
      <c r="AH101" s="2588" t="n"/>
      <c r="AI101" s="2588"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56">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64" t="n"/>
      <c r="W102" s="813" t="n"/>
      <c r="X102" s="814" t="n"/>
      <c r="Y102" s="813" t="n"/>
      <c r="Z102" s="814" t="n"/>
      <c r="AA102" s="813" t="n"/>
      <c r="AB102" s="814" t="n"/>
      <c r="AD102" s="10" t="n"/>
      <c r="AE102" s="10" t="n"/>
      <c r="AF102" s="10" t="n"/>
      <c r="AG102" s="2588">
        <f>IF($K102=TRUE,H102,0)</f>
        <v/>
      </c>
      <c r="AH102" s="2588">
        <f>IF($R102=TRUE,H102,0)</f>
        <v/>
      </c>
      <c r="AI102" s="2588">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56"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88">
        <f>IF($K103=TRUE,H103,0)</f>
        <v/>
      </c>
      <c r="AH103" s="2588">
        <f>IF($R103=TRUE,H103,0)</f>
        <v/>
      </c>
      <c r="AI103" s="2588">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56"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56"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65" t="inlineStr">
        <is>
          <t xml:space="preserve">instrumentalisation de l'enfant qui rend le actif / force la prise d'otage psycho ou physique </t>
        </is>
      </c>
      <c r="J106" s="2541" t="n"/>
      <c r="K106" s="2552" t="n"/>
      <c r="L106" s="2568" t="n"/>
      <c r="M106" s="2541" t="n"/>
      <c r="N106" s="2541" t="n"/>
      <c r="O106" s="1333" t="n"/>
      <c r="P106" s="2577" t="inlineStr">
        <is>
          <t xml:space="preserve">compt. fragilise la relation parent-enfant ou les individus, enclenche rôle de protecteur, demande de faire un choix / choisir son camp </t>
        </is>
      </c>
      <c r="Q106" s="2541" t="n"/>
      <c r="R106" s="2552"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2" t="inlineStr">
        <is>
          <t>AP</t>
        </is>
      </c>
      <c r="L107" s="2570" t="inlineStr">
        <is>
          <t>Dynamique d'AP</t>
        </is>
      </c>
      <c r="O107" s="2567" t="n"/>
      <c r="P107" s="2566" t="inlineStr">
        <is>
          <t>CL</t>
        </is>
      </c>
      <c r="R107" s="2567" t="n"/>
      <c r="S107" s="2571" t="inlineStr">
        <is>
          <t>CSS</t>
        </is>
      </c>
      <c r="U107" s="2567"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69" t="inlineStr">
        <is>
          <t>AP</t>
        </is>
      </c>
      <c r="AL107" s="2569" t="inlineStr">
        <is>
          <t>CL</t>
        </is>
      </c>
      <c r="AN107" s="2569" t="inlineStr">
        <is>
          <t>CSS</t>
        </is>
      </c>
      <c r="AY107" s="728" t="n"/>
      <c r="AZ107" s="728" t="n"/>
      <c r="BA107" s="87" t="n"/>
      <c r="BB107" s="438" t="n"/>
      <c r="BC107" s="89" t="n"/>
      <c r="BD107" s="442" t="n"/>
      <c r="BE107" s="442" t="n"/>
      <c r="BF107" s="89" t="n"/>
      <c r="BG107" s="443" t="n"/>
      <c r="BH107" s="443" t="n"/>
      <c r="BI107" s="439" t="n"/>
    </row>
    <row r="108" ht="36" customHeight="1" s="2456">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5"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56">
      <c r="A109">
        <f>IF(Test_Bible!B173="","F","O")</f>
        <v/>
      </c>
      <c r="B109" s="1686">
        <f>'Cpts AR +indép + Sommaire'!G16</f>
        <v/>
      </c>
      <c r="C109" s="376">
        <f>'Cpts AR +indép + Sommaire'!C16</f>
        <v/>
      </c>
      <c r="D109" s="258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88">
        <f>IF($K109=TRUE,H109,0)</f>
        <v/>
      </c>
      <c r="AH109" s="2588">
        <f>IF($R109=TRUE,H109,0)</f>
        <v/>
      </c>
      <c r="AI109" s="2588">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56">
      <c r="B110" s="1517" t="n"/>
      <c r="C110" s="376" t="n"/>
      <c r="D110" s="258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88">
        <f>IF($K110=TRUE,H110,0)</f>
        <v/>
      </c>
      <c r="AH110" s="2588">
        <f>IF($R110=TRUE,H110,0)</f>
        <v/>
      </c>
      <c r="AI110" s="2588">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56">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56">
      <c r="A112">
        <f>IF(Test_Bible!B406="","F","O")</f>
        <v/>
      </c>
      <c r="B112" s="1517">
        <f>'Cpts AR +indép + Sommaire'!M16</f>
        <v/>
      </c>
      <c r="C112" s="38">
        <f>'Cpts AR +indép + Sommaire'!I16</f>
        <v/>
      </c>
      <c r="D112" s="258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88">
        <f>IF(K112=TRUE,H112,0)</f>
        <v/>
      </c>
      <c r="AH112" s="2588">
        <f>IF(R112=TRUE,H112,0)</f>
        <v/>
      </c>
      <c r="AI112" s="2588">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56">
      <c r="B113" s="1686" t="n"/>
      <c r="C113" s="38" t="n"/>
      <c r="D113" s="258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88">
        <f>IF(K113=TRUE,H113,0)</f>
        <v/>
      </c>
      <c r="AH113" s="2588">
        <f>IF(R113=TRUE,H113,0)</f>
        <v/>
      </c>
      <c r="AI113" s="2588">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69" t="n"/>
      <c r="AX113" s="2469" t="n"/>
      <c r="AY113" s="728" t="n"/>
      <c r="AZ113" s="728" t="n"/>
      <c r="BA113" s="87" t="n"/>
      <c r="BB113" s="438" t="n"/>
      <c r="BC113" s="89" t="n"/>
      <c r="BD113" s="442" t="n"/>
      <c r="BE113" s="442" t="n"/>
      <c r="BF113" s="89" t="n"/>
      <c r="BG113" s="443" t="n"/>
      <c r="BH113" s="443" t="n"/>
      <c r="BI113" s="439" t="n"/>
      <c r="BN113" s="2580" t="n"/>
      <c r="BP113" s="2469" t="n"/>
      <c r="BQ113" s="2469" t="n"/>
      <c r="BR113" s="2469" t="n"/>
      <c r="BS113" s="2469" t="n"/>
      <c r="BT113" s="2469" t="n"/>
      <c r="BU113" s="2469" t="n"/>
      <c r="BV113" s="2469" t="n"/>
      <c r="BW113" s="2469" t="n"/>
      <c r="BX113" s="2469" t="n"/>
      <c r="BY113" s="2469" t="n"/>
      <c r="BZ113" s="2469" t="n"/>
    </row>
    <row r="114" ht="52" customHeight="1" s="2456"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69" t="n"/>
      <c r="AX114" s="2469" t="n"/>
      <c r="AY114" s="728" t="n"/>
      <c r="AZ114" s="728" t="n"/>
      <c r="BA114" s="87" t="n"/>
      <c r="BB114" s="438" t="n"/>
      <c r="BC114" s="89" t="n"/>
      <c r="BD114" s="442" t="n"/>
      <c r="BE114" s="442" t="n"/>
      <c r="BF114" s="89" t="n"/>
      <c r="BG114" s="443" t="n"/>
      <c r="BH114" s="443" t="n"/>
      <c r="BI114" s="439" t="n"/>
      <c r="BN114" s="2580" t="n"/>
      <c r="BP114" s="2469" t="n"/>
      <c r="BQ114" s="2469" t="n"/>
      <c r="BR114" s="2469" t="n"/>
      <c r="BS114" s="2469" t="n"/>
      <c r="BT114" s="2469" t="n"/>
      <c r="BU114" s="2469" t="n"/>
      <c r="BV114" s="2469" t="n"/>
      <c r="BW114" s="2469" t="n"/>
      <c r="BX114" s="2469" t="n"/>
      <c r="BY114" s="2469" t="n"/>
      <c r="BZ114" s="2469" t="n"/>
    </row>
    <row r="115" ht="52" customHeight="1" s="2456"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16">
        <f>IF(AND($K111=TRUE,$K114=FALSE),AG111,IF(AND($K111=FALSE,$K114=TRUE),AG114,IF(AND($K111=TRUE,$K114=TRUE),AG111+AG114,0)))</f>
        <v/>
      </c>
      <c r="AH115" s="2516">
        <f>IF(AND($R111=TRUE,$R114=FALSE),AH111,IF(AND($R111=FALSE,$R114=TRUE),AH114,IF(AND($R111=TRUE,$R114=TRUE),AH111+AH114,0)))</f>
        <v/>
      </c>
      <c r="AI115" s="2516">
        <f>IF(AND($U111=TRUE,$U114=FALSE),AI111,IF(AND($U111=FALSE,$U114=TRUE),AI114,IF(AND($U111=TRUE,$U114=TRUE),AI111+AI114,0)))</f>
        <v/>
      </c>
      <c r="AJ115" s="2516">
        <f>IF(AND($K111=TRUE,$K114=FALSE),AJ111,IF(AND($K111=FALSE,$K114=TRUE),AJ114,IF(AND($K111=TRUE,$K114=TRUE),AJ111+AJ114,MAX(AJ111,AJ114))))</f>
        <v/>
      </c>
      <c r="AK115" s="2516">
        <f>IF(AND($K111=TRUE,$K114=FALSE),AK111,IF(AND($K111=FALSE,$K114=TRUE),AK114,IF(AND($K111=TRUE,$K114=TRUE),AK111+AK114,MAX(AK111,AK114))))</f>
        <v/>
      </c>
      <c r="AL115" s="2516">
        <f>IF(AND($R111=TRUE,$R114=FALSE),AL111,IF(AND($R111=FALSE,$R114=TRUE),AL114,IF(AND($R111=TRUE,$R114=TRUE),AL111+AL114,MAX(AL111,AL114))))</f>
        <v/>
      </c>
      <c r="AM115" s="2516">
        <f>IF(AND($R111=TRUE,$R114=FALSE),AM111,IF(AND($R111=FALSE,$R114=TRUE),AM114,IF(AND($R111=TRUE,$R114=TRUE),AM111+AM114,MAX(AM111,AM114))))</f>
        <v/>
      </c>
      <c r="AN115" s="2516">
        <f>IF(AND($U111=TRUE,$U114=FALSE),AN111,IF(AND($U111=FALSE,$U114=TRUE),AN114,IF(AND($U111=TRUE,$U114=TRUE),AN111+AN114,MAX(AN111,AN114))))</f>
        <v/>
      </c>
      <c r="AO115" s="2516">
        <f>IF(AND($U111=TRUE,$U114=FALSE),AO111,IF(AND($U111=FALSE,$U114=TRUE),AO114,IF(AND($U111=TRUE,$U114=TRUE),AO111+AO114,MAX(AO111,AO114))))</f>
        <v/>
      </c>
      <c r="AV115" s="2469" t="n"/>
      <c r="AX115" s="2469" t="n"/>
      <c r="AY115" s="728" t="n"/>
      <c r="AZ115" s="728" t="n"/>
      <c r="BA115" s="87" t="n"/>
      <c r="BB115" s="438" t="n"/>
      <c r="BC115" s="89" t="n"/>
      <c r="BD115" s="442" t="n"/>
      <c r="BE115" s="442" t="n"/>
      <c r="BF115" s="89" t="n"/>
      <c r="BG115" s="443" t="n"/>
      <c r="BH115" s="443" t="n"/>
      <c r="BI115" s="439" t="n"/>
      <c r="BN115" s="2580" t="n"/>
      <c r="BP115" s="2469" t="n"/>
      <c r="BQ115" s="2469" t="n"/>
      <c r="BR115" s="2469" t="n"/>
      <c r="BS115" s="2469" t="n"/>
      <c r="BT115" s="2469" t="n"/>
      <c r="BU115" s="2469" t="n"/>
      <c r="BV115" s="2469" t="n"/>
      <c r="BW115" s="2469" t="n"/>
      <c r="BX115" s="2469" t="n"/>
      <c r="BY115" s="2469" t="n"/>
      <c r="BZ115" s="2469" t="n"/>
    </row>
    <row r="116" ht="48" customHeight="1" s="2456">
      <c r="A116">
        <f>IF(Test_Bible!B280="","F","O")</f>
        <v/>
      </c>
      <c r="B116" s="1686">
        <f>'Cpts AR +indép + Sommaire'!S16</f>
        <v/>
      </c>
      <c r="C116" s="287">
        <f>'Cpts AR +indép + Sommaire'!O16</f>
        <v/>
      </c>
      <c r="D116" s="258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inlineStr"/>
      <c r="X116" s="814" t="n"/>
      <c r="Y116" s="813" t="n"/>
      <c r="Z116" s="814" t="n"/>
      <c r="AA116" s="813" t="n"/>
      <c r="AB116" s="814" t="n"/>
      <c r="AD116" s="10" t="n"/>
      <c r="AE116" s="10" t="n"/>
      <c r="AF116" s="10" t="n"/>
      <c r="AG116" s="2588">
        <f>IF($K116=TRUE,H116,0)</f>
        <v/>
      </c>
      <c r="AH116" s="2588">
        <f>IF($R116=TRUE,H116,0)</f>
        <v/>
      </c>
      <c r="AI116" s="2588"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56" thickBot="1">
      <c r="B117" s="1686" t="n"/>
      <c r="C117" s="287" t="inlineStr">
        <is>
          <t>Enf</t>
        </is>
      </c>
      <c r="D117" s="258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88">
        <f>IF($K117=TRUE,H117,0)</f>
        <v/>
      </c>
      <c r="AH117" s="2588">
        <f>IF($R117=TRUE,H117,0)</f>
        <v/>
      </c>
      <c r="AI117" s="2588"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56"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56">
      <c r="B119" s="1686" t="n"/>
      <c r="D119" s="383" t="inlineStr">
        <is>
          <t>COMPARATIF Comportement PFA-Enf</t>
        </is>
      </c>
      <c r="E119" s="2576"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56">
      <c r="B120" s="1686" t="n"/>
      <c r="C120" t="inlineStr">
        <is>
          <t>PCR</t>
        </is>
      </c>
      <c r="I120" s="122" t="n"/>
      <c r="L120" s="2464" t="n"/>
      <c r="M120" s="2464" t="n"/>
      <c r="N120" s="2464" t="n"/>
      <c r="O120" s="1365" t="n"/>
      <c r="P120" s="122" t="n"/>
      <c r="R120" s="2567" t="n"/>
      <c r="S120" s="122" t="n"/>
      <c r="U120" s="2567" t="n"/>
      <c r="V120" s="2464" t="n"/>
      <c r="W120" s="813" t="n"/>
      <c r="X120" s="814" t="n"/>
      <c r="Y120" s="813" t="n"/>
      <c r="Z120" s="814" t="n"/>
      <c r="AA120" s="813" t="n"/>
      <c r="AB120" s="814" t="n"/>
      <c r="AD120" s="10" t="n"/>
      <c r="AE120" s="10" t="n"/>
      <c r="AF120" s="10" t="n"/>
      <c r="AG120" s="2588" t="n"/>
      <c r="AH120" s="2588" t="n"/>
      <c r="AI120" s="2588"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56">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64" t="n"/>
      <c r="W121" s="813" t="n"/>
      <c r="X121" s="814" t="n"/>
      <c r="Y121" s="813" t="n"/>
      <c r="Z121" s="814" t="n"/>
      <c r="AA121" s="813" t="n"/>
      <c r="AB121" s="814" t="n"/>
      <c r="AD121" s="10" t="n"/>
      <c r="AE121" s="10" t="n"/>
      <c r="AF121" s="10" t="n"/>
      <c r="AG121" s="2588">
        <f>IF($K121=TRUE,H121,0)</f>
        <v/>
      </c>
      <c r="AH121" s="2588">
        <f>IF($R121=TRUE,H121,0)</f>
        <v/>
      </c>
      <c r="AI121" s="2588">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56"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88">
        <f>IF($K122=TRUE,H122,0)</f>
        <v/>
      </c>
      <c r="AH122" s="2588">
        <f>IF($R122=TRUE,H122,0)</f>
        <v/>
      </c>
      <c r="AI122" s="2588">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56" thickBot="1">
      <c r="B123" s="1686" t="n"/>
      <c r="D123" s="2520" t="n"/>
      <c r="E123" s="2520"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56" thickBot="1">
      <c r="D124" s="2520" t="n"/>
      <c r="E124" s="2520" t="n"/>
      <c r="F124" s="67" t="n"/>
      <c r="G124" s="434" t="n"/>
      <c r="H124" s="434" t="n"/>
      <c r="I124" s="2465" t="n"/>
      <c r="J124" s="246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20" t="n"/>
      <c r="E125" s="2520" t="n"/>
      <c r="F125" s="67" t="n"/>
      <c r="G125" s="434" t="n"/>
      <c r="H125" s="434" t="n"/>
      <c r="I125" s="2565" t="inlineStr">
        <is>
          <t xml:space="preserve">instrumentalisation de l'enfant qui rend le actif / force la prise d'otage psycho ou physique </t>
        </is>
      </c>
      <c r="J125" s="2541" t="n"/>
      <c r="K125" s="2552" t="n"/>
      <c r="L125" s="2568" t="n"/>
      <c r="M125" s="2541" t="n"/>
      <c r="N125" s="2541" t="n"/>
      <c r="O125" s="1333" t="n"/>
      <c r="P125" s="2577" t="inlineStr">
        <is>
          <t xml:space="preserve">compt. fragilise la relation parent-enfant ou les individus, enclenche rôle de protecteur, demande de faire un choix / choisir son camp </t>
        </is>
      </c>
      <c r="Q125" s="2541" t="n"/>
      <c r="R125" s="2552"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2" t="inlineStr">
        <is>
          <t>AP</t>
        </is>
      </c>
      <c r="L126" s="2570" t="inlineStr">
        <is>
          <t>Dynamique d'AP</t>
        </is>
      </c>
      <c r="O126" s="2567" t="n"/>
      <c r="P126" s="2566" t="inlineStr">
        <is>
          <t>CL</t>
        </is>
      </c>
      <c r="R126" s="2567" t="n"/>
      <c r="S126" s="2571" t="inlineStr">
        <is>
          <t>CSS</t>
        </is>
      </c>
      <c r="U126" s="2567"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69" t="inlineStr">
        <is>
          <t>AP</t>
        </is>
      </c>
      <c r="AL126" s="2569" t="inlineStr">
        <is>
          <t>CL</t>
        </is>
      </c>
      <c r="AN126" s="2569" t="inlineStr">
        <is>
          <t>CSS</t>
        </is>
      </c>
      <c r="AY126" s="728" t="n"/>
      <c r="AZ126" s="728" t="n"/>
      <c r="BA126" s="87" t="n"/>
      <c r="BB126" s="438" t="n"/>
      <c r="BC126" s="89" t="n"/>
      <c r="BD126" s="442" t="n"/>
      <c r="BE126" s="442" t="n"/>
      <c r="BF126" s="89" t="n"/>
      <c r="BG126" s="443" t="n"/>
      <c r="BH126" s="443" t="n"/>
      <c r="BI126" s="439" t="n"/>
    </row>
    <row r="127" ht="34" customHeight="1" s="2456">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5"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56">
      <c r="A128">
        <f>IF(Test_Bible!B175="","F","O")</f>
        <v/>
      </c>
      <c r="B128" s="1517">
        <f>'Cpts AR +indép + Sommaire'!G18</f>
        <v/>
      </c>
      <c r="C128" s="376">
        <f>'Cpts AR +indép + Sommaire'!C18</f>
        <v/>
      </c>
      <c r="D128" s="258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88">
        <f>IF($K128=TRUE,H128,0)</f>
        <v/>
      </c>
      <c r="AH128" s="2588">
        <f>IF($R128=TRUE,H128,0)</f>
        <v/>
      </c>
      <c r="AI128" s="2588">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56">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88">
        <f>IF($K129=TRUE,H129,0)</f>
        <v/>
      </c>
      <c r="AH129" s="2588">
        <f>IF($R129=TRUE,H129,0)</f>
        <v/>
      </c>
      <c r="AI129" s="2588">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56">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56">
      <c r="B131" s="1686" t="n"/>
      <c r="C131" s="38" t="n"/>
      <c r="D131" s="258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88">
        <f>IF(K131=TRUE,H131,0)</f>
        <v/>
      </c>
      <c r="AH131" s="2588">
        <f>IF(R131=TRUE,H131,0)</f>
        <v/>
      </c>
      <c r="AI131" s="2588">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56">
      <c r="B132" s="1686" t="n"/>
      <c r="C132" s="38" t="n"/>
      <c r="D132" s="258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88">
        <f>IF(K132=TRUE,H132,0)</f>
        <v/>
      </c>
      <c r="AH132" s="2588">
        <f>IF(R132=TRUE,H132,0)</f>
        <v/>
      </c>
      <c r="AI132" s="2588">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56"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69" t="n"/>
      <c r="AX133" s="2469" t="n"/>
      <c r="AY133" s="728" t="n"/>
      <c r="AZ133" s="728" t="n"/>
      <c r="BA133" s="87" t="n"/>
      <c r="BB133" s="438" t="n"/>
      <c r="BC133" s="89" t="n"/>
      <c r="BD133" s="442" t="n"/>
      <c r="BE133" s="442" t="n"/>
      <c r="BF133" s="89" t="n"/>
      <c r="BG133" s="443" t="n"/>
      <c r="BH133" s="443" t="n"/>
      <c r="BI133" s="439" t="n"/>
      <c r="BN133" s="2580" t="n"/>
      <c r="BP133" s="2469" t="n"/>
      <c r="BQ133" s="2469" t="n"/>
      <c r="BR133" s="2469" t="n"/>
      <c r="BS133" s="2469" t="n"/>
      <c r="BT133" s="2469" t="n"/>
      <c r="BU133" s="2469" t="n"/>
      <c r="BV133" s="2469" t="n"/>
      <c r="BW133" s="2469" t="n"/>
      <c r="BX133" s="2469" t="n"/>
      <c r="BY133" s="2469" t="n"/>
      <c r="BZ133" s="2469" t="n"/>
    </row>
    <row r="134" ht="35" customHeight="1" s="2456"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16">
        <f>IF(AND($K130=TRUE,$K133=FALSE),AG130,IF(AND($K130=FALSE,$K133=TRUE),AG133,IF(AND($K130=TRUE,$K133=TRUE),AG130+AG133,0)))</f>
        <v/>
      </c>
      <c r="AH134" s="2516">
        <f>IF(AND($R130=TRUE,$R133=FALSE),AH130,IF(AND($R130=FALSE,$R133=TRUE),AH133,IF(AND($R130=TRUE,$R133=TRUE),AH130+AH133,0)))</f>
        <v/>
      </c>
      <c r="AI134" s="2516">
        <f>IF(AND($U130=TRUE,$U133=FALSE),AI130,IF(AND($U130=FALSE,$U133=TRUE),AI133,IF(AND($U130=TRUE,$U133=TRUE),AI130+AI133,0)))</f>
        <v/>
      </c>
      <c r="AJ134" s="2516">
        <f>IF(AND($K130=TRUE,$K133=FALSE),AJ130,IF(AND($K130=FALSE,$K133=TRUE),AJ133,IF(AND($K130=TRUE,$K133=TRUE),AJ130+AJ133,MAX(AJ130,AJ133))))</f>
        <v/>
      </c>
      <c r="AK134" s="2516">
        <f>IF(AND($K130=TRUE,$K133=FALSE),AK130,IF(AND($K130=FALSE,$K133=TRUE),AK133,IF(AND($K130=TRUE,$K133=TRUE),AK130+AK133,MAX(AK130,AK133))))</f>
        <v/>
      </c>
      <c r="AL134" s="2516">
        <f>IF(AND($R130=TRUE,$R133=FALSE),AL130,IF(AND($R130=FALSE,$R133=TRUE),AL133,IF(AND($R130=TRUE,$R133=TRUE),AL130+AL133,MAX(AL130,AL133))))</f>
        <v/>
      </c>
      <c r="AM134" s="2516">
        <f>IF(AND($R130=TRUE,$R133=FALSE),AM130,IF(AND($R130=FALSE,$R133=TRUE),AM133,IF(AND($R130=TRUE,$R133=TRUE),AM130+AM133,MAX(AM130,AM133))))</f>
        <v/>
      </c>
      <c r="AN134" s="2516">
        <f>IF(AND($U130=TRUE,$U133=FALSE),AN130,IF(AND($U130=FALSE,$U133=TRUE),AN133,IF(AND($U130=TRUE,$U133=TRUE),AN130+AN133,MAX(AN130,AN133))))</f>
        <v/>
      </c>
      <c r="AO134" s="2516">
        <f>IF(AND($U130=TRUE,$U133=FALSE),AO130,IF(AND($U130=FALSE,$U133=TRUE),AO133,IF(AND($U130=TRUE,$U133=TRUE),AO130+AO133,MAX(AO130,AO133))))</f>
        <v/>
      </c>
      <c r="AV134" s="2469" t="n"/>
      <c r="AX134" s="2469" t="n"/>
      <c r="AY134" s="728" t="n"/>
      <c r="AZ134" s="728" t="n"/>
      <c r="BA134" s="87" t="n"/>
      <c r="BB134" s="438" t="n"/>
      <c r="BC134" s="89" t="n"/>
      <c r="BD134" s="442" t="n"/>
      <c r="BE134" s="442" t="n"/>
      <c r="BF134" s="89" t="n"/>
      <c r="BG134" s="443" t="n"/>
      <c r="BH134" s="443" t="n"/>
      <c r="BI134" s="439" t="n"/>
      <c r="BN134" s="2580" t="n"/>
      <c r="BP134" s="2469" t="n"/>
      <c r="BQ134" s="2469" t="n"/>
      <c r="BR134" s="2469" t="n"/>
      <c r="BS134" s="2469" t="n"/>
      <c r="BT134" s="2469" t="n"/>
      <c r="BU134" s="2469" t="n"/>
      <c r="BV134" s="2469" t="n"/>
      <c r="BW134" s="2469" t="n"/>
      <c r="BX134" s="2469" t="n"/>
      <c r="BY134" s="2469" t="n"/>
      <c r="BZ134" s="2469" t="n"/>
    </row>
    <row r="135" ht="51" customHeight="1" s="2456">
      <c r="A135">
        <f>IF(Test_Bible!B305="","F","O")</f>
        <v/>
      </c>
      <c r="B135" s="1686">
        <f>'Cpts AR +indép + Sommaire'!S18</f>
        <v/>
      </c>
      <c r="C135" s="287">
        <f>'Cpts AR +indép + Sommaire'!O18</f>
        <v/>
      </c>
      <c r="D135" s="258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inlineStr"/>
      <c r="X135" s="814" t="n"/>
      <c r="Y135" s="813" t="n"/>
      <c r="Z135" s="814" t="n"/>
      <c r="AA135" s="813" t="n"/>
      <c r="AB135" s="814" t="n"/>
      <c r="AD135" s="10" t="n"/>
      <c r="AE135" s="10" t="n"/>
      <c r="AF135" s="10" t="n"/>
      <c r="AG135" s="2588">
        <f>IF($K135=TRUE,H135,0)</f>
        <v/>
      </c>
      <c r="AH135" s="2588">
        <f>IF($R135=TRUE,H135,0)</f>
        <v/>
      </c>
      <c r="AI135" s="2588"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69" t="n"/>
      <c r="AX135" s="2469" t="n"/>
      <c r="AY135" s="728" t="n"/>
      <c r="AZ135" s="728" t="n"/>
      <c r="BA135" s="87" t="n"/>
      <c r="BB135" s="438" t="n"/>
      <c r="BC135" s="89" t="n"/>
      <c r="BD135" s="442" t="n"/>
      <c r="BE135" s="442" t="n"/>
      <c r="BF135" s="89" t="n"/>
      <c r="BG135" s="443" t="n"/>
      <c r="BH135" s="443" t="n"/>
      <c r="BI135" s="439" t="n"/>
      <c r="BN135" s="2580" t="n"/>
      <c r="BP135" s="2469" t="n"/>
      <c r="BQ135" s="2469" t="n"/>
      <c r="BR135" s="2469" t="n"/>
      <c r="BS135" s="2469" t="n"/>
      <c r="BT135" s="2469" t="n"/>
      <c r="BU135" s="2469" t="n"/>
      <c r="BV135" s="2469" t="n"/>
      <c r="BW135" s="2469" t="n"/>
      <c r="BX135" s="2469" t="n"/>
      <c r="BY135" s="2469" t="n"/>
      <c r="BZ135" s="2469" t="n"/>
    </row>
    <row r="136" ht="20" customHeight="1" s="2456" thickBot="1">
      <c r="B136" s="1686" t="n"/>
      <c r="C136" s="287" t="n"/>
      <c r="D136" s="258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88">
        <f>IF($K136=TRUE,H136,0)</f>
        <v/>
      </c>
      <c r="AH136" s="2588">
        <f>IF($R136=TRUE,H136,0)</f>
        <v/>
      </c>
      <c r="AI136" s="2588"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69" t="n"/>
      <c r="AX136" s="2469" t="n"/>
      <c r="AY136" s="728" t="n"/>
      <c r="AZ136" s="728" t="n"/>
      <c r="BA136" s="87" t="n"/>
      <c r="BB136" s="438" t="n"/>
      <c r="BC136" s="89" t="n"/>
      <c r="BD136" s="442" t="n"/>
      <c r="BE136" s="442" t="n"/>
      <c r="BF136" s="89" t="n"/>
      <c r="BG136" s="443" t="n"/>
      <c r="BH136" s="443" t="n"/>
      <c r="BI136" s="439" t="n"/>
      <c r="BN136" s="2580" t="n"/>
      <c r="BP136" s="2469" t="n"/>
      <c r="BQ136" s="2469" t="n"/>
      <c r="BR136" s="2469" t="n"/>
      <c r="BS136" s="2469" t="n"/>
      <c r="BT136" s="2469" t="n"/>
      <c r="BU136" s="2469" t="n"/>
      <c r="BV136" s="2469" t="n"/>
      <c r="BW136" s="2469" t="n"/>
      <c r="BX136" s="2469" t="n"/>
      <c r="BY136" s="2469" t="n"/>
      <c r="BZ136" s="2469" t="n"/>
    </row>
    <row r="137" ht="52" customHeight="1" s="2456"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56">
      <c r="B138" s="1686" t="n"/>
      <c r="D138" s="383" t="inlineStr">
        <is>
          <t>COMPARATIF Comportement PFA-Enf</t>
        </is>
      </c>
      <c r="E138" s="2576"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56">
      <c r="B139" s="1686" t="n"/>
      <c r="C139" t="inlineStr">
        <is>
          <t>PCR</t>
        </is>
      </c>
      <c r="I139" s="122" t="n"/>
      <c r="L139" s="2464" t="n"/>
      <c r="M139" s="2464" t="n"/>
      <c r="N139" s="2464" t="n"/>
      <c r="O139" s="1365" t="n"/>
      <c r="P139" s="122" t="n"/>
      <c r="R139" s="2567" t="n"/>
      <c r="S139" s="122" t="n"/>
      <c r="U139" s="2567" t="n"/>
      <c r="V139" s="2464" t="n"/>
      <c r="W139" s="813" t="n"/>
      <c r="X139" s="814" t="n"/>
      <c r="Y139" s="813" t="n"/>
      <c r="Z139" s="814" t="n"/>
      <c r="AA139" s="813" t="n"/>
      <c r="AB139" s="814" t="n"/>
      <c r="AD139" s="10" t="n"/>
      <c r="AE139" s="10" t="n"/>
      <c r="AF139" s="10" t="n"/>
      <c r="AG139" s="2588" t="n"/>
      <c r="AH139" s="2588" t="n"/>
      <c r="AI139" s="2588"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56">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64" t="n"/>
      <c r="W140" s="813" t="n"/>
      <c r="X140" s="814" t="n"/>
      <c r="Y140" s="813" t="n"/>
      <c r="Z140" s="814" t="n"/>
      <c r="AA140" s="813" t="n"/>
      <c r="AB140" s="814" t="n"/>
      <c r="AD140" s="10" t="n"/>
      <c r="AE140" s="10" t="n"/>
      <c r="AF140" s="10" t="n"/>
      <c r="AG140" s="2588">
        <f>IF($K140=TRUE,H140,0)</f>
        <v/>
      </c>
      <c r="AH140" s="2588">
        <f>IF($R140=TRUE,H140,0)</f>
        <v/>
      </c>
      <c r="AI140" s="2588">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56"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88">
        <f>IF($K141=TRUE,H141,0)</f>
        <v/>
      </c>
      <c r="AH141" s="2588">
        <f>IF($R141=TRUE,H141,0)</f>
        <v/>
      </c>
      <c r="AI141" s="2588">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56" thickBot="1">
      <c r="D142" s="2520" t="n"/>
      <c r="E142" s="2520"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56" thickBot="1">
      <c r="D143" s="2520" t="n"/>
      <c r="E143" s="2520" t="n"/>
      <c r="F143" s="67" t="n"/>
      <c r="G143" s="434" t="n"/>
      <c r="H143" s="434" t="n"/>
      <c r="I143" s="2465" t="n"/>
      <c r="J143" s="246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20" t="n"/>
      <c r="E144" s="2520" t="n"/>
      <c r="F144" s="67" t="n"/>
      <c r="G144" s="434" t="n"/>
      <c r="H144" s="434" t="n"/>
      <c r="I144" s="2565" t="inlineStr">
        <is>
          <t xml:space="preserve">instrumentalisation de l'enfant qui rend le actif / force la prise d'otage psycho ou physique </t>
        </is>
      </c>
      <c r="J144" s="2541" t="n"/>
      <c r="K144" s="2552" t="n"/>
      <c r="L144" s="2568" t="n"/>
      <c r="M144" s="2541" t="n"/>
      <c r="N144" s="2541" t="n"/>
      <c r="O144" s="1333" t="n"/>
      <c r="P144" s="2577" t="inlineStr">
        <is>
          <t xml:space="preserve">compt. fragilise la relation parent-enfant ou les individus, enclenche rôle de protecteur, demande de faire un choix / choisir son camp </t>
        </is>
      </c>
      <c r="Q144" s="2541" t="n"/>
      <c r="R144" s="2552"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2" t="inlineStr">
        <is>
          <t>AP</t>
        </is>
      </c>
      <c r="L145" s="2570" t="inlineStr">
        <is>
          <t>Dynamique d'AP</t>
        </is>
      </c>
      <c r="O145" s="2567" t="n"/>
      <c r="P145" s="2566" t="inlineStr">
        <is>
          <t>CL</t>
        </is>
      </c>
      <c r="R145" s="2567" t="n"/>
      <c r="S145" s="2571" t="inlineStr">
        <is>
          <t>CSS</t>
        </is>
      </c>
      <c r="U145" s="2567"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56">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5"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56">
      <c r="A147">
        <f>IF(Test_Bible!B177="","F","O")</f>
        <v/>
      </c>
      <c r="B147" s="1517">
        <f>'Cpts AR +indép + Sommaire'!G21</f>
        <v/>
      </c>
      <c r="C147" s="376">
        <f>'Cpts AR +indép + Sommaire'!C21</f>
        <v/>
      </c>
      <c r="D147" s="258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88">
        <f>IF($K147=TRUE,H147,0)</f>
        <v/>
      </c>
      <c r="AH147" s="2588">
        <f>IF($R147=TRUE,H147,0)</f>
        <v/>
      </c>
      <c r="AI147" s="2588">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56">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88">
        <f>IF($K148=TRUE,H148,0)</f>
        <v/>
      </c>
      <c r="AH148" s="2588">
        <f>IF($R148=TRUE,H148,0)</f>
        <v/>
      </c>
      <c r="AI148" s="2588">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56">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88">
        <f>IF($K149=TRUE,H149,0)</f>
        <v/>
      </c>
      <c r="AH149" s="2588">
        <f>IF($R149=TRUE,H149,0)</f>
        <v/>
      </c>
      <c r="AI149" s="2588">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56">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56">
      <c r="B151" s="1686" t="n"/>
      <c r="C151" s="38" t="n"/>
      <c r="D151" s="258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88">
        <f>IF(K151=TRUE,H151,0)</f>
        <v/>
      </c>
      <c r="AH151" s="2588">
        <f>IF(R151=TRUE,H151,0)</f>
        <v/>
      </c>
      <c r="AI151" s="2588">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56">
      <c r="B152" s="1686" t="n"/>
      <c r="C152" s="38" t="n"/>
      <c r="D152" s="258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88">
        <f>IF(K152=TRUE,H152,0)</f>
        <v/>
      </c>
      <c r="AH152" s="2588">
        <f>IF(R152=TRUE,H152,0)</f>
        <v/>
      </c>
      <c r="AI152" s="2588">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56"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56"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16">
        <f>IF(AND($K150=TRUE,$K153=FALSE),AG150,IF(AND($K150=FALSE,$K153=TRUE),AG153,IF(AND($K150=TRUE,$K153=TRUE),AG150+AG153,0)))</f>
        <v/>
      </c>
      <c r="AH154" s="2516">
        <f>IF(AND($R150=TRUE,$R153=FALSE),AH150,IF(AND($R150=FALSE,$R153=TRUE),AH153,IF(AND($R150=TRUE,$R153=TRUE),AH150+AH153,0)))</f>
        <v/>
      </c>
      <c r="AI154" s="2516">
        <f>IF(AND($U150=TRUE,$U153=FALSE),AI150,IF(AND($U150=FALSE,$U153=TRUE),AI153,IF(AND($U150=TRUE,$U153=TRUE),AI150+AI153,0)))</f>
        <v/>
      </c>
      <c r="AJ154" s="2516">
        <f>IF(AND($K150=TRUE,$K153=FALSE),AJ150,IF(AND($K150=FALSE,$K153=TRUE),AJ153,IF(AND($K150=TRUE,$K153=TRUE),AJ150+AJ153,MAX(AJ150,AJ153))))</f>
        <v/>
      </c>
      <c r="AK154" s="2516">
        <f>IF(AND($K150=TRUE,$K153=FALSE),AK150,IF(AND($K150=FALSE,$K153=TRUE),AK153,IF(AND($K150=TRUE,$K153=TRUE),AK150+AK153,MAX(AK150,AK153))))</f>
        <v/>
      </c>
      <c r="AL154" s="2516">
        <f>IF(AND($R150=TRUE,$R153=FALSE),AL150,IF(AND($R150=FALSE,$R153=TRUE),AL153,IF(AND($R150=TRUE,$R153=TRUE),AL150+AL153,MAX(AL150,AL153))))</f>
        <v/>
      </c>
      <c r="AM154" s="2516">
        <f>IF(AND($R150=TRUE,$R153=FALSE),AM150,IF(AND($R150=FALSE,$R153=TRUE),AM153,IF(AND($R150=TRUE,$R153=TRUE),AM150+AM153,MAX(AM150,AM153))))</f>
        <v/>
      </c>
      <c r="AN154" s="2516">
        <f>IF(AND($U150=TRUE,$U153=FALSE),AN150,IF(AND($U150=FALSE,$U153=TRUE),AN153,IF(AND($U150=TRUE,$U153=TRUE),AN150+AN153,MAX(AN150,AN153))))</f>
        <v/>
      </c>
      <c r="AO154" s="2516">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56">
      <c r="A155">
        <f>IF(Test_Bible!B281="","F","O")</f>
        <v/>
      </c>
      <c r="B155" s="1686">
        <f>'Cpts AR +indép + Sommaire'!S21</f>
        <v/>
      </c>
      <c r="C155" s="287">
        <f>'Cpts AR +indép + Sommaire'!O21</f>
        <v/>
      </c>
      <c r="D155" s="258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inlineStr"/>
      <c r="X155" s="814" t="n"/>
      <c r="Y155" s="813" t="n"/>
      <c r="Z155" s="814" t="n"/>
      <c r="AA155" s="813" t="n"/>
      <c r="AB155" s="814" t="n"/>
      <c r="AD155" s="10" t="n"/>
      <c r="AE155" s="10" t="n"/>
      <c r="AF155" s="10" t="n"/>
      <c r="AG155" s="2588">
        <f>IF($K155=TRUE,H155,0)</f>
        <v/>
      </c>
      <c r="AH155" s="2588">
        <f>IF($R155=TRUE,H155,0)</f>
        <v/>
      </c>
      <c r="AI155" s="2588"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56" thickBot="1">
      <c r="B156" s="1686" t="n"/>
      <c r="C156" s="287" t="n"/>
      <c r="D156" s="258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88">
        <f>IF($K156=TRUE,H156,0)</f>
        <v/>
      </c>
      <c r="AH156" s="2588">
        <f>IF($R156=TRUE,H156,0)</f>
        <v/>
      </c>
      <c r="AI156" s="2588"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69" t="n"/>
      <c r="AX156" s="2469" t="n"/>
      <c r="AY156" s="728" t="n"/>
      <c r="AZ156" s="728" t="n"/>
      <c r="BA156" s="87" t="n"/>
      <c r="BB156" s="438" t="n"/>
      <c r="BC156" s="89" t="n"/>
      <c r="BD156" s="442" t="n"/>
      <c r="BE156" s="442" t="n"/>
      <c r="BF156" s="89" t="n"/>
      <c r="BG156" s="443" t="n"/>
      <c r="BH156" s="443" t="n"/>
      <c r="BI156" s="439" t="n"/>
      <c r="BN156" s="2580" t="n"/>
      <c r="BP156" s="2469" t="n"/>
      <c r="BQ156" s="2469" t="n"/>
      <c r="BR156" s="2469" t="n"/>
      <c r="BS156" s="2469" t="n"/>
      <c r="BT156" s="2469" t="n"/>
      <c r="BU156" s="2469" t="n"/>
      <c r="BV156" s="2469" t="n"/>
      <c r="BW156" s="2469" t="n"/>
      <c r="BX156" s="2469" t="n"/>
      <c r="BY156" s="2469" t="n"/>
      <c r="BZ156" s="2469" t="n"/>
    </row>
    <row r="157" ht="52" customHeight="1" s="2456"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56">
      <c r="B158" s="1686" t="n"/>
      <c r="D158" s="383" t="inlineStr">
        <is>
          <t>COMPARATIF Comportement PFA-Enf</t>
        </is>
      </c>
      <c r="E158" s="2576"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56">
      <c r="B159" s="1686" t="n"/>
      <c r="C159" t="inlineStr">
        <is>
          <t>PCR</t>
        </is>
      </c>
      <c r="I159" s="122" t="n"/>
      <c r="L159" s="2464" t="n"/>
      <c r="M159" s="2464" t="n"/>
      <c r="N159" s="2464" t="n"/>
      <c r="O159" s="1365" t="n"/>
      <c r="P159" s="122" t="n"/>
      <c r="R159" s="2567" t="n"/>
      <c r="S159" s="122" t="n"/>
      <c r="U159" s="2567" t="n"/>
      <c r="V159" s="2464" t="n"/>
      <c r="W159" s="813" t="n"/>
      <c r="X159" s="814" t="n"/>
      <c r="Y159" s="813" t="n"/>
      <c r="Z159" s="814" t="n"/>
      <c r="AA159" s="813" t="n"/>
      <c r="AB159" s="814" t="n"/>
      <c r="AD159" s="10" t="n"/>
      <c r="AE159" s="10" t="n"/>
      <c r="AF159" s="10" t="n"/>
      <c r="AG159" s="2588" t="n"/>
      <c r="AH159" s="2588" t="n"/>
      <c r="AI159" s="2588" t="n"/>
      <c r="AJ159" s="1476" t="n"/>
      <c r="AK159" s="1476" t="n"/>
      <c r="AL159" s="1476" t="n"/>
      <c r="AM159" s="1476" t="n"/>
      <c r="AN159" s="1476" t="n"/>
      <c r="AO159" s="1476" t="n"/>
      <c r="AU159" s="2469" t="n"/>
      <c r="AY159" s="728" t="n"/>
      <c r="AZ159" s="728" t="n"/>
      <c r="BA159" s="87" t="n"/>
      <c r="BB159" s="438" t="n"/>
      <c r="BC159" s="89" t="n"/>
      <c r="BD159" s="442" t="n"/>
      <c r="BE159" s="442" t="n"/>
      <c r="BF159" s="89" t="n"/>
      <c r="BG159" s="443" t="n"/>
      <c r="BH159" s="443" t="n"/>
      <c r="BI159" s="439" t="n"/>
    </row>
    <row r="160" ht="19" customHeight="1" s="2456">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64" t="n"/>
      <c r="W160" s="813" t="n"/>
      <c r="X160" s="814" t="n"/>
      <c r="Y160" s="813" t="n"/>
      <c r="Z160" s="814" t="n"/>
      <c r="AA160" s="813" t="n"/>
      <c r="AB160" s="814" t="n"/>
      <c r="AD160" s="10" t="n"/>
      <c r="AE160" s="10" t="n"/>
      <c r="AF160" s="10" t="n"/>
      <c r="AG160" s="2588">
        <f>IF($K160=TRUE,H160,0)</f>
        <v/>
      </c>
      <c r="AH160" s="2588">
        <f>IF($R160=TRUE,H160,0)</f>
        <v/>
      </c>
      <c r="AI160" s="2588">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69" t="n"/>
      <c r="AY160" s="728" t="n"/>
      <c r="AZ160" s="728" t="n"/>
      <c r="BA160" s="87" t="n"/>
      <c r="BB160" s="438" t="n"/>
      <c r="BC160" s="89" t="n"/>
      <c r="BD160" s="442" t="n"/>
      <c r="BE160" s="442" t="n"/>
      <c r="BF160" s="89" t="n"/>
      <c r="BG160" s="443" t="n"/>
      <c r="BH160" s="443" t="n"/>
      <c r="BI160" s="439" t="n"/>
    </row>
    <row r="161" ht="27" customHeight="1" s="2456"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88">
        <f>IF($K161=TRUE,H161,0)</f>
        <v/>
      </c>
      <c r="AH161" s="2588">
        <f>IF($R161=TRUE,H161,0)</f>
        <v/>
      </c>
      <c r="AI161" s="2588">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69" t="n"/>
      <c r="AY161" s="728" t="n"/>
      <c r="AZ161" s="728" t="n"/>
      <c r="BA161" s="87" t="n"/>
      <c r="BB161" s="438" t="n"/>
      <c r="BC161" s="89" t="n"/>
      <c r="BD161" s="442" t="n"/>
      <c r="BE161" s="442" t="n"/>
      <c r="BF161" s="89" t="n"/>
      <c r="BG161" s="443" t="n"/>
      <c r="BH161" s="443" t="n"/>
      <c r="BI161" s="439" t="n"/>
    </row>
    <row r="162" ht="27" customHeight="1" s="2456" thickBot="1">
      <c r="D162" s="2520" t="n"/>
      <c r="E162" s="2520"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69" t="n"/>
      <c r="AY162" s="728" t="n"/>
      <c r="AZ162" s="728" t="n"/>
      <c r="BA162" s="87" t="n"/>
      <c r="BB162" s="438" t="n"/>
      <c r="BC162" s="89" t="n"/>
      <c r="BD162" s="442" t="n"/>
      <c r="BE162" s="442" t="n"/>
      <c r="BF162" s="89" t="n"/>
      <c r="BG162" s="443" t="n"/>
      <c r="BH162" s="443" t="n"/>
      <c r="BI162" s="439" t="n"/>
    </row>
    <row r="163" ht="27" customHeight="1" s="2456" thickBot="1">
      <c r="D163" s="2520" t="n"/>
      <c r="E163" s="2520" t="n"/>
      <c r="F163" s="67" t="n"/>
      <c r="G163" s="434" t="n"/>
      <c r="H163" s="434" t="n"/>
      <c r="I163" s="2465" t="n"/>
      <c r="J163" s="246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20" t="n"/>
      <c r="E164" s="2520" t="n"/>
      <c r="F164" s="67" t="n"/>
      <c r="G164" s="434" t="n"/>
      <c r="H164" s="434" t="n"/>
      <c r="I164" s="2565" t="inlineStr">
        <is>
          <t xml:space="preserve">instrumentalisation de l'enfant qui rend le actif / force la prise d'otage psycho ou physique </t>
        </is>
      </c>
      <c r="J164" s="2541" t="n"/>
      <c r="K164" s="2552" t="n"/>
      <c r="L164" s="2568" t="n"/>
      <c r="M164" s="2541" t="n"/>
      <c r="N164" s="2541" t="n"/>
      <c r="O164" s="1333" t="n"/>
      <c r="P164" s="2577" t="inlineStr">
        <is>
          <t xml:space="preserve">compt. fragilise la relation parent-enfant ou les individus, enclenche rôle de protecteur, demande de faire un choix / choisir son camp </t>
        </is>
      </c>
      <c r="Q164" s="2541" t="n"/>
      <c r="R164" s="2552"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2" t="inlineStr">
        <is>
          <t>AP</t>
        </is>
      </c>
      <c r="L165" s="2570" t="inlineStr">
        <is>
          <t>Dynamique d'AP</t>
        </is>
      </c>
      <c r="O165" s="2567" t="n"/>
      <c r="P165" s="2566" t="inlineStr">
        <is>
          <t>CL</t>
        </is>
      </c>
      <c r="R165" s="2567" t="n"/>
      <c r="S165" s="2571" t="inlineStr">
        <is>
          <t>CSS</t>
        </is>
      </c>
      <c r="U165" s="2567"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69" t="inlineStr">
        <is>
          <t>AP</t>
        </is>
      </c>
      <c r="AL165" s="2569" t="inlineStr">
        <is>
          <t>CL</t>
        </is>
      </c>
      <c r="AN165" s="2569" t="inlineStr">
        <is>
          <t>CSS</t>
        </is>
      </c>
      <c r="AY165" s="728" t="n"/>
      <c r="AZ165" s="728" t="n"/>
      <c r="BA165" s="87" t="n"/>
      <c r="BB165" s="438" t="n"/>
      <c r="BC165" s="89" t="n"/>
      <c r="BD165" s="442" t="n"/>
      <c r="BE165" s="442" t="n"/>
      <c r="BF165" s="89" t="n"/>
      <c r="BG165" s="443" t="n"/>
      <c r="BH165" s="443" t="n"/>
      <c r="BI165" s="439" t="n"/>
    </row>
    <row r="166" ht="34" customHeight="1" s="2456">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5"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56">
      <c r="A167">
        <f>IF(Test_Bible!B180="","F","O")</f>
        <v/>
      </c>
      <c r="B167" s="1517">
        <f>'Cpts AR +indép + Sommaire'!G25</f>
        <v/>
      </c>
      <c r="C167" s="376">
        <f>'Cpts AR +indép + Sommaire'!C25</f>
        <v/>
      </c>
      <c r="D167" s="258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88">
        <f>IF($K167=TRUE,H167,0)</f>
        <v/>
      </c>
      <c r="AH167" s="2588">
        <f>IF($R167=TRUE,H167,0)</f>
        <v/>
      </c>
      <c r="AI167" s="2588">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56">
      <c r="B168" s="1688" t="n"/>
      <c r="C168" s="376" t="n"/>
      <c r="D168" s="258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88">
        <f>IF($K168=TRUE,H168,0)</f>
        <v/>
      </c>
      <c r="AH168" s="2588">
        <f>IF($R168=TRUE,H168,0)</f>
        <v/>
      </c>
      <c r="AI168" s="2588">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56">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56">
      <c r="B170" s="1686" t="n"/>
      <c r="C170" s="38" t="n"/>
      <c r="D170" s="258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88">
        <f>IF(K170=TRUE,H170,0)</f>
        <v/>
      </c>
      <c r="AH170" s="2588">
        <f>IF(R170=TRUE,H170,0)</f>
        <v/>
      </c>
      <c r="AI170" s="2588">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56">
      <c r="B171" s="1686" t="n"/>
      <c r="C171" s="38" t="n"/>
      <c r="D171" s="258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88">
        <f>IF(K171=TRUE,H171,0)</f>
        <v/>
      </c>
      <c r="AH171" s="2588">
        <f>IF(R171=TRUE,H171,0)</f>
        <v/>
      </c>
      <c r="AI171" s="2588">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69" t="n"/>
      <c r="AX171" s="2469" t="n"/>
      <c r="AY171" s="728" t="n"/>
      <c r="AZ171" s="728" t="n"/>
      <c r="BA171" s="87" t="n"/>
      <c r="BB171" s="438" t="n"/>
      <c r="BC171" s="89" t="n"/>
      <c r="BD171" s="442" t="n"/>
      <c r="BE171" s="442" t="n"/>
      <c r="BF171" s="89" t="n"/>
      <c r="BG171" s="443" t="n"/>
      <c r="BH171" s="443" t="n"/>
      <c r="BI171" s="439" t="n"/>
      <c r="BN171" s="2580" t="n"/>
      <c r="BP171" s="2469" t="n"/>
      <c r="BQ171" s="2469" t="n"/>
      <c r="BR171" s="2469" t="n"/>
      <c r="BS171" s="2469" t="n"/>
      <c r="BT171" s="2469" t="n"/>
      <c r="BU171" s="2469" t="n"/>
      <c r="BV171" s="2469" t="n"/>
      <c r="BW171" s="2469" t="n"/>
      <c r="BX171" s="2469" t="n"/>
      <c r="BY171" s="2469" t="n"/>
      <c r="BZ171" s="2469" t="n"/>
    </row>
    <row r="172" ht="20" customHeight="1" s="2456"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69" t="n"/>
      <c r="AX172" s="2469" t="n"/>
      <c r="AY172" s="728" t="n"/>
      <c r="AZ172" s="728" t="n"/>
      <c r="BA172" s="87" t="n"/>
      <c r="BB172" s="438" t="n"/>
      <c r="BC172" s="89" t="n"/>
      <c r="BD172" s="442" t="n"/>
      <c r="BE172" s="442" t="n"/>
      <c r="BF172" s="89" t="n"/>
      <c r="BG172" s="443" t="n"/>
      <c r="BH172" s="443" t="n"/>
      <c r="BI172" s="439" t="n"/>
      <c r="BN172" s="2580" t="n"/>
      <c r="BP172" s="2469" t="n"/>
      <c r="BQ172" s="2469" t="n"/>
      <c r="BR172" s="2469" t="n"/>
      <c r="BS172" s="2469" t="n"/>
      <c r="BT172" s="2469" t="n"/>
      <c r="BU172" s="2469" t="n"/>
      <c r="BV172" s="2469" t="n"/>
      <c r="BW172" s="2469" t="n"/>
      <c r="BX172" s="2469" t="n"/>
      <c r="BY172" s="2469" t="n"/>
      <c r="BZ172" s="2469" t="n"/>
    </row>
    <row r="173" ht="35" customHeight="1" s="2456"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16">
        <f>IF(AND($K169=TRUE,$K172=FALSE),AG169,IF(AND($K169=FALSE,$K172=TRUE),AG172,IF(AND($K169=TRUE,$K172=TRUE),AG169+AG172,0)))</f>
        <v/>
      </c>
      <c r="AH173" s="2516">
        <f>IF(AND($R169=TRUE,$R172=FALSE),AH169,IF(AND($R169=FALSE,$R172=TRUE),AH172,IF(AND($R169=TRUE,$R172=TRUE),AH169+AH172,0)))</f>
        <v/>
      </c>
      <c r="AI173" s="2516">
        <f>IF(AND($U169=TRUE,$U172=FALSE),AI169,IF(AND($U169=FALSE,$U172=TRUE),AI172,IF(AND($U169=TRUE,$U172=TRUE),AI169+AI172,0)))</f>
        <v/>
      </c>
      <c r="AJ173" s="2516">
        <f>IF(AND($K169=TRUE,$K172=FALSE),AJ169,IF(AND($K169=FALSE,$K172=TRUE),AJ172,IF(AND($K169=TRUE,$K172=TRUE),AJ169+AJ172,MAX(AJ169,AJ172))))</f>
        <v/>
      </c>
      <c r="AK173" s="2516">
        <f>IF(AND($K169=TRUE,$K172=FALSE),AK169,IF(AND($K169=FALSE,$K172=TRUE),AK172,IF(AND($K169=TRUE,$K172=TRUE),AK169+AK172,MAX(AK169,AK172))))</f>
        <v/>
      </c>
      <c r="AL173" s="2516">
        <f>IF(AND($R169=TRUE,$R172=FALSE),AL169,IF(AND($R169=FALSE,$R172=TRUE),AL172,IF(AND($R169=TRUE,$R172=TRUE),AL169+AL172,MAX(AL169,AL172))))</f>
        <v/>
      </c>
      <c r="AM173" s="2516">
        <f>IF(AND($R169=TRUE,$R172=FALSE),AM169,IF(AND($R169=FALSE,$R172=TRUE),AM172,IF(AND($R169=TRUE,$R172=TRUE),AM169+AM172,MAX(AM169,AM172))))</f>
        <v/>
      </c>
      <c r="AN173" s="2516">
        <f>IF(AND($U169=TRUE,$U172=FALSE),AN169,IF(AND($U169=FALSE,$U172=TRUE),AN172,IF(AND($U169=TRUE,$U172=TRUE),AN169+AN172,MAX(AN169,AN172))))</f>
        <v/>
      </c>
      <c r="AO173" s="2516">
        <f>IF(AND($U169=TRUE,$U172=FALSE),AO169,IF(AND($U169=FALSE,$U172=TRUE),AO172,IF(AND($U169=TRUE,$U172=TRUE),AO169+AO172,MAX(AO169,AO172))))</f>
        <v/>
      </c>
      <c r="AV173" s="2469" t="n"/>
      <c r="AX173" s="2469" t="n"/>
      <c r="AY173" s="728" t="n"/>
      <c r="AZ173" s="728" t="n"/>
      <c r="BA173" s="87" t="n"/>
      <c r="BB173" s="438" t="n"/>
      <c r="BC173" s="89" t="n"/>
      <c r="BD173" s="442" t="n"/>
      <c r="BE173" s="442" t="n"/>
      <c r="BF173" s="89" t="n"/>
      <c r="BG173" s="443" t="n"/>
      <c r="BH173" s="443" t="n"/>
      <c r="BI173" s="439" t="n"/>
      <c r="BN173" s="2580" t="n"/>
      <c r="BP173" s="2469" t="n"/>
      <c r="BQ173" s="2469" t="n"/>
      <c r="BR173" s="2469" t="n"/>
      <c r="BS173" s="2469" t="n"/>
      <c r="BT173" s="2469" t="n"/>
      <c r="BU173" s="2469" t="n"/>
      <c r="BV173" s="2469" t="n"/>
      <c r="BW173" s="2469" t="n"/>
      <c r="BX173" s="2469" t="n"/>
      <c r="BY173" s="2469" t="n"/>
      <c r="BZ173" s="2469" t="n"/>
    </row>
    <row r="174" ht="34" customHeight="1" s="2456">
      <c r="A174">
        <f>IF(Test_Bible!B312="","F","O")</f>
        <v/>
      </c>
      <c r="B174" s="1686">
        <f>'Cpts AR +indép + Sommaire'!S25</f>
        <v/>
      </c>
      <c r="C174" s="287">
        <f>'Cpts AR +indép + Sommaire'!O25</f>
        <v/>
      </c>
      <c r="D174" s="258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inlineStr"/>
      <c r="X174" s="814" t="n"/>
      <c r="Y174" s="813" t="n"/>
      <c r="Z174" s="814" t="n"/>
      <c r="AA174" s="813" t="n"/>
      <c r="AB174" s="814" t="n"/>
      <c r="AD174" s="10" t="n"/>
      <c r="AE174" s="10" t="n"/>
      <c r="AF174" s="10" t="n"/>
      <c r="AG174" s="2588">
        <f>IF($K174=TRUE,H174,0)</f>
        <v/>
      </c>
      <c r="AH174" s="2588">
        <f>IF($R174=TRUE,H174,0)</f>
        <v/>
      </c>
      <c r="AI174" s="2588"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56"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88">
        <f>IF($K175=TRUE,H175,0)</f>
        <v/>
      </c>
      <c r="AH175" s="2588">
        <f>IF($R175=TRUE,H175,0)</f>
        <v/>
      </c>
      <c r="AI175" s="2588"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56"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56">
      <c r="B177" s="1686" t="n"/>
      <c r="D177" s="383" t="inlineStr">
        <is>
          <t>COMPARATIF Comportement PFA-Enf</t>
        </is>
      </c>
      <c r="E177" s="2576"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56">
      <c r="B178" s="1686" t="n"/>
      <c r="C178" t="inlineStr">
        <is>
          <t>PCR</t>
        </is>
      </c>
      <c r="I178" s="122" t="n"/>
      <c r="L178" s="2464" t="n"/>
      <c r="M178" s="2464" t="n"/>
      <c r="N178" s="2464" t="n"/>
      <c r="O178" s="1365" t="n"/>
      <c r="P178" s="122" t="n"/>
      <c r="R178" s="2567" t="n"/>
      <c r="S178" s="122" t="n"/>
      <c r="U178" s="2567" t="n"/>
      <c r="V178" s="2464" t="n"/>
      <c r="W178" s="813" t="n"/>
      <c r="X178" s="814" t="n"/>
      <c r="Y178" s="813" t="n"/>
      <c r="Z178" s="814" t="n"/>
      <c r="AA178" s="813" t="n"/>
      <c r="AB178" s="814" t="n"/>
      <c r="AD178" s="10" t="n"/>
      <c r="AE178" s="10" t="n"/>
      <c r="AF178" s="10" t="n"/>
      <c r="AG178" s="2588" t="n"/>
      <c r="AH178" s="2588" t="n"/>
      <c r="AI178" s="2588"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56">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64" t="n"/>
      <c r="W179" s="813" t="n"/>
      <c r="X179" s="814" t="n"/>
      <c r="Y179" s="813" t="n"/>
      <c r="Z179" s="814" t="n"/>
      <c r="AA179" s="813" t="n"/>
      <c r="AB179" s="814" t="n"/>
      <c r="AD179" s="10" t="n"/>
      <c r="AE179" s="10" t="n"/>
      <c r="AF179" s="10" t="n"/>
      <c r="AG179" s="2588">
        <f>IF($K179=TRUE,H179,0)</f>
        <v/>
      </c>
      <c r="AH179" s="2588">
        <f>IF($R179=TRUE,H179,0)</f>
        <v/>
      </c>
      <c r="AI179" s="2588">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56"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88">
        <f>IF($K180=TRUE,H180,0)</f>
        <v/>
      </c>
      <c r="AH180" s="2588">
        <f>IF($R180=TRUE,H180,0)</f>
        <v/>
      </c>
      <c r="AI180" s="2588">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56" thickBot="1">
      <c r="C181" s="2469" t="n"/>
      <c r="D181" s="2578" t="n"/>
      <c r="E181" s="2578" t="n"/>
      <c r="F181" s="67" t="n"/>
      <c r="G181" s="2520"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56" thickBot="1">
      <c r="D182" s="2520" t="n"/>
      <c r="E182" s="2520" t="n"/>
      <c r="F182" s="67" t="n"/>
      <c r="G182" s="434" t="n"/>
      <c r="H182" s="434" t="n"/>
      <c r="I182" s="2465" t="n"/>
      <c r="J182" s="246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20" t="n"/>
      <c r="E183" s="2520" t="n"/>
      <c r="F183" s="67" t="n"/>
      <c r="G183" s="434" t="n"/>
      <c r="H183" s="434" t="n"/>
      <c r="I183" s="2565" t="inlineStr">
        <is>
          <t xml:space="preserve">instrumentalisation de l'enfant qui rend le actif / force la prise d'otage psycho ou physique </t>
        </is>
      </c>
      <c r="J183" s="2541" t="n"/>
      <c r="K183" s="2552" t="n"/>
      <c r="L183" s="2568" t="n"/>
      <c r="M183" s="2541" t="n"/>
      <c r="N183" s="2541" t="n"/>
      <c r="O183" s="1333" t="n"/>
      <c r="P183" s="2577" t="inlineStr">
        <is>
          <t xml:space="preserve">compt. fragilise la relation parent-enfant ou les individus, enclenche rôle de protecteur, demande de faire un choix / choisir son camp </t>
        </is>
      </c>
      <c r="Q183" s="2541" t="n"/>
      <c r="R183" s="2552"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2" t="inlineStr">
        <is>
          <t>AP</t>
        </is>
      </c>
      <c r="L184" s="2570" t="inlineStr">
        <is>
          <t>Dynamique d'AP</t>
        </is>
      </c>
      <c r="O184" s="2567" t="n"/>
      <c r="P184" s="2566" t="inlineStr">
        <is>
          <t>CL</t>
        </is>
      </c>
      <c r="R184" s="2567" t="n"/>
      <c r="S184" s="2571" t="inlineStr">
        <is>
          <t>CSS</t>
        </is>
      </c>
      <c r="U184" s="2567"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69" t="inlineStr">
        <is>
          <t>AP</t>
        </is>
      </c>
      <c r="AL184" s="2569" t="inlineStr">
        <is>
          <t>CL</t>
        </is>
      </c>
      <c r="AN184" s="2569" t="inlineStr">
        <is>
          <t>CSS</t>
        </is>
      </c>
      <c r="AY184" s="728" t="n"/>
      <c r="AZ184" s="728" t="n"/>
      <c r="BA184" s="87" t="n"/>
      <c r="BB184" s="438" t="n"/>
      <c r="BC184" s="89" t="n"/>
      <c r="BD184" s="442" t="n"/>
      <c r="BE184" s="442" t="n"/>
      <c r="BF184" s="89" t="n"/>
      <c r="BG184" s="443" t="n"/>
      <c r="BH184" s="443" t="n"/>
      <c r="BI184" s="439" t="n"/>
    </row>
    <row r="185" ht="34" customHeight="1" s="2456">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5"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56">
      <c r="A186">
        <f>IF(Test_Bible!B182="","F","O")</f>
        <v/>
      </c>
      <c r="B186" s="1517">
        <f>'Cpts AR +indép + Sommaire'!G28</f>
        <v/>
      </c>
      <c r="C186" s="376">
        <f>'Cpts AR +indép + Sommaire'!C28</f>
        <v/>
      </c>
      <c r="D186" s="258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88">
        <f>IF($K186=TRUE,H186,0)</f>
        <v/>
      </c>
      <c r="AH186" s="2588">
        <f>IF($R186=TRUE,H186,0)</f>
        <v/>
      </c>
      <c r="AI186" s="2588">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56">
      <c r="B187" s="1688" t="n"/>
      <c r="C187" s="376" t="inlineStr">
        <is>
          <t>PFA</t>
        </is>
      </c>
      <c r="D187" s="258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88">
        <f>IF($K187=TRUE,H187,0)</f>
        <v/>
      </c>
      <c r="AH187" s="2588">
        <f>IF($R187=TRUE,H187,0)</f>
        <v/>
      </c>
      <c r="AI187" s="2588">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56">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56">
      <c r="A189">
        <f>IF(Test_Bible!B407="","F","O")</f>
        <v/>
      </c>
      <c r="B189" s="1686">
        <f>'Cpts AR +indép + Sommaire'!M28</f>
        <v/>
      </c>
      <c r="C189" s="38">
        <f>'Cpts AR +indép + Sommaire'!I28</f>
        <v/>
      </c>
      <c r="D189" s="258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88">
        <f>IF(K189=TRUE,H189,0)</f>
        <v/>
      </c>
      <c r="AH189" s="2588">
        <f>IF(R189=TRUE,H189,0)</f>
        <v/>
      </c>
      <c r="AI189" s="2588">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56">
      <c r="B190" s="1686" t="n"/>
      <c r="C190" s="38" t="inlineStr">
        <is>
          <t>NC</t>
        </is>
      </c>
      <c r="D190" s="258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88">
        <f>IF(K190=TRUE,H190,0)</f>
        <v/>
      </c>
      <c r="AH190" s="2588">
        <f>IF(R190=TRUE,H190,0)</f>
        <v/>
      </c>
      <c r="AI190" s="2588">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69" t="n"/>
      <c r="AX190" s="2469" t="n"/>
      <c r="AY190" s="728" t="n"/>
      <c r="AZ190" s="728" t="n"/>
      <c r="BA190" s="87" t="n"/>
      <c r="BB190" s="438" t="n"/>
      <c r="BC190" s="89" t="n"/>
      <c r="BD190" s="442" t="n"/>
      <c r="BE190" s="442" t="n"/>
      <c r="BF190" s="89" t="n"/>
      <c r="BG190" s="443" t="n"/>
      <c r="BH190" s="443" t="n"/>
      <c r="BI190" s="439" t="n"/>
      <c r="BN190" s="2580" t="n"/>
      <c r="BP190" s="2469" t="n"/>
      <c r="BQ190" s="2469" t="n"/>
      <c r="BR190" s="2469" t="n"/>
      <c r="BS190" s="2469" t="n"/>
      <c r="BT190" s="2469" t="n"/>
      <c r="BU190" s="2469" t="n"/>
      <c r="BV190" s="2469" t="n"/>
      <c r="BW190" s="2469" t="n"/>
      <c r="BX190" s="2469" t="n"/>
      <c r="BY190" s="2469" t="n"/>
      <c r="BZ190" s="2469" t="n"/>
    </row>
    <row r="191" ht="35" customHeight="1" s="2456"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69" t="n"/>
      <c r="AX191" s="2469" t="n"/>
      <c r="AY191" s="728" t="n"/>
      <c r="AZ191" s="728" t="n"/>
      <c r="BA191" s="87" t="n"/>
      <c r="BB191" s="438" t="n"/>
      <c r="BC191" s="89" t="n"/>
      <c r="BD191" s="442" t="n"/>
      <c r="BE191" s="442" t="n"/>
      <c r="BF191" s="89" t="n"/>
      <c r="BG191" s="443" t="n"/>
      <c r="BH191" s="443" t="n"/>
      <c r="BI191" s="439" t="n"/>
      <c r="BN191" s="2580" t="n"/>
      <c r="BP191" s="2469" t="n"/>
      <c r="BQ191" s="2469" t="n"/>
      <c r="BR191" s="2469" t="n"/>
      <c r="BS191" s="2469" t="n"/>
      <c r="BT191" s="2469" t="n"/>
      <c r="BU191" s="2469" t="n"/>
      <c r="BV191" s="2469" t="n"/>
      <c r="BW191" s="2469" t="n"/>
      <c r="BX191" s="2469" t="n"/>
      <c r="BY191" s="2469" t="n"/>
      <c r="BZ191" s="2469" t="n"/>
    </row>
    <row r="192" ht="35" customHeight="1" s="2456"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16">
        <f>IF(AND($K188=TRUE,$K191=FALSE),AG188,IF(AND($K188=FALSE,$K191=TRUE),AG191,IF(AND($K188=TRUE,$K191=TRUE),AG188+AG191,0)))</f>
        <v/>
      </c>
      <c r="AH192" s="2516">
        <f>IF(AND($R188=TRUE,$R191=FALSE),AH188,IF(AND($R188=FALSE,$R191=TRUE),AH191,IF(AND($R188=TRUE,$R191=TRUE),AH188+AH191,0)))</f>
        <v/>
      </c>
      <c r="AI192" s="2516">
        <f>IF(AND($U188=TRUE,$U191=FALSE),AI188,IF(AND($U188=FALSE,$U191=TRUE),AI191,IF(AND($U188=TRUE,$U191=TRUE),AI188+AI191,0)))</f>
        <v/>
      </c>
      <c r="AJ192" s="2516">
        <f>IF(AND($K188=TRUE,$K191=FALSE),AJ188,IF(AND($K188=FALSE,$K191=TRUE),AJ191,IF(AND($K188=TRUE,$K191=TRUE),AJ188+AJ191,MAX(AJ188,AJ191))))</f>
        <v/>
      </c>
      <c r="AK192" s="2516">
        <f>IF(AND($K188=TRUE,$K191=FALSE),AK188,IF(AND($K188=FALSE,$K191=TRUE),AK191,IF(AND($K188=TRUE,$K191=TRUE),AK188+AK191,MAX(AK188,AK191))))</f>
        <v/>
      </c>
      <c r="AL192" s="2516">
        <f>IF(AND($R188=TRUE,$R191=FALSE),AL188,IF(AND($R188=FALSE,$R191=TRUE),AL191,IF(AND($R188=TRUE,$R191=TRUE),AL188+AL191,MAX(AL188,AL191))))</f>
        <v/>
      </c>
      <c r="AM192" s="2516">
        <f>IF(AND($R188=TRUE,$R191=FALSE),AM188,IF(AND($R188=FALSE,$R191=TRUE),AM191,IF(AND($R188=TRUE,$R191=TRUE),AM188+AM191,MAX(AM188,AM191))))</f>
        <v/>
      </c>
      <c r="AN192" s="2516">
        <f>IF(AND($U188=TRUE,$U191=FALSE),AN188,IF(AND($U188=FALSE,$U191=TRUE),AN191,IF(AND($U188=TRUE,$U191=TRUE),AN188+AN191,MAX(AN188,AN191))))</f>
        <v/>
      </c>
      <c r="AO192" s="2516">
        <f>IF(AND($U188=TRUE,$U191=FALSE),AO188,IF(AND($U188=FALSE,$U191=TRUE),AO191,IF(AND($U188=TRUE,$U191=TRUE),AO188+AO191,MAX(AO188,AO191))))</f>
        <v/>
      </c>
      <c r="AV192" s="2469" t="n"/>
      <c r="AX192" s="2469" t="n"/>
      <c r="AY192" s="728" t="n"/>
      <c r="AZ192" s="728" t="n"/>
      <c r="BA192" s="87" t="n"/>
      <c r="BB192" s="438" t="n"/>
      <c r="BC192" s="89" t="n"/>
      <c r="BD192" s="442" t="n"/>
      <c r="BE192" s="442" t="n"/>
      <c r="BF192" s="89" t="n"/>
      <c r="BG192" s="443" t="n"/>
      <c r="BH192" s="443" t="n"/>
      <c r="BI192" s="439" t="n"/>
      <c r="BN192" s="2580" t="n"/>
      <c r="BP192" s="2469" t="n"/>
      <c r="BQ192" s="2469" t="n"/>
      <c r="BR192" s="2469" t="n"/>
      <c r="BS192" s="2469" t="n"/>
      <c r="BT192" s="2469" t="n"/>
      <c r="BU192" s="2469" t="n"/>
      <c r="BV192" s="2469" t="n"/>
      <c r="BW192" s="2469" t="n"/>
      <c r="BX192" s="2469" t="n"/>
      <c r="BY192" s="2469" t="n"/>
      <c r="BZ192" s="2469" t="n"/>
    </row>
    <row r="193" ht="51" customHeight="1" s="2456">
      <c r="A193">
        <f>IF(Test_Bible!B284="","F","O")</f>
        <v/>
      </c>
      <c r="B193" s="1686">
        <f>'Cpts AR +indép + Sommaire'!S28</f>
        <v/>
      </c>
      <c r="C193" s="287">
        <f>'Cpts AR +indép + Sommaire'!O28</f>
        <v/>
      </c>
      <c r="D193" s="258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inlineStr"/>
      <c r="X193" s="814" t="n"/>
      <c r="Y193" s="813" t="n"/>
      <c r="Z193" s="814" t="n"/>
      <c r="AA193" s="813" t="n"/>
      <c r="AB193" s="814" t="n"/>
      <c r="AD193" s="10" t="n"/>
      <c r="AE193" s="10" t="n"/>
      <c r="AF193" s="10" t="n"/>
      <c r="AG193" s="2588">
        <f>IF($K193=TRUE,H193,0)</f>
        <v/>
      </c>
      <c r="AH193" s="2588">
        <f>IF($R193=TRUE,H193,0)</f>
        <v/>
      </c>
      <c r="AI193" s="2588"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69" t="n"/>
      <c r="AX193" s="2469" t="n"/>
      <c r="AY193" s="728" t="n"/>
      <c r="AZ193" s="728" t="n"/>
      <c r="BA193" s="87" t="n"/>
      <c r="BB193" s="438" t="n"/>
      <c r="BC193" s="89" t="n"/>
      <c r="BD193" s="442" t="n"/>
      <c r="BE193" s="442" t="n"/>
      <c r="BF193" s="89" t="n"/>
      <c r="BG193" s="443" t="n"/>
      <c r="BH193" s="443" t="n"/>
      <c r="BI193" s="439" t="n"/>
      <c r="BN193" s="2580" t="n"/>
      <c r="BP193" s="2469" t="n"/>
      <c r="BQ193" s="2469" t="n"/>
      <c r="BR193" s="2469" t="n"/>
      <c r="BS193" s="2469" t="n"/>
      <c r="BT193" s="2469" t="n"/>
      <c r="BU193" s="2469" t="n"/>
      <c r="BV193" s="2469" t="n"/>
      <c r="BW193" s="2469" t="n"/>
      <c r="BX193" s="2469" t="n"/>
      <c r="BY193" s="2469" t="n"/>
      <c r="BZ193" s="2469" t="n"/>
    </row>
    <row r="194" ht="35" customHeight="1" s="2456" thickBot="1">
      <c r="A194">
        <f>IF(Test_Bible!B310="","F","O")</f>
        <v/>
      </c>
      <c r="B194" s="1686">
        <f>'Cpts AR +indép + Sommaire'!S29</f>
        <v/>
      </c>
      <c r="C194" s="287">
        <f>'Cpts AR +indép + Sommaire'!O29</f>
        <v/>
      </c>
      <c r="D194" s="258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88">
        <f>IF($K194=TRUE,H194,0)</f>
        <v/>
      </c>
      <c r="AH194" s="2588">
        <f>IF($R194=TRUE,H194,0)</f>
        <v/>
      </c>
      <c r="AI194" s="2588"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69" t="n"/>
      <c r="AX194" s="2469" t="n"/>
      <c r="AY194" s="728" t="n"/>
      <c r="AZ194" s="728" t="n"/>
      <c r="BA194" s="87" t="n"/>
      <c r="BB194" s="438" t="n"/>
      <c r="BC194" s="89" t="n"/>
      <c r="BD194" s="442" t="n"/>
      <c r="BE194" s="442" t="n"/>
      <c r="BF194" s="89" t="n"/>
      <c r="BG194" s="443" t="n"/>
      <c r="BH194" s="443" t="n"/>
      <c r="BI194" s="439" t="n"/>
      <c r="BN194" s="2580" t="n"/>
      <c r="BP194" s="2469" t="n"/>
      <c r="BQ194" s="2469" t="n"/>
      <c r="BR194" s="2469" t="n"/>
      <c r="BS194" s="2469" t="n"/>
      <c r="BT194" s="2469" t="n"/>
      <c r="BU194" s="2469" t="n"/>
      <c r="BV194" s="2469" t="n"/>
      <c r="BW194" s="2469" t="n"/>
      <c r="BX194" s="2469" t="n"/>
      <c r="BY194" s="2469" t="n"/>
      <c r="BZ194" s="2469" t="n"/>
    </row>
    <row r="195" ht="35" customHeight="1" s="2456"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56">
      <c r="B196" s="1686" t="n"/>
      <c r="D196" s="383" t="inlineStr">
        <is>
          <t>COMPARATIF Comportement PFA-Enf</t>
        </is>
      </c>
      <c r="E196" s="2576"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56">
      <c r="B197" s="1686" t="n"/>
      <c r="C197" t="inlineStr">
        <is>
          <t>PCR</t>
        </is>
      </c>
      <c r="I197" s="122" t="n"/>
      <c r="L197" s="2464" t="n"/>
      <c r="M197" s="2464" t="n"/>
      <c r="N197" s="2464" t="n"/>
      <c r="O197" s="1365" t="n"/>
      <c r="P197" s="122" t="n"/>
      <c r="R197" s="2567" t="n"/>
      <c r="S197" s="122" t="n"/>
      <c r="U197" s="2567" t="n"/>
      <c r="V197" s="2464" t="n"/>
      <c r="W197" s="813" t="n"/>
      <c r="X197" s="814" t="n"/>
      <c r="Y197" s="813" t="n"/>
      <c r="Z197" s="814" t="n"/>
      <c r="AA197" s="813" t="n"/>
      <c r="AB197" s="814" t="n"/>
      <c r="AD197" s="10" t="n"/>
      <c r="AE197" s="10" t="n"/>
      <c r="AF197" s="10" t="n"/>
      <c r="AG197" s="2588" t="n"/>
      <c r="AH197" s="2588" t="n"/>
      <c r="AI197" s="2588"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56">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64" t="n"/>
      <c r="W198" s="813" t="n"/>
      <c r="X198" s="814" t="n"/>
      <c r="Y198" s="813" t="n"/>
      <c r="Z198" s="814" t="n"/>
      <c r="AA198" s="813" t="n"/>
      <c r="AB198" s="814" t="n"/>
      <c r="AD198" s="10" t="n"/>
      <c r="AE198" s="10" t="n"/>
      <c r="AF198" s="10" t="n"/>
      <c r="AG198" s="2588">
        <f>IF($K198=TRUE,H198,0)</f>
        <v/>
      </c>
      <c r="AH198" s="2588">
        <f>IF($R198=TRUE,H198,0)</f>
        <v/>
      </c>
      <c r="AI198" s="2588">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56"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88">
        <f>IF($K199=TRUE,H199,0)</f>
        <v/>
      </c>
      <c r="AH199" s="2588">
        <f>IF($R199=TRUE,H199,0)</f>
        <v/>
      </c>
      <c r="AI199" s="2588">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56" thickBot="1">
      <c r="D200" s="2520" t="n"/>
      <c r="E200" s="2520"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56" thickBot="1">
      <c r="D201" s="2520" t="inlineStr">
        <is>
          <t>pas un CL quand enfant est blessé dans son ego / sécurité et fragilisé ex.: maman ne t'aime plus = direct AP pas CL</t>
        </is>
      </c>
      <c r="E201" s="2520" t="n"/>
      <c r="F201" s="67" t="n"/>
      <c r="G201" s="434" t="n"/>
      <c r="H201" s="434" t="n"/>
      <c r="I201" s="2465" t="n"/>
      <c r="J201" s="246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20" t="inlineStr">
        <is>
          <t xml:space="preserve">traitement nveau conjoint pour l'AP : cpt actif = + / cpt passif = - </t>
        </is>
      </c>
      <c r="E202" s="2520" t="n"/>
      <c r="F202" s="67" t="n"/>
      <c r="G202" s="434" t="n"/>
      <c r="H202" s="434" t="n"/>
      <c r="I202" s="2565" t="inlineStr">
        <is>
          <t xml:space="preserve">instrumentalisation de l'enfant qui rend le actif / force la prise d'otage psycho ou physique </t>
        </is>
      </c>
      <c r="J202" s="2541" t="n"/>
      <c r="K202" s="2552" t="n"/>
      <c r="L202" s="2568" t="n"/>
      <c r="M202" s="2541" t="n"/>
      <c r="N202" s="2541" t="n"/>
      <c r="O202" s="1333" t="n"/>
      <c r="P202" s="2577" t="inlineStr">
        <is>
          <t xml:space="preserve">compt. fragilise la relation parent-enfant ou les individus, enclenche rôle de protecteur, demande de faire un choix / choisir son camp </t>
        </is>
      </c>
      <c r="Q202" s="2541" t="n"/>
      <c r="R202" s="2552"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2" t="inlineStr">
        <is>
          <t>AP</t>
        </is>
      </c>
      <c r="L203" s="2570" t="inlineStr">
        <is>
          <t>Dynamique d'AP</t>
        </is>
      </c>
      <c r="O203" s="2567" t="n"/>
      <c r="P203" s="2566" t="inlineStr">
        <is>
          <t>CL</t>
        </is>
      </c>
      <c r="R203" s="2567" t="n"/>
      <c r="S203" s="2571" t="inlineStr">
        <is>
          <t>CSS</t>
        </is>
      </c>
      <c r="U203" s="2567"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69" t="inlineStr">
        <is>
          <t>AP</t>
        </is>
      </c>
      <c r="AL203" s="2569" t="inlineStr">
        <is>
          <t>CL</t>
        </is>
      </c>
      <c r="AN203" s="2569" t="inlineStr">
        <is>
          <t>CSS</t>
        </is>
      </c>
      <c r="AY203" s="728" t="n"/>
      <c r="AZ203" s="728" t="n"/>
      <c r="BA203" s="87" t="n"/>
      <c r="BB203" s="438" t="n"/>
      <c r="BC203" s="89" t="n"/>
      <c r="BD203" s="442" t="n"/>
      <c r="BE203" s="442" t="n"/>
      <c r="BF203" s="89" t="n"/>
      <c r="BG203" s="443" t="n"/>
      <c r="BH203" s="443" t="n"/>
      <c r="BI203" s="439" t="n"/>
    </row>
    <row r="204" ht="34" customHeight="1" s="2456">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5"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56">
      <c r="A205">
        <f>IF(Test_Bible!B186="","F","O")</f>
        <v/>
      </c>
      <c r="B205" s="1517">
        <f>'Cpts AR +indép + Sommaire'!G31</f>
        <v/>
      </c>
      <c r="C205" s="376">
        <f>'Cpts AR +indép + Sommaire'!C31</f>
        <v/>
      </c>
      <c r="D205" s="258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88">
        <f>IF($K205=TRUE,H205,0)</f>
        <v/>
      </c>
      <c r="AH205" s="2588">
        <f>IF($R205=TRUE,H205,0)</f>
        <v/>
      </c>
      <c r="AI205" s="2588">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56">
      <c r="B206" s="1688" t="n"/>
      <c r="C206" s="376" t="inlineStr">
        <is>
          <t>PFA</t>
        </is>
      </c>
      <c r="D206" s="258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88">
        <f>IF($K206=TRUE,H206,0)</f>
        <v/>
      </c>
      <c r="AH206" s="2588">
        <f>IF($R206=TRUE,H206,0)</f>
        <v/>
      </c>
      <c r="AI206" s="2588">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56">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56">
      <c r="A208">
        <f>IF(Test_Bible!B415="","F","O")</f>
        <v/>
      </c>
      <c r="B208" s="1686">
        <f>'Cpts AR +indép + Sommaire'!M31</f>
        <v/>
      </c>
      <c r="C208" s="38">
        <f>'Cpts AR +indép + Sommaire'!I31</f>
        <v/>
      </c>
      <c r="D208" s="258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88">
        <f>IF(K208=TRUE,H208,0)</f>
        <v/>
      </c>
      <c r="AH208" s="2588">
        <f>IF(R208=TRUE,H208,0)</f>
        <v/>
      </c>
      <c r="AI208" s="2588">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56">
      <c r="A209">
        <f>IF(Test_Bible!B414="","F","O")</f>
        <v/>
      </c>
      <c r="B209" s="1686">
        <f>'Cpts AR +indép + Sommaire'!M32</f>
        <v/>
      </c>
      <c r="C209" s="38">
        <f>'Cpts AR +indép + Sommaire'!I32</f>
        <v/>
      </c>
      <c r="D209" s="258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88">
        <f>IF(K209=TRUE,H209,0)</f>
        <v/>
      </c>
      <c r="AH209" s="2588">
        <f>IF(R209=TRUE,H209,0)</f>
        <v/>
      </c>
      <c r="AI209" s="2588">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69" t="n"/>
      <c r="AX209" s="2469" t="n"/>
      <c r="AY209" s="728" t="n"/>
      <c r="AZ209" s="728" t="n"/>
      <c r="BA209" s="87" t="n"/>
      <c r="BB209" s="438" t="n"/>
      <c r="BC209" s="89" t="n"/>
      <c r="BD209" s="442" t="n"/>
      <c r="BE209" s="442" t="n"/>
      <c r="BF209" s="89" t="n"/>
      <c r="BG209" s="443" t="n"/>
      <c r="BH209" s="443" t="n"/>
      <c r="BI209" s="439" t="n"/>
      <c r="BN209" s="2580" t="n"/>
      <c r="BP209" s="2469" t="n"/>
      <c r="BQ209" s="2469" t="n"/>
      <c r="BR209" s="2469" t="n"/>
      <c r="BS209" s="2469" t="n"/>
      <c r="BT209" s="2469" t="n"/>
      <c r="BU209" s="2469" t="n"/>
      <c r="BV209" s="2469" t="n"/>
      <c r="BW209" s="2469" t="n"/>
      <c r="BX209" s="2469" t="n"/>
      <c r="BY209" s="2469" t="n"/>
      <c r="BZ209" s="2469" t="n"/>
    </row>
    <row r="210" ht="35" customHeight="1" s="2456"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69" t="n"/>
      <c r="AX210" s="2469" t="n"/>
      <c r="AY210" s="728" t="n"/>
      <c r="AZ210" s="728" t="n"/>
      <c r="BA210" s="87" t="n"/>
      <c r="BB210" s="438" t="n"/>
      <c r="BC210" s="89" t="n"/>
      <c r="BD210" s="442" t="n"/>
      <c r="BE210" s="442" t="n"/>
      <c r="BF210" s="89" t="n"/>
      <c r="BG210" s="443" t="n"/>
      <c r="BH210" s="443" t="n"/>
      <c r="BI210" s="439" t="n"/>
      <c r="BN210" s="2580" t="n"/>
      <c r="BP210" s="2469" t="n"/>
      <c r="BQ210" s="2469" t="n"/>
      <c r="BR210" s="2469" t="n"/>
      <c r="BS210" s="2469" t="n"/>
      <c r="BT210" s="2469" t="n"/>
      <c r="BU210" s="2469" t="n"/>
      <c r="BV210" s="2469" t="n"/>
      <c r="BW210" s="2469" t="n"/>
      <c r="BX210" s="2469" t="n"/>
      <c r="BY210" s="2469" t="n"/>
      <c r="BZ210" s="2469" t="n"/>
    </row>
    <row r="211" ht="35" customHeight="1" s="2456"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16">
        <f>IF(AND($K207=TRUE,$K210=FALSE),AG207,IF(AND($K207=FALSE,$K210=TRUE),AG210,IF(AND($K207=TRUE,$K210=TRUE),AG207+AG210,0)))</f>
        <v/>
      </c>
      <c r="AH211" s="2516">
        <f>IF(AND($R207=TRUE,$R210=FALSE),AH207,IF(AND($R207=FALSE,$R210=TRUE),AH210,IF(AND($R207=TRUE,$R210=TRUE),AH207+AH210,0)))</f>
        <v/>
      </c>
      <c r="AI211" s="2516">
        <f>IF(AND($U207=TRUE,$U210=FALSE),AI207,IF(AND($U207=FALSE,$U210=TRUE),AI210,IF(AND($U207=TRUE,$U210=TRUE),AI207+AI210,0)))</f>
        <v/>
      </c>
      <c r="AJ211" s="2516">
        <f>IF(AND($K207=TRUE,$K210=FALSE),AJ207,IF(AND($K207=FALSE,$K210=TRUE),AJ210,IF(AND($K207=TRUE,$K210=TRUE),AJ207+AJ210,MAX(AJ207,AJ210))))</f>
        <v/>
      </c>
      <c r="AK211" s="2516">
        <f>IF(AND($K207=TRUE,$K210=FALSE),AK207,IF(AND($K207=FALSE,$K210=TRUE),AK210,IF(AND($K207=TRUE,$K210=TRUE),AK207+AK210,MAX(AK207,AK210))))</f>
        <v/>
      </c>
      <c r="AL211" s="2516">
        <f>IF(AND($R207=TRUE,$R210=FALSE),AL207,IF(AND($R207=FALSE,$R210=TRUE),AL210,IF(AND($R207=TRUE,$R210=TRUE),AL207+AL210,MAX(AL207,AL210))))</f>
        <v/>
      </c>
      <c r="AM211" s="2516">
        <f>IF(AND($R207=TRUE,$R210=FALSE),AM207,IF(AND($R207=FALSE,$R210=TRUE),AM210,IF(AND($R207=TRUE,$R210=TRUE),AM207+AM210,MAX(AM207,AM210))))</f>
        <v/>
      </c>
      <c r="AN211" s="2516">
        <f>IF(AND($U207=TRUE,$U210=FALSE),AN207,IF(AND($U207=FALSE,$U210=TRUE),AN210,IF(AND($U207=TRUE,$U210=TRUE),AN207+AN210,MAX(AN207,AN210))))</f>
        <v/>
      </c>
      <c r="AO211" s="2516">
        <f>IF(AND($U207=TRUE,$U210=FALSE),AO207,IF(AND($U207=FALSE,$U210=TRUE),AO210,IF(AND($U207=TRUE,$U210=TRUE),AO207+AO210,MAX(AO207,AO210))))</f>
        <v/>
      </c>
      <c r="AV211" s="2469" t="n"/>
      <c r="AX211" s="2469" t="n"/>
      <c r="AY211" s="728" t="n"/>
      <c r="AZ211" s="728" t="n"/>
      <c r="BA211" s="87" t="n"/>
      <c r="BB211" s="438" t="n"/>
      <c r="BC211" s="89" t="n"/>
      <c r="BD211" s="442" t="n"/>
      <c r="BE211" s="442" t="n"/>
      <c r="BF211" s="89" t="n"/>
      <c r="BG211" s="443" t="n"/>
      <c r="BH211" s="443" t="n"/>
      <c r="BI211" s="439" t="n"/>
      <c r="BN211" s="2580" t="n"/>
      <c r="BP211" s="2469" t="n"/>
      <c r="BQ211" s="2469" t="n"/>
      <c r="BR211" s="2469" t="n"/>
      <c r="BS211" s="2469" t="n"/>
      <c r="BT211" s="2469" t="n"/>
      <c r="BU211" s="2469" t="n"/>
      <c r="BV211" s="2469" t="n"/>
      <c r="BW211" s="2469" t="n"/>
      <c r="BX211" s="2469" t="n"/>
      <c r="BY211" s="2469" t="n"/>
      <c r="BZ211" s="2469" t="n"/>
    </row>
    <row r="212" ht="34" customHeight="1" s="2456">
      <c r="A212">
        <f>IF(Test_Bible!B311="","F","O")</f>
        <v/>
      </c>
      <c r="B212" s="1686">
        <f>'Cpts AR +indép + Sommaire'!S31</f>
        <v/>
      </c>
      <c r="C212" s="287">
        <f>'Cpts AR +indép + Sommaire'!O31</f>
        <v/>
      </c>
      <c r="D212" s="258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inlineStr"/>
      <c r="X212" s="814" t="n"/>
      <c r="Y212" s="813" t="n"/>
      <c r="Z212" s="814" t="n"/>
      <c r="AA212" s="813" t="n"/>
      <c r="AB212" s="814" t="n"/>
      <c r="AD212" s="10" t="n"/>
      <c r="AE212" s="10" t="n"/>
      <c r="AF212" s="10" t="n"/>
      <c r="AG212" s="2588">
        <f>IF($K212=TRUE,H212,0)</f>
        <v/>
      </c>
      <c r="AH212" s="2588">
        <f>IF($R212=TRUE,H212,0)</f>
        <v/>
      </c>
      <c r="AI212" s="2588"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69" t="n"/>
      <c r="AX212" s="2469" t="n"/>
      <c r="AY212" s="728" t="n"/>
      <c r="AZ212" s="728" t="n"/>
      <c r="BA212" s="87" t="n"/>
      <c r="BB212" s="438" t="n"/>
      <c r="BC212" s="89" t="n"/>
      <c r="BD212" s="442" t="n"/>
      <c r="BE212" s="442" t="n"/>
      <c r="BF212" s="89" t="n"/>
      <c r="BG212" s="443" t="n"/>
      <c r="BH212" s="443" t="n"/>
      <c r="BI212" s="439" t="n"/>
      <c r="BN212" s="2580" t="n"/>
      <c r="BP212" s="2469" t="n"/>
      <c r="BQ212" s="2469" t="n"/>
      <c r="BR212" s="2469" t="n"/>
      <c r="BS212" s="2469" t="n"/>
      <c r="BT212" s="2469" t="n"/>
      <c r="BU212" s="2469" t="n"/>
      <c r="BV212" s="2469" t="n"/>
      <c r="BW212" s="2469" t="n"/>
      <c r="BX212" s="2469" t="n"/>
      <c r="BY212" s="2469" t="n"/>
      <c r="BZ212" s="2469" t="n"/>
    </row>
    <row r="213" ht="20" customHeight="1" s="2456" thickBot="1">
      <c r="B213" s="1686" t="n"/>
      <c r="C213" s="287" t="inlineStr">
        <is>
          <t>Enf</t>
        </is>
      </c>
      <c r="D213" s="258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88">
        <f>IF($K213=TRUE,H213,0)</f>
        <v/>
      </c>
      <c r="AH213" s="2588">
        <f>IF($R213=TRUE,H213,0)</f>
        <v/>
      </c>
      <c r="AI213" s="2588"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69" t="n"/>
      <c r="AX213" s="2469" t="n"/>
      <c r="AY213" s="728" t="n"/>
      <c r="AZ213" s="728" t="n"/>
      <c r="BA213" s="87" t="n"/>
      <c r="BB213" s="438" t="n"/>
      <c r="BC213" s="89" t="n"/>
      <c r="BD213" s="442" t="n"/>
      <c r="BE213" s="442" t="n"/>
      <c r="BF213" s="89" t="n"/>
      <c r="BG213" s="443" t="n"/>
      <c r="BH213" s="443" t="n"/>
      <c r="BI213" s="439" t="n"/>
      <c r="BN213" s="2580" t="n"/>
      <c r="BP213" s="2469" t="n"/>
      <c r="BQ213" s="2469" t="n"/>
      <c r="BR213" s="2469" t="n"/>
      <c r="BS213" s="2469" t="n"/>
      <c r="BT213" s="2469" t="n"/>
      <c r="BU213" s="2469" t="n"/>
      <c r="BV213" s="2469" t="n"/>
      <c r="BW213" s="2469" t="n"/>
      <c r="BX213" s="2469" t="n"/>
      <c r="BY213" s="2469" t="n"/>
      <c r="BZ213" s="2469" t="n"/>
    </row>
    <row r="214" ht="35" customHeight="1" s="2456"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56">
      <c r="B215" s="1686" t="n"/>
      <c r="D215" s="383" t="inlineStr">
        <is>
          <t>COMPARATIF Comportement PFA-Enf</t>
        </is>
      </c>
      <c r="E215" s="2576"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56">
      <c r="B216" s="1686" t="n"/>
      <c r="C216" t="inlineStr">
        <is>
          <t>PCR</t>
        </is>
      </c>
      <c r="I216" s="122" t="n"/>
      <c r="L216" s="2464" t="n"/>
      <c r="M216" s="2464" t="n"/>
      <c r="N216" s="2464" t="n"/>
      <c r="O216" s="1365" t="n"/>
      <c r="P216" s="122" t="n"/>
      <c r="R216" s="2567" t="n"/>
      <c r="S216" s="122" t="n"/>
      <c r="U216" s="2567" t="n"/>
      <c r="V216" s="2464" t="n"/>
      <c r="W216" s="813" t="n"/>
      <c r="X216" s="814" t="n"/>
      <c r="Y216" s="813" t="n"/>
      <c r="Z216" s="814" t="n"/>
      <c r="AA216" s="813" t="n"/>
      <c r="AB216" s="814" t="n"/>
      <c r="AD216" s="10" t="n"/>
      <c r="AE216" s="10" t="n"/>
      <c r="AF216" s="10" t="n"/>
      <c r="AG216" s="2588" t="n"/>
      <c r="AH216" s="2588" t="n"/>
      <c r="AI216" s="2588"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56">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64" t="n"/>
      <c r="W217" s="813" t="n"/>
      <c r="X217" s="814" t="n"/>
      <c r="Y217" s="813" t="n"/>
      <c r="Z217" s="814" t="n"/>
      <c r="AA217" s="813" t="n"/>
      <c r="AB217" s="814" t="n"/>
      <c r="AD217" s="10" t="n"/>
      <c r="AE217" s="10" t="n"/>
      <c r="AF217" s="10" t="n"/>
      <c r="AG217" s="2588">
        <f>IF($K217=TRUE,H217,0)</f>
        <v/>
      </c>
      <c r="AH217" s="2588">
        <f>IF($R217=TRUE,H217,0)</f>
        <v/>
      </c>
      <c r="AI217" s="2588">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56"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88">
        <f>IF($K218=TRUE,H218,0)</f>
        <v/>
      </c>
      <c r="AH218" s="2588">
        <f>IF($R218=TRUE,H218,0)</f>
        <v/>
      </c>
      <c r="AI218" s="2588">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56" thickBot="1">
      <c r="D219" s="2520" t="n"/>
      <c r="E219" s="2520"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56" thickBot="1">
      <c r="D220" s="2520" t="n"/>
      <c r="E220" s="2520" t="n"/>
      <c r="F220" s="67" t="n"/>
      <c r="G220" s="434" t="n"/>
      <c r="H220" s="434" t="n"/>
      <c r="I220" s="2465" t="n"/>
      <c r="J220" s="246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20" t="n"/>
      <c r="E221" s="2520" t="n"/>
      <c r="F221" s="67" t="n"/>
      <c r="G221" s="434" t="n"/>
      <c r="H221" s="434" t="n"/>
      <c r="I221" s="1330" t="n"/>
      <c r="J221" s="1331" t="n"/>
      <c r="K221" s="1332" t="n"/>
      <c r="L221" s="2568" t="n"/>
      <c r="M221" s="2541" t="n"/>
      <c r="N221" s="2541"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2" t="inlineStr">
        <is>
          <t>AP</t>
        </is>
      </c>
      <c r="L222" s="2570" t="inlineStr">
        <is>
          <t>Dynamique d'AP</t>
        </is>
      </c>
      <c r="O222" s="2567" t="n"/>
      <c r="P222" s="2566" t="inlineStr">
        <is>
          <t>CL</t>
        </is>
      </c>
      <c r="R222" s="2567" t="n"/>
      <c r="S222" s="2571" t="inlineStr">
        <is>
          <t>CSS</t>
        </is>
      </c>
      <c r="U222" s="2567"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69" t="inlineStr">
        <is>
          <t>AP</t>
        </is>
      </c>
      <c r="AL222" s="2569" t="inlineStr">
        <is>
          <t>CL</t>
        </is>
      </c>
      <c r="AN222" s="2569" t="inlineStr">
        <is>
          <t>CSS</t>
        </is>
      </c>
      <c r="AY222" s="728" t="n"/>
      <c r="AZ222" s="728" t="n"/>
      <c r="BA222" s="87" t="n"/>
      <c r="BB222" s="438" t="n"/>
      <c r="BC222" s="89" t="n"/>
      <c r="BD222" s="442" t="n"/>
      <c r="BE222" s="442" t="n"/>
      <c r="BF222" s="89" t="n"/>
      <c r="BG222" s="443" t="n"/>
      <c r="BH222" s="443" t="n"/>
      <c r="BI222" s="439" t="n"/>
    </row>
    <row r="223" ht="34" customHeight="1" s="2456">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5"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56">
      <c r="A224">
        <f>IF(Test_Bible!B190="","F","O")</f>
        <v/>
      </c>
      <c r="B224" s="1517">
        <f>'Cpts AR +indép + Sommaire'!G34</f>
        <v/>
      </c>
      <c r="C224" s="376">
        <f>'Cpts AR +indép + Sommaire'!C34</f>
        <v/>
      </c>
      <c r="D224" s="258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88">
        <f>IF($K224=TRUE,H224,0)</f>
        <v/>
      </c>
      <c r="AH224" s="2588">
        <f>IF($R224=TRUE,H224,0)</f>
        <v/>
      </c>
      <c r="AI224" s="2588">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56">
      <c r="A225">
        <f>IF(Test_Bible!B247="","F","O")</f>
        <v/>
      </c>
      <c r="B225" s="1517">
        <f>'Cpts AR +indép + Sommaire'!G35</f>
        <v/>
      </c>
      <c r="C225" s="376">
        <f>'Cpts AR +indép + Sommaire'!C35</f>
        <v/>
      </c>
      <c r="D225" s="258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88">
        <f>IF($K225=TRUE,H225,0)</f>
        <v/>
      </c>
      <c r="AH225" s="2588">
        <f>IF($R225=TRUE,H225,0)</f>
        <v/>
      </c>
      <c r="AI225" s="2588">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56">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56">
      <c r="A227">
        <f>IF(Test_Bible!B416="","F","O")</f>
        <v/>
      </c>
      <c r="B227" s="1686">
        <f>'Cpts AR +indép + Sommaire'!M34</f>
        <v/>
      </c>
      <c r="C227" s="38">
        <f>'Cpts AR +indép + Sommaire'!I34</f>
        <v/>
      </c>
      <c r="D227" s="258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88">
        <f>IF(K227=TRUE,H227,0)</f>
        <v/>
      </c>
      <c r="AH227" s="2588">
        <f>IF(R227=TRUE,H227,0)</f>
        <v/>
      </c>
      <c r="AI227" s="2588">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56">
      <c r="B228" s="1686" t="n"/>
      <c r="C228" s="38" t="inlineStr">
        <is>
          <t>NC</t>
        </is>
      </c>
      <c r="D228" s="258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88">
        <f>IF(K228=TRUE,H228,0)</f>
        <v/>
      </c>
      <c r="AH228" s="2588">
        <f>IF(R228=TRUE,H228,0)</f>
        <v/>
      </c>
      <c r="AI228" s="2588">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69" t="n"/>
      <c r="AX228" s="2469" t="n"/>
      <c r="AY228" s="728" t="n"/>
      <c r="AZ228" s="728" t="n"/>
      <c r="BA228" s="87" t="n"/>
      <c r="BB228" s="438" t="n"/>
      <c r="BC228" s="89" t="n"/>
      <c r="BD228" s="442" t="n"/>
      <c r="BE228" s="442" t="n"/>
      <c r="BF228" s="89" t="n"/>
      <c r="BG228" s="443" t="n"/>
      <c r="BH228" s="443" t="n"/>
      <c r="BI228" s="439" t="n"/>
      <c r="BN228" s="2580" t="n"/>
      <c r="BP228" s="2469" t="n"/>
      <c r="BQ228" s="2469" t="n"/>
      <c r="BR228" s="2469" t="n"/>
      <c r="BS228" s="2469" t="n"/>
      <c r="BT228" s="2469" t="n"/>
      <c r="BU228" s="2469" t="n"/>
      <c r="BV228" s="2469" t="n"/>
      <c r="BW228" s="2469" t="n"/>
      <c r="BX228" s="2469" t="n"/>
      <c r="BY228" s="2469" t="n"/>
      <c r="BZ228" s="2469" t="n"/>
    </row>
    <row r="229" ht="52" customHeight="1" s="2456"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69" t="n"/>
      <c r="AX229" s="2469" t="n"/>
      <c r="AY229" s="728" t="n"/>
      <c r="AZ229" s="728" t="n"/>
      <c r="BA229" s="87" t="n"/>
      <c r="BB229" s="438" t="n"/>
      <c r="BC229" s="89" t="n"/>
      <c r="BD229" s="442" t="n"/>
      <c r="BE229" s="442" t="n"/>
      <c r="BF229" s="89" t="n"/>
      <c r="BG229" s="443" t="n"/>
      <c r="BH229" s="443" t="n"/>
      <c r="BI229" s="439" t="n"/>
      <c r="BN229" s="2580" t="n"/>
      <c r="BP229" s="2469" t="n"/>
      <c r="BQ229" s="2469" t="n"/>
      <c r="BR229" s="2469" t="n"/>
      <c r="BS229" s="2469" t="n"/>
      <c r="BT229" s="2469" t="n"/>
      <c r="BU229" s="2469" t="n"/>
      <c r="BV229" s="2469" t="n"/>
      <c r="BW229" s="2469" t="n"/>
      <c r="BX229" s="2469" t="n"/>
      <c r="BY229" s="2469" t="n"/>
      <c r="BZ229" s="2469" t="n"/>
    </row>
    <row r="230" ht="35" customHeight="1" s="2456"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16">
        <f>IF(AND($K226=TRUE,$K229=FALSE),AG226,IF(AND($K226=FALSE,$K229=TRUE),AG229,IF(AND($K226=TRUE,$K229=TRUE),AG226+AG229,0)))</f>
        <v/>
      </c>
      <c r="AH230" s="2516">
        <f>IF(AND($R226=TRUE,$R229=FALSE),AH226,IF(AND($R226=FALSE,$R229=TRUE),AH229,IF(AND($R226=TRUE,$R229=TRUE),AH226+AH229,0)))</f>
        <v/>
      </c>
      <c r="AI230" s="2516">
        <f>IF(AND($U226=TRUE,$U229=FALSE),AI226,IF(AND($U226=FALSE,$U229=TRUE),AI229,IF(AND($U226=TRUE,$U229=TRUE),AI226+AI229,0)))</f>
        <v/>
      </c>
      <c r="AJ230" s="2516">
        <f>IF(AND($K226=TRUE,$K229=FALSE),AJ226,IF(AND($K226=FALSE,$K229=TRUE),AJ229,IF(AND($K226=TRUE,$K229=TRUE),AJ226+AJ229,MAX(AJ226,AJ229))))</f>
        <v/>
      </c>
      <c r="AK230" s="2516">
        <f>IF(AND($K226=TRUE,$K229=FALSE),AK226,IF(AND($K226=FALSE,$K229=TRUE),AK229,IF(AND($K226=TRUE,$K229=TRUE),AK226+AK229,MAX(AK226,AK229))))</f>
        <v/>
      </c>
      <c r="AL230" s="2516">
        <f>IF(AND($R226=TRUE,$R229=FALSE),AL226,IF(AND($R226=FALSE,$R229=TRUE),AL229,IF(AND($R226=TRUE,$R229=TRUE),AL226+AL229,MAX(AL226,AL229))))</f>
        <v/>
      </c>
      <c r="AM230" s="2516">
        <f>IF(AND($R226=TRUE,$R229=FALSE),AM226,IF(AND($R226=FALSE,$R229=TRUE),AM229,IF(AND($R226=TRUE,$R229=TRUE),AM226+AM229,MAX(AM226,AM229))))</f>
        <v/>
      </c>
      <c r="AN230" s="2516">
        <f>IF(AND($U226=TRUE,$U229=FALSE),AN226,IF(AND($U226=FALSE,$U229=TRUE),AN229,IF(AND($U226=TRUE,$U229=TRUE),AN226+AN229,MAX(AN226,AN229))))</f>
        <v/>
      </c>
      <c r="AO230" s="2516">
        <f>IF(AND($U226=TRUE,$U229=FALSE),AO226,IF(AND($U226=FALSE,$U229=TRUE),AO229,IF(AND($U226=TRUE,$U229=TRUE),AO226+AO229,MAX(AO226,AO229))))</f>
        <v/>
      </c>
      <c r="AV230" s="2469" t="n"/>
      <c r="AX230" s="2469" t="n"/>
      <c r="AY230" s="728" t="n"/>
      <c r="AZ230" s="728" t="n"/>
      <c r="BA230" s="87" t="n"/>
      <c r="BB230" s="438" t="n"/>
      <c r="BC230" s="89" t="n"/>
      <c r="BD230" s="442" t="n"/>
      <c r="BE230" s="442" t="n"/>
      <c r="BF230" s="89" t="n"/>
      <c r="BG230" s="443" t="n"/>
      <c r="BH230" s="443" t="n"/>
      <c r="BI230" s="439" t="n"/>
      <c r="BN230" s="2580" t="n"/>
      <c r="BP230" s="2469" t="n"/>
      <c r="BQ230" s="2469" t="n"/>
      <c r="BR230" s="2469" t="n"/>
      <c r="BS230" s="2469" t="n"/>
      <c r="BT230" s="2469" t="n"/>
      <c r="BU230" s="2469" t="n"/>
      <c r="BV230" s="2469" t="n"/>
      <c r="BW230" s="2469" t="n"/>
      <c r="BX230" s="2469" t="n"/>
      <c r="BY230" s="2469" t="n"/>
      <c r="BZ230" s="2469" t="n"/>
    </row>
    <row r="231" ht="34" customHeight="1" s="2456">
      <c r="A231">
        <f>IF(Test_Bible!B285="","F","O")</f>
        <v/>
      </c>
      <c r="B231" s="1686">
        <f>'Cpts AR +indép + Sommaire'!S34</f>
        <v/>
      </c>
      <c r="C231" s="287">
        <f>'Cpts AR +indép + Sommaire'!O34</f>
        <v/>
      </c>
      <c r="D231" s="258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inlineStr"/>
      <c r="X231" s="814" t="n"/>
      <c r="Y231" s="813" t="n"/>
      <c r="Z231" s="814" t="n"/>
      <c r="AA231" s="813" t="n"/>
      <c r="AB231" s="814" t="n"/>
      <c r="AD231" s="10" t="n"/>
      <c r="AE231" s="10" t="n"/>
      <c r="AF231" s="10" t="n"/>
      <c r="AG231" s="2588">
        <f>IF($K231=TRUE,H231,0)</f>
        <v/>
      </c>
      <c r="AH231" s="2588">
        <f>IF($R231=TRUE,H231,0)</f>
        <v/>
      </c>
      <c r="AI231" s="2588"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69" t="n"/>
      <c r="AX231" s="2469" t="n"/>
      <c r="AY231" s="728" t="n"/>
      <c r="AZ231" s="728" t="n"/>
      <c r="BA231" s="87" t="n"/>
      <c r="BB231" s="438" t="n"/>
      <c r="BC231" s="89" t="n"/>
      <c r="BD231" s="442" t="n"/>
      <c r="BE231" s="442" t="n"/>
      <c r="BF231" s="89" t="n"/>
      <c r="BG231" s="443" t="n"/>
      <c r="BH231" s="443" t="n"/>
      <c r="BI231" s="439" t="n"/>
      <c r="BN231" s="2580" t="n"/>
      <c r="BP231" s="2469" t="n"/>
      <c r="BQ231" s="2469" t="n"/>
      <c r="BR231" s="2469" t="n"/>
      <c r="BS231" s="2469" t="n"/>
      <c r="BT231" s="2469" t="n"/>
      <c r="BU231" s="2469" t="n"/>
      <c r="BV231" s="2469" t="n"/>
      <c r="BW231" s="2469" t="n"/>
      <c r="BX231" s="2469" t="n"/>
      <c r="BY231" s="2469" t="n"/>
      <c r="BZ231" s="2469" t="n"/>
    </row>
    <row r="232" ht="20" customHeight="1" s="2456" thickBot="1">
      <c r="B232" s="1686" t="n"/>
      <c r="C232" s="287" t="inlineStr">
        <is>
          <t>Enf</t>
        </is>
      </c>
      <c r="D232" s="258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88">
        <f>IF($K232=TRUE,H232,0)</f>
        <v/>
      </c>
      <c r="AH232" s="2588">
        <f>IF($R232=TRUE,H232,0)</f>
        <v/>
      </c>
      <c r="AI232" s="2588"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69" t="n"/>
      <c r="AX232" s="2469" t="n"/>
      <c r="AY232" s="728" t="n"/>
      <c r="AZ232" s="728" t="n"/>
      <c r="BA232" s="87" t="n"/>
      <c r="BB232" s="438" t="n"/>
      <c r="BC232" s="89" t="n"/>
      <c r="BD232" s="442" t="n"/>
      <c r="BE232" s="442" t="n"/>
      <c r="BF232" s="89" t="n"/>
      <c r="BG232" s="443" t="n"/>
      <c r="BH232" s="443" t="n"/>
      <c r="BI232" s="439" t="n"/>
      <c r="BN232" s="2580" t="n"/>
      <c r="BP232" s="2469" t="n"/>
      <c r="BQ232" s="2469" t="n"/>
      <c r="BR232" s="2469" t="n"/>
      <c r="BS232" s="2469" t="n"/>
      <c r="BT232" s="2469" t="n"/>
      <c r="BU232" s="2469" t="n"/>
      <c r="BV232" s="2469" t="n"/>
      <c r="BW232" s="2469" t="n"/>
      <c r="BX232" s="2469" t="n"/>
      <c r="BY232" s="2469" t="n"/>
      <c r="BZ232" s="2469" t="n"/>
    </row>
    <row r="233" ht="35" customHeight="1" s="2456"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56">
      <c r="B234" s="1686" t="n"/>
      <c r="D234" s="383" t="inlineStr">
        <is>
          <t>COMPARATIF Comportement PFA-Enf</t>
        </is>
      </c>
      <c r="E234" s="2576"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56">
      <c r="B235" s="1686" t="n"/>
      <c r="C235" t="inlineStr">
        <is>
          <t>PCR</t>
        </is>
      </c>
      <c r="I235" s="122" t="n"/>
      <c r="L235" s="2464" t="n"/>
      <c r="M235" s="2464" t="n"/>
      <c r="N235" s="2464" t="n"/>
      <c r="O235" s="1365" t="n"/>
      <c r="P235" s="122" t="n"/>
      <c r="R235" s="2567" t="n"/>
      <c r="S235" s="122" t="n"/>
      <c r="U235" s="2567" t="n"/>
      <c r="V235" s="2464" t="n"/>
      <c r="W235" s="813" t="n"/>
      <c r="X235" s="814" t="n"/>
      <c r="Y235" s="813" t="n"/>
      <c r="Z235" s="814" t="n"/>
      <c r="AA235" s="813" t="n"/>
      <c r="AB235" s="814" t="n"/>
      <c r="AD235" s="10" t="n"/>
      <c r="AE235" s="10" t="n"/>
      <c r="AF235" s="10" t="n"/>
      <c r="AG235" s="2588" t="n"/>
      <c r="AH235" s="2588" t="n"/>
      <c r="AI235" s="2588"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56">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64" t="n"/>
      <c r="W236" s="813" t="n"/>
      <c r="X236" s="814" t="n"/>
      <c r="Y236" s="813" t="n"/>
      <c r="Z236" s="814" t="n"/>
      <c r="AA236" s="813" t="n"/>
      <c r="AB236" s="814" t="n"/>
      <c r="AD236" s="10" t="n"/>
      <c r="AE236" s="10" t="n"/>
      <c r="AF236" s="10" t="n"/>
      <c r="AG236" s="2588">
        <f>IF($K236=TRUE,H236,0)</f>
        <v/>
      </c>
      <c r="AH236" s="2588">
        <f>IF($R236=TRUE,H236,0)</f>
        <v/>
      </c>
      <c r="AI236" s="2588">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56"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88">
        <f>IF($K237=TRUE,H237,0)</f>
        <v/>
      </c>
      <c r="AH237" s="2588">
        <f>IF($R237=TRUE,H237,0)</f>
        <v/>
      </c>
      <c r="AI237" s="2588">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56" thickBot="1">
      <c r="C238" s="2469" t="n"/>
      <c r="D238" s="2578" t="n"/>
      <c r="E238" s="2578" t="n"/>
      <c r="F238" s="67" t="n"/>
      <c r="G238" s="2520"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56" thickBot="1">
      <c r="D239" s="2520" t="n"/>
      <c r="E239" s="2520" t="n"/>
      <c r="F239" s="67" t="n"/>
      <c r="G239" s="434" t="n"/>
      <c r="H239" s="434" t="n"/>
      <c r="I239" s="2465" t="n"/>
      <c r="J239" s="246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20" t="n"/>
      <c r="E240" s="2520" t="n"/>
      <c r="F240" s="67" t="n"/>
      <c r="G240" s="434" t="n"/>
      <c r="H240" s="434" t="n"/>
      <c r="I240" s="1330" t="n"/>
      <c r="J240" s="1331" t="n"/>
      <c r="K240" s="1332" t="n"/>
      <c r="L240" s="2568" t="n"/>
      <c r="M240" s="2541" t="n"/>
      <c r="N240" s="2541"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2" t="inlineStr">
        <is>
          <t>AP</t>
        </is>
      </c>
      <c r="L241" s="2570" t="inlineStr">
        <is>
          <t>Dynamique d'AP</t>
        </is>
      </c>
      <c r="O241" s="2567" t="n"/>
      <c r="P241" s="2566" t="inlineStr">
        <is>
          <t>CL</t>
        </is>
      </c>
      <c r="R241" s="2567" t="n"/>
      <c r="S241" s="2571" t="inlineStr">
        <is>
          <t>CSS</t>
        </is>
      </c>
      <c r="U241" s="2567"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69" t="inlineStr">
        <is>
          <t>AP</t>
        </is>
      </c>
      <c r="AL241" s="2569" t="inlineStr">
        <is>
          <t>CL</t>
        </is>
      </c>
      <c r="AN241" s="2569" t="inlineStr">
        <is>
          <t>CSS</t>
        </is>
      </c>
      <c r="AY241" s="728" t="n"/>
      <c r="AZ241" s="728" t="n"/>
      <c r="BA241" s="87" t="n"/>
      <c r="BB241" s="438" t="n"/>
      <c r="BC241" s="89" t="n"/>
      <c r="BD241" s="442" t="n"/>
      <c r="BE241" s="442" t="n"/>
      <c r="BF241" s="89" t="n"/>
      <c r="BG241" s="443" t="n"/>
      <c r="BH241" s="443" t="n"/>
      <c r="BI241" s="439" t="n"/>
    </row>
    <row r="242" ht="36" customHeight="1" s="2456">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5"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56">
      <c r="A243">
        <f>IF(Test_Bible!B191="","F","O")</f>
        <v/>
      </c>
      <c r="B243" s="1686">
        <f>'Cpts AR +indép + Sommaire'!G37</f>
        <v/>
      </c>
      <c r="C243" s="376">
        <f>'Cpts AR +indép + Sommaire'!C37</f>
        <v/>
      </c>
      <c r="D243" s="258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88">
        <f>IF($K243=TRUE,H243,0)</f>
        <v/>
      </c>
      <c r="AH243" s="2588">
        <f>IF($R243=TRUE,H243,0)</f>
        <v/>
      </c>
      <c r="AI243" s="2588">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56">
      <c r="B244" s="1517" t="n"/>
      <c r="C244" s="376" t="inlineStr">
        <is>
          <t>PFA</t>
        </is>
      </c>
      <c r="D244" s="258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88">
        <f>IF($K244=TRUE,H244,0)</f>
        <v/>
      </c>
      <c r="AH244" s="2588">
        <f>IF($R244=TRUE,H244,0)</f>
        <v/>
      </c>
      <c r="AI244" s="2588">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56">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56">
      <c r="B246" s="1517" t="n"/>
      <c r="C246" s="38" t="inlineStr">
        <is>
          <t>NC</t>
        </is>
      </c>
      <c r="D246" s="258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88">
        <f>IF(K246=TRUE,H246,0)</f>
        <v/>
      </c>
      <c r="AH246" s="2588">
        <f>IF(R246=TRUE,H246,0)</f>
        <v/>
      </c>
      <c r="AI246" s="2588">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56">
      <c r="B247" s="1686" t="n"/>
      <c r="C247" s="38" t="inlineStr">
        <is>
          <t>NC</t>
        </is>
      </c>
      <c r="D247" s="258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88">
        <f>IF(K247=TRUE,H247,0)</f>
        <v/>
      </c>
      <c r="AH247" s="2588">
        <f>IF(R247=TRUE,H247,0)</f>
        <v/>
      </c>
      <c r="AI247" s="2588">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69" t="n"/>
      <c r="AX247" s="2469" t="n"/>
      <c r="AY247" s="728" t="n"/>
      <c r="AZ247" s="728" t="n"/>
      <c r="BA247" s="87" t="n"/>
      <c r="BB247" s="438" t="n"/>
      <c r="BC247" s="89" t="n"/>
      <c r="BD247" s="442" t="n"/>
      <c r="BE247" s="442" t="n"/>
      <c r="BF247" s="89" t="n"/>
      <c r="BG247" s="443" t="n"/>
      <c r="BH247" s="443" t="n"/>
      <c r="BI247" s="439" t="n"/>
      <c r="BN247" s="2580" t="n"/>
      <c r="BP247" s="2469" t="n"/>
      <c r="BQ247" s="2469" t="n"/>
      <c r="BR247" s="2469" t="n"/>
      <c r="BS247" s="2469" t="n"/>
      <c r="BT247" s="2469" t="n"/>
      <c r="BU247" s="2469" t="n"/>
      <c r="BV247" s="2469" t="n"/>
      <c r="BW247" s="2469" t="n"/>
      <c r="BX247" s="2469" t="n"/>
      <c r="BY247" s="2469" t="n"/>
      <c r="BZ247" s="2469" t="n"/>
    </row>
    <row r="248" ht="20" customHeight="1" s="2456"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69" t="n"/>
      <c r="AX248" s="2469" t="n"/>
      <c r="AY248" s="728" t="n"/>
      <c r="AZ248" s="728" t="n"/>
      <c r="BA248" s="87" t="n"/>
      <c r="BB248" s="438" t="n"/>
      <c r="BC248" s="89" t="n"/>
      <c r="BD248" s="442" t="n"/>
      <c r="BE248" s="442" t="n"/>
      <c r="BF248" s="89" t="n"/>
      <c r="BG248" s="443" t="n"/>
      <c r="BH248" s="443" t="n"/>
      <c r="BI248" s="439" t="n"/>
      <c r="BN248" s="2580" t="n"/>
      <c r="BP248" s="2469" t="n"/>
      <c r="BQ248" s="2469" t="n"/>
      <c r="BR248" s="2469" t="n"/>
      <c r="BS248" s="2469" t="n"/>
      <c r="BT248" s="2469" t="n"/>
      <c r="BU248" s="2469" t="n"/>
      <c r="BV248" s="2469" t="n"/>
      <c r="BW248" s="2469" t="n"/>
      <c r="BX248" s="2469" t="n"/>
      <c r="BY248" s="2469" t="n"/>
      <c r="BZ248" s="2469" t="n"/>
    </row>
    <row r="249" ht="35" customHeight="1" s="2456"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16">
        <f>IF(AND($K245=TRUE,$K248=FALSE),AG245,IF(AND($K245=FALSE,$K248=TRUE),AG248,IF(AND($K245=TRUE,$K248=TRUE),AG245+AG248,0)))</f>
        <v/>
      </c>
      <c r="AH249" s="2516">
        <f>IF(AND($R245=TRUE,$R248=FALSE),AH245,IF(AND($R245=FALSE,$R248=TRUE),AH248,IF(AND($R245=TRUE,$R248=TRUE),AH245+AH248,0)))</f>
        <v/>
      </c>
      <c r="AI249" s="2516">
        <f>IF(AND($U245=TRUE,$U248=FALSE),AI245,IF(AND($U245=FALSE,$U248=TRUE),AI248,IF(AND($U245=TRUE,$U248=TRUE),AI245+AI248,0)))</f>
        <v/>
      </c>
      <c r="AJ249" s="2516">
        <f>IF(AND($K245=TRUE,$K248=FALSE),AJ245,IF(AND($K245=FALSE,$K248=TRUE),AJ248,IF(AND($K245=TRUE,$K248=TRUE),AJ245+AJ248,MAX(AJ245,AJ248))))</f>
        <v/>
      </c>
      <c r="AK249" s="2516">
        <f>IF(AND($K245=TRUE,$K248=FALSE),AK245,IF(AND($K245=FALSE,$K248=TRUE),AK248,IF(AND($K245=TRUE,$K248=TRUE),AK245+AK248,MAX(AK245,AK248))))</f>
        <v/>
      </c>
      <c r="AL249" s="2516">
        <f>IF(AND($R245=TRUE,$R248=FALSE),AL245,IF(AND($R245=FALSE,$R248=TRUE),AL248,IF(AND($R245=TRUE,$R248=TRUE),AL245+AL248,MAX(AL245,AL248))))</f>
        <v/>
      </c>
      <c r="AM249" s="2516">
        <f>IF(AND($R245=TRUE,$R248=FALSE),AM245,IF(AND($R245=FALSE,$R248=TRUE),AM248,IF(AND($R245=TRUE,$R248=TRUE),AM245+AM248,MAX(AM245,AM248))))</f>
        <v/>
      </c>
      <c r="AN249" s="2516">
        <f>IF(AND($U245=TRUE,$U248=FALSE),AN245,IF(AND($U245=FALSE,$U248=TRUE),AN248,IF(AND($U245=TRUE,$U248=TRUE),AN245+AN248,MAX(AN245,AN248))))</f>
        <v/>
      </c>
      <c r="AO249" s="2516">
        <f>IF(AND($U245=TRUE,$U248=FALSE),AO245,IF(AND($U245=FALSE,$U248=TRUE),AO248,IF(AND($U245=TRUE,$U248=TRUE),AO245+AO248,MAX(AO245,AO248))))</f>
        <v/>
      </c>
      <c r="AV249" s="2469" t="n"/>
      <c r="AX249" s="2469" t="n"/>
      <c r="AY249" s="728" t="n"/>
      <c r="AZ249" s="728" t="n"/>
      <c r="BA249" s="87" t="n"/>
      <c r="BB249" s="438" t="n"/>
      <c r="BC249" s="89" t="n"/>
      <c r="BD249" s="442" t="n"/>
      <c r="BE249" s="442" t="n"/>
      <c r="BF249" s="89" t="n"/>
      <c r="BG249" s="443" t="n"/>
      <c r="BH249" s="443" t="n"/>
      <c r="BI249" s="439" t="n"/>
      <c r="BN249" s="2580" t="n"/>
      <c r="BP249" s="2469" t="n"/>
      <c r="BQ249" s="2469" t="n"/>
      <c r="BR249" s="2469" t="n"/>
      <c r="BS249" s="2469" t="n"/>
      <c r="BT249" s="2469" t="n"/>
      <c r="BU249" s="2469" t="n"/>
      <c r="BV249" s="2469" t="n"/>
      <c r="BW249" s="2469" t="n"/>
      <c r="BX249" s="2469" t="n"/>
      <c r="BY249" s="2469" t="n"/>
      <c r="BZ249" s="2469" t="n"/>
    </row>
    <row r="250" ht="34" customHeight="1" s="2456">
      <c r="A250">
        <f>IF(Test_Bible!B286="","F","O")</f>
        <v/>
      </c>
      <c r="B250" s="1686">
        <f>'Cpts AR +indép + Sommaire'!S37</f>
        <v/>
      </c>
      <c r="C250" s="287">
        <f>'Cpts AR +indép + Sommaire'!O37</f>
        <v/>
      </c>
      <c r="D250" s="258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inlineStr"/>
      <c r="X250" s="814" t="n"/>
      <c r="Y250" s="813" t="n"/>
      <c r="Z250" s="814" t="n"/>
      <c r="AA250" s="813" t="n"/>
      <c r="AB250" s="814" t="n"/>
      <c r="AD250" s="10" t="n"/>
      <c r="AE250" s="10" t="n"/>
      <c r="AF250" s="10" t="n"/>
      <c r="AG250" s="2588">
        <f>IF($K250=TRUE,H250,0)</f>
        <v/>
      </c>
      <c r="AH250" s="2588">
        <f>IF($R250=TRUE,H250,0)</f>
        <v/>
      </c>
      <c r="AI250" s="2588"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69" t="n"/>
      <c r="AX250" s="2469" t="n"/>
      <c r="AY250" s="728" t="n"/>
      <c r="AZ250" s="728" t="n"/>
      <c r="BA250" s="87" t="n"/>
      <c r="BB250" s="438" t="n"/>
      <c r="BC250" s="89" t="n"/>
      <c r="BD250" s="442" t="n"/>
      <c r="BE250" s="442" t="n"/>
      <c r="BF250" s="89" t="n"/>
      <c r="BG250" s="443" t="n"/>
      <c r="BH250" s="443" t="n"/>
      <c r="BI250" s="439" t="n"/>
      <c r="BN250" s="2580" t="n"/>
      <c r="BP250" s="2469" t="n"/>
      <c r="BQ250" s="2469" t="n"/>
      <c r="BR250" s="2469" t="n"/>
      <c r="BS250" s="2469" t="n"/>
      <c r="BT250" s="2469" t="n"/>
      <c r="BU250" s="2469" t="n"/>
      <c r="BV250" s="2469" t="n"/>
      <c r="BW250" s="2469" t="n"/>
      <c r="BX250" s="2469" t="n"/>
      <c r="BY250" s="2469" t="n"/>
      <c r="BZ250" s="2469" t="n"/>
    </row>
    <row r="251" ht="35" customHeight="1" s="2456"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88">
        <f>IF($K251=TRUE,H251,0)</f>
        <v/>
      </c>
      <c r="AH251" s="2588">
        <f>IF($R251=TRUE,H251,0)</f>
        <v/>
      </c>
      <c r="AI251" s="2588"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69" t="n"/>
      <c r="AX251" s="2469" t="n"/>
      <c r="AY251" s="728" t="n"/>
      <c r="AZ251" s="728" t="n"/>
      <c r="BA251" s="87" t="n"/>
      <c r="BB251" s="438" t="n"/>
      <c r="BC251" s="89" t="n"/>
      <c r="BD251" s="442" t="n"/>
      <c r="BE251" s="442" t="n"/>
      <c r="BF251" s="89" t="n"/>
      <c r="BG251" s="443" t="n"/>
      <c r="BH251" s="443" t="n"/>
      <c r="BI251" s="439" t="n"/>
      <c r="BN251" s="2580" t="n"/>
      <c r="BP251" s="2469" t="n"/>
      <c r="BQ251" s="2469" t="n"/>
      <c r="BR251" s="2469" t="n"/>
      <c r="BS251" s="2469" t="n"/>
      <c r="BT251" s="2469" t="n"/>
      <c r="BU251" s="2469" t="n"/>
      <c r="BV251" s="2469" t="n"/>
      <c r="BW251" s="2469" t="n"/>
      <c r="BX251" s="2469" t="n"/>
      <c r="BY251" s="2469" t="n"/>
      <c r="BZ251" s="2469" t="n"/>
    </row>
    <row r="252" ht="35" customHeight="1" s="2456"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56">
      <c r="B253" s="1686" t="n"/>
      <c r="D253" s="383" t="inlineStr">
        <is>
          <t>COMPARATIF Comportement PFA-Enf</t>
        </is>
      </c>
      <c r="E253" s="2576"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56">
      <c r="B254" s="1686" t="n"/>
      <c r="C254" t="inlineStr">
        <is>
          <t>PCR</t>
        </is>
      </c>
      <c r="I254" s="122" t="n"/>
      <c r="L254" s="2464" t="n"/>
      <c r="M254" s="2464" t="n"/>
      <c r="N254" s="2464" t="n"/>
      <c r="O254" s="1365" t="n"/>
      <c r="P254" s="122" t="n"/>
      <c r="R254" s="2567" t="n"/>
      <c r="S254" s="122" t="n"/>
      <c r="U254" s="2567" t="n"/>
      <c r="V254" s="2464" t="n"/>
      <c r="W254" s="813" t="n"/>
      <c r="X254" s="814" t="n"/>
      <c r="Y254" s="813" t="n"/>
      <c r="Z254" s="814" t="n"/>
      <c r="AA254" s="813" t="n"/>
      <c r="AB254" s="814" t="n"/>
      <c r="AD254" s="10" t="n"/>
      <c r="AE254" s="10" t="n"/>
      <c r="AF254" s="10" t="n"/>
      <c r="AG254" s="2588" t="n"/>
      <c r="AH254" s="2588" t="n"/>
      <c r="AI254" s="2588"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56">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64" t="n"/>
      <c r="W255" s="813" t="n"/>
      <c r="X255" s="814" t="n"/>
      <c r="Y255" s="813" t="n"/>
      <c r="Z255" s="814" t="n"/>
      <c r="AA255" s="813" t="n"/>
      <c r="AB255" s="814" t="n"/>
      <c r="AD255" s="10" t="n"/>
      <c r="AE255" s="10" t="n"/>
      <c r="AF255" s="10" t="n"/>
      <c r="AG255" s="2588">
        <f>IF($K255=TRUE,H255,0)</f>
        <v/>
      </c>
      <c r="AH255" s="2588">
        <f>IF($R255=TRUE,H255,0)</f>
        <v/>
      </c>
      <c r="AI255" s="2588">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56"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88">
        <f>IF($K256=TRUE,H256,0)</f>
        <v/>
      </c>
      <c r="AH256" s="2588">
        <f>IF($R256=TRUE,H256,0)</f>
        <v/>
      </c>
      <c r="AI256" s="2588">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56" thickBot="1">
      <c r="B257" s="1686" t="n"/>
      <c r="D257" s="2520" t="n"/>
      <c r="E257" s="2520"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56" thickBot="1">
      <c r="D258" s="2520" t="n"/>
      <c r="E258" s="2520" t="n"/>
      <c r="F258" s="67" t="n"/>
      <c r="G258" s="434" t="n"/>
      <c r="H258" s="434" t="n"/>
      <c r="I258" s="2465" t="n"/>
      <c r="J258" s="246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20" t="n"/>
      <c r="E259" s="2520" t="n"/>
      <c r="F259" s="67" t="n"/>
      <c r="G259" s="434" t="n"/>
      <c r="H259" s="434" t="n"/>
      <c r="I259" s="1330" t="n"/>
      <c r="J259" s="1331" t="n"/>
      <c r="K259" s="1332" t="n"/>
      <c r="L259" s="2568" t="n"/>
      <c r="M259" s="2541" t="n"/>
      <c r="N259" s="2541"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2" t="inlineStr">
        <is>
          <t>AP</t>
        </is>
      </c>
      <c r="L260" s="2570" t="inlineStr">
        <is>
          <t>Dynamique d'AP</t>
        </is>
      </c>
      <c r="O260" s="2567" t="n"/>
      <c r="P260" s="2566" t="inlineStr">
        <is>
          <t>CL</t>
        </is>
      </c>
      <c r="R260" s="2567" t="n"/>
      <c r="S260" s="2571" t="inlineStr">
        <is>
          <t>CSS</t>
        </is>
      </c>
      <c r="U260" s="2567"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69" t="inlineStr">
        <is>
          <t>AP</t>
        </is>
      </c>
      <c r="AL260" s="2569" t="inlineStr">
        <is>
          <t>CL</t>
        </is>
      </c>
      <c r="AN260" s="2569" t="inlineStr">
        <is>
          <t>CSS</t>
        </is>
      </c>
      <c r="BA260" s="87" t="n"/>
      <c r="BB260" s="438" t="n"/>
      <c r="BC260" s="86" t="n"/>
      <c r="BD260" s="440" t="n"/>
      <c r="BE260" s="440" t="n"/>
      <c r="BF260" s="86" t="n"/>
      <c r="BG260" s="87" t="n"/>
      <c r="BH260" s="87" t="n"/>
      <c r="BI260" s="86" t="n"/>
    </row>
    <row r="261" ht="36" customHeight="1" s="2456">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5"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56">
      <c r="A262">
        <f>IF(Test_Bible!B192="","F","O")</f>
        <v/>
      </c>
      <c r="B262" s="1686">
        <f>'Cpts AR +indép + Sommaire'!G40</f>
        <v/>
      </c>
      <c r="C262" s="376">
        <f>'Cpts AR +indép + Sommaire'!C40</f>
        <v/>
      </c>
      <c r="D262" s="258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88">
        <f>IF($K262=TRUE,H262,0)</f>
        <v/>
      </c>
      <c r="AH262" s="2588">
        <f>IF($R262=TRUE,H262,0)</f>
        <v/>
      </c>
      <c r="AI262" s="2588">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64" t="n"/>
      <c r="CB262" s="72" t="n"/>
      <c r="CC262" s="10" t="n"/>
      <c r="CD262" s="72" t="n"/>
      <c r="CE262" s="10" t="n"/>
      <c r="CF262" s="10" t="n"/>
      <c r="CG262" s="72" t="n"/>
      <c r="CH262" s="10" t="n"/>
      <c r="CI262" s="10" t="n"/>
      <c r="CJ262" s="72" t="n"/>
    </row>
    <row r="263" ht="19" customHeight="1" s="2456">
      <c r="B263" s="1517" t="n"/>
      <c r="C263" s="376" t="inlineStr">
        <is>
          <t>PFA</t>
        </is>
      </c>
      <c r="D263" s="258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88">
        <f>IF($K263=TRUE,H263,0)</f>
        <v/>
      </c>
      <c r="AH263" s="2588">
        <f>IF($R263=TRUE,H263,0)</f>
        <v/>
      </c>
      <c r="AI263" s="2588">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20" t="n"/>
      <c r="CC263" s="2469" t="n"/>
      <c r="CD263" s="68" t="n"/>
      <c r="CE263" s="2469" t="n"/>
      <c r="CF263" s="2469" t="n"/>
      <c r="CG263" s="2469" t="n"/>
      <c r="CH263" s="2469" t="n"/>
      <c r="CI263" s="2469" t="n"/>
      <c r="CJ263" s="2575" t="n"/>
      <c r="CK263" s="2465" t="n"/>
    </row>
    <row r="264" ht="51" customHeight="1" s="2456">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69" t="n"/>
      <c r="CF264" s="2469" t="n"/>
      <c r="CG264" s="2469" t="n"/>
      <c r="CH264" s="2469" t="n"/>
    </row>
    <row r="265" ht="48" customHeight="1" s="2456">
      <c r="A265">
        <f>IF(Test_Bible!B424="","F","O")</f>
        <v/>
      </c>
      <c r="B265" s="1517">
        <f>'Cpts AR +indép + Sommaire'!M40</f>
        <v/>
      </c>
      <c r="C265" s="38">
        <f>'Cpts AR +indép + Sommaire'!I40</f>
        <v/>
      </c>
      <c r="D265" s="258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88">
        <f>IF(K265=TRUE,H265,0)</f>
        <v/>
      </c>
      <c r="AH265" s="2588">
        <f>IF(R265=TRUE,H265,0)</f>
        <v/>
      </c>
      <c r="AI265" s="2588">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69" t="n"/>
      <c r="CF265" s="2469" t="n"/>
      <c r="CG265" s="2469" t="n"/>
      <c r="CH265" s="2469" t="n"/>
      <c r="CJ265" s="2575" t="n"/>
      <c r="CK265" s="2465" t="n"/>
    </row>
    <row r="266" ht="19" customHeight="1" s="2456">
      <c r="B266" s="1686" t="n"/>
      <c r="C266" s="38" t="inlineStr">
        <is>
          <t>NC</t>
        </is>
      </c>
      <c r="D266" s="258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88">
        <f>IF(K266=TRUE,H266,0)</f>
        <v/>
      </c>
      <c r="AH266" s="2588">
        <f>IF(R266=TRUE,H266,0)</f>
        <v/>
      </c>
      <c r="AI266" s="2588">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69" t="n"/>
      <c r="AX266" s="2469" t="n"/>
      <c r="AY266" s="728" t="n"/>
      <c r="AZ266" s="728" t="n"/>
      <c r="BA266" s="87" t="n"/>
      <c r="BB266" s="438" t="n"/>
      <c r="BC266" s="89" t="n"/>
      <c r="BD266" s="442" t="n"/>
      <c r="BE266" s="442" t="n"/>
      <c r="BF266" s="89" t="n"/>
      <c r="BG266" s="443" t="n"/>
      <c r="BH266" s="443" t="n"/>
      <c r="BI266" s="439" t="n"/>
      <c r="BN266" s="2580" t="n"/>
      <c r="BP266" s="2469" t="n"/>
      <c r="BQ266" s="2469" t="n"/>
      <c r="BR266" s="2469" t="n"/>
      <c r="BS266" s="2469" t="n"/>
      <c r="BT266" s="2469" t="n"/>
      <c r="BU266" s="2469" t="n"/>
      <c r="BV266" s="2469" t="n"/>
      <c r="BW266" s="2469" t="n"/>
      <c r="BX266" s="2469" t="n"/>
      <c r="BY266" s="2469" t="n"/>
      <c r="BZ266" s="2469" t="n"/>
      <c r="CA266" s="75" t="n"/>
      <c r="CD266" s="68" t="n"/>
      <c r="CE266" s="2469" t="n"/>
      <c r="CF266" s="2469" t="n"/>
      <c r="CG266" s="2469" t="n"/>
      <c r="CH266" s="2469" t="n"/>
      <c r="CJ266" s="2575" t="n"/>
      <c r="CK266" s="2465" t="n"/>
    </row>
    <row r="267" ht="35" customHeight="1" s="2456"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69" t="n"/>
      <c r="AX267" s="2469" t="n"/>
      <c r="AY267" s="728" t="n"/>
      <c r="AZ267" s="728" t="n"/>
      <c r="BA267" s="87" t="n"/>
      <c r="BB267" s="438" t="n"/>
      <c r="BC267" s="89" t="n"/>
      <c r="BD267" s="442" t="n"/>
      <c r="BE267" s="442" t="n"/>
      <c r="BF267" s="89" t="n"/>
      <c r="BG267" s="443" t="n"/>
      <c r="BH267" s="443" t="n"/>
      <c r="BI267" s="439" t="n"/>
      <c r="BN267" s="2580" t="n"/>
      <c r="BP267" s="2469" t="n"/>
      <c r="BQ267" s="2469" t="n"/>
      <c r="BR267" s="2469" t="n"/>
      <c r="BS267" s="2469" t="n"/>
      <c r="BT267" s="2469" t="n"/>
      <c r="BU267" s="2469" t="n"/>
      <c r="BV267" s="2469" t="n"/>
      <c r="BW267" s="2469" t="n"/>
      <c r="BX267" s="2469" t="n"/>
      <c r="BY267" s="2469" t="n"/>
      <c r="BZ267" s="2469" t="n"/>
      <c r="CA267" s="6" t="n"/>
      <c r="CB267" s="2520" t="n"/>
      <c r="CD267" s="38" t="n"/>
      <c r="CG267" s="2469" t="n"/>
      <c r="CH267" s="2469" t="n"/>
      <c r="CI267" s="2469" t="n"/>
      <c r="CJ267" s="2576" t="n"/>
      <c r="CK267" s="2465" t="n"/>
    </row>
    <row r="268" ht="35" customHeight="1" s="2456"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16">
        <f>IF(AND($K264=TRUE,$K267=FALSE),AG264,IF(AND($K264=FALSE,$K267=TRUE),AG267,IF(AND($K264=TRUE,$K267=TRUE),AG264+AG267,0)))</f>
        <v/>
      </c>
      <c r="AH268" s="2516">
        <f>IF(AND($R264=TRUE,$R267=FALSE),AH264,IF(AND($R264=FALSE,$R267=TRUE),AH267,IF(AND($R264=TRUE,$R267=TRUE),AH264+AH267,0)))</f>
        <v/>
      </c>
      <c r="AI268" s="2516">
        <f>IF(AND($U264=TRUE,$U267=FALSE),AI264,IF(AND($U264=FALSE,$U267=TRUE),AI267,IF(AND($U264=TRUE,$U267=TRUE),AI264+AI267,0)))</f>
        <v/>
      </c>
      <c r="AJ268" s="2516">
        <f>IF(AND($K264=TRUE,$K267=FALSE),AJ264,IF(AND($K264=FALSE,$K267=TRUE),AJ267,IF(AND($K264=TRUE,$K267=TRUE),AJ264+AJ267,MAX(AJ264,AJ267))))</f>
        <v/>
      </c>
      <c r="AK268" s="2516">
        <f>IF(AND($K264=TRUE,$K267=FALSE),AK264,IF(AND($K264=FALSE,$K267=TRUE),AK267,IF(AND($K264=TRUE,$K267=TRUE),AK264+AK267,MAX(AK264,AK267))))</f>
        <v/>
      </c>
      <c r="AL268" s="2516">
        <f>IF(AND($R264=TRUE,$R267=FALSE),AL264,IF(AND($R264=FALSE,$R267=TRUE),AL267,IF(AND($R264=TRUE,$R267=TRUE),AL264+AL267,MAX(AL264,AL267))))</f>
        <v/>
      </c>
      <c r="AM268" s="2516">
        <f>IF(AND($R264=TRUE,$R267=FALSE),AM264,IF(AND($R264=FALSE,$R267=TRUE),AM267,IF(AND($R264=TRUE,$R267=TRUE),AM264+AM267,MAX(AM264,AM267))))</f>
        <v/>
      </c>
      <c r="AN268" s="2516">
        <f>IF(AND($U264=TRUE,$U267=FALSE),AN264,IF(AND($U264=FALSE,$U267=TRUE),AN267,IF(AND($U264=TRUE,$U267=TRUE),AN264+AN267,MAX(AN264,AN267))))</f>
        <v/>
      </c>
      <c r="AO268" s="2516">
        <f>IF(AND($U264=TRUE,$U267=FALSE),AO264,IF(AND($U264=FALSE,$U267=TRUE),AO267,IF(AND($U264=TRUE,$U267=TRUE),AO264+AO267,MAX(AO264,AO267))))</f>
        <v/>
      </c>
      <c r="AV268" s="2469" t="n"/>
      <c r="AX268" s="2469" t="n"/>
      <c r="AY268" s="728" t="n"/>
      <c r="AZ268" s="728" t="n"/>
      <c r="BA268" s="87" t="n"/>
      <c r="BB268" s="438" t="n"/>
      <c r="BC268" s="89" t="n"/>
      <c r="BD268" s="442" t="n"/>
      <c r="BE268" s="442" t="n"/>
      <c r="BF268" s="89" t="n"/>
      <c r="BG268" s="443" t="n"/>
      <c r="BH268" s="443" t="n"/>
      <c r="BI268" s="439" t="n"/>
      <c r="BN268" s="2580" t="n"/>
      <c r="BP268" s="2469" t="n"/>
      <c r="BQ268" s="2469" t="n"/>
      <c r="BR268" s="2469" t="n"/>
      <c r="BS268" s="2469" t="n"/>
      <c r="BT268" s="2469" t="n"/>
      <c r="BU268" s="2469" t="n"/>
      <c r="BV268" s="2469" t="n"/>
      <c r="BW268" s="2469" t="n"/>
      <c r="BX268" s="2469" t="n"/>
      <c r="BY268" s="2469" t="n"/>
      <c r="BZ268" s="2469" t="n"/>
      <c r="CA268" s="6" t="n"/>
      <c r="CB268" s="2520" t="n"/>
      <c r="CD268" s="38" t="n"/>
      <c r="CG268" s="2469" t="n"/>
      <c r="CH268" s="2469" t="n"/>
      <c r="CI268" s="2469" t="n"/>
      <c r="CJ268" s="2576" t="n"/>
      <c r="CK268" s="2465" t="n"/>
    </row>
    <row r="269" ht="48" customHeight="1" s="2456">
      <c r="A269">
        <f>IF(Test_Bible!B300="","F","O")</f>
        <v/>
      </c>
      <c r="B269" s="1686">
        <f>'Cpts AR +indép + Sommaire'!S40</f>
        <v/>
      </c>
      <c r="C269" s="287">
        <f>'Cpts AR +indép + Sommaire'!O40</f>
        <v/>
      </c>
      <c r="D269" s="258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inlineStr"/>
      <c r="X269" s="814" t="n"/>
      <c r="Y269" s="813" t="n"/>
      <c r="Z269" s="814" t="n"/>
      <c r="AA269" s="813" t="n"/>
      <c r="AB269" s="814" t="n"/>
      <c r="AD269" s="10" t="n"/>
      <c r="AE269" s="10" t="n"/>
      <c r="AF269" s="10" t="n"/>
      <c r="AG269" s="2588">
        <f>IF($K269=TRUE,H269,0)</f>
        <v/>
      </c>
      <c r="AH269" s="2588">
        <f>IF($R269=TRUE,H269,0)</f>
        <v/>
      </c>
      <c r="AI269" s="2588"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69" t="n"/>
      <c r="AX269" s="2469" t="n"/>
      <c r="AY269" s="728" t="n"/>
      <c r="AZ269" s="728" t="n"/>
      <c r="BA269" s="87" t="n"/>
      <c r="BB269" s="438" t="n"/>
      <c r="BC269" s="89" t="n"/>
      <c r="BD269" s="442" t="n"/>
      <c r="BE269" s="442" t="n"/>
      <c r="BF269" s="89" t="n"/>
      <c r="BG269" s="443" t="n"/>
      <c r="BH269" s="443" t="n"/>
      <c r="BI269" s="439" t="n"/>
      <c r="BN269" s="2580" t="n"/>
      <c r="BP269" s="2469" t="n"/>
      <c r="BQ269" s="2469" t="n"/>
      <c r="BR269" s="2469" t="n"/>
      <c r="BS269" s="2469" t="n"/>
      <c r="BT269" s="2469" t="n"/>
      <c r="BU269" s="2469" t="n"/>
      <c r="BV269" s="2469" t="n"/>
      <c r="BW269" s="2469" t="n"/>
      <c r="BX269" s="2469" t="n"/>
      <c r="BY269" s="2469" t="n"/>
      <c r="BZ269" s="2469" t="n"/>
      <c r="CA269" s="6" t="n"/>
      <c r="CB269" s="2520" t="n"/>
      <c r="CD269" s="38" t="n"/>
      <c r="CG269" s="2469" t="n"/>
      <c r="CH269" s="2469" t="n"/>
      <c r="CI269" s="2469" t="n"/>
      <c r="CJ269" s="2576" t="n"/>
      <c r="CK269" s="2465" t="n"/>
    </row>
    <row r="270" ht="52" customHeight="1" s="2456" thickBot="1">
      <c r="A270">
        <f>IF(Test_Bible!B301="","F","O")</f>
        <v/>
      </c>
      <c r="B270" s="1686">
        <f>'Cpts AR +indép + Sommaire'!S41</f>
        <v/>
      </c>
      <c r="C270" s="287">
        <f>'Cpts AR +indép + Sommaire'!O41</f>
        <v/>
      </c>
      <c r="D270" s="258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88">
        <f>IF($K270=TRUE,H270,0)</f>
        <v/>
      </c>
      <c r="AH270" s="2588">
        <f>IF($R270=TRUE,H270,0)</f>
        <v/>
      </c>
      <c r="AI270" s="2588"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69" t="n"/>
      <c r="AX270" s="2469" t="n"/>
      <c r="AY270" s="728" t="n"/>
      <c r="AZ270" s="728" t="n"/>
      <c r="BA270" s="87" t="n"/>
      <c r="BB270" s="438" t="n"/>
      <c r="BC270" s="89" t="n"/>
      <c r="BD270" s="442" t="n"/>
      <c r="BE270" s="442" t="n"/>
      <c r="BF270" s="89" t="n"/>
      <c r="BG270" s="443" t="n"/>
      <c r="BH270" s="443" t="n"/>
      <c r="BI270" s="439" t="n"/>
      <c r="BN270" s="2580" t="n"/>
      <c r="BP270" s="2469" t="n"/>
      <c r="BQ270" s="2469" t="n"/>
      <c r="BR270" s="2469" t="n"/>
      <c r="BS270" s="2469" t="n"/>
      <c r="BT270" s="2469" t="n"/>
      <c r="BU270" s="2469" t="n"/>
      <c r="BV270" s="2469" t="n"/>
      <c r="BW270" s="2469" t="n"/>
      <c r="BX270" s="2469" t="n"/>
      <c r="BY270" s="2469" t="n"/>
      <c r="BZ270" s="2469" t="n"/>
      <c r="CA270" s="6" t="n"/>
      <c r="CB270" s="2520" t="n"/>
      <c r="CD270" s="38" t="n"/>
      <c r="CG270" s="2469" t="n"/>
      <c r="CH270" s="2469" t="n"/>
      <c r="CI270" s="2469" t="n"/>
      <c r="CJ270" s="2576" t="n"/>
      <c r="CK270" s="2465" t="n"/>
    </row>
    <row r="271" ht="35" customHeight="1" s="2456"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20" t="n"/>
      <c r="CD271" s="68" t="inlineStr">
        <is>
          <t>L'enfant ignore -compt A (FAUX)</t>
        </is>
      </c>
      <c r="CG271" s="2469" t="inlineStr">
        <is>
          <t>condition non-respectée (0%)</t>
        </is>
      </c>
      <c r="CJ271" s="2575" t="inlineStr">
        <is>
          <t>Accel. B</t>
        </is>
      </c>
      <c r="CK271" s="2465" t="b">
        <v>1</v>
      </c>
    </row>
    <row r="272" ht="34" customHeight="1" s="2456">
      <c r="B272" s="1686" t="n"/>
      <c r="D272" s="383" t="inlineStr">
        <is>
          <t>COMPARATIF Comportement PFA-Enf</t>
        </is>
      </c>
      <c r="E272" s="2576"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56">
      <c r="B273" s="1686" t="n"/>
      <c r="C273" t="inlineStr">
        <is>
          <t>PCR</t>
        </is>
      </c>
      <c r="I273" s="122" t="n"/>
      <c r="L273" s="2464" t="n"/>
      <c r="M273" s="2464" t="n"/>
      <c r="N273" s="2464" t="n"/>
      <c r="O273" s="1365" t="n"/>
      <c r="P273" s="122" t="n"/>
      <c r="R273" s="2567" t="n"/>
      <c r="S273" s="122" t="n"/>
      <c r="U273" s="2567" t="n"/>
      <c r="V273" s="2464" t="n"/>
      <c r="W273" s="813" t="n"/>
      <c r="X273" s="814" t="n"/>
      <c r="Y273" s="813" t="n"/>
      <c r="Z273" s="814" t="n"/>
      <c r="AA273" s="813" t="n"/>
      <c r="AB273" s="814" t="n"/>
      <c r="AD273" s="10" t="n"/>
      <c r="AE273" s="10" t="n"/>
      <c r="AF273" s="10" t="n"/>
      <c r="AG273" s="2588" t="n"/>
      <c r="AH273" s="2588" t="n"/>
      <c r="AI273" s="2588"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56">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64" t="n"/>
      <c r="W274" s="813" t="n"/>
      <c r="X274" s="814" t="n"/>
      <c r="Y274" s="813" t="n"/>
      <c r="Z274" s="814" t="n"/>
      <c r="AA274" s="813" t="n"/>
      <c r="AB274" s="814" t="n"/>
      <c r="AD274" s="10" t="n"/>
      <c r="AE274" s="10" t="n"/>
      <c r="AF274" s="10" t="n"/>
      <c r="AG274" s="2588">
        <f>IF($K274=TRUE,H274,0)</f>
        <v/>
      </c>
      <c r="AH274" s="2588">
        <f>IF($R274=TRUE,H274,0)</f>
        <v/>
      </c>
      <c r="AI274" s="2588">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56"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88">
        <f>IF($K275=TRUE,H275,0)</f>
        <v/>
      </c>
      <c r="AH275" s="2588">
        <f>IF($R275=TRUE,H275,0)</f>
        <v/>
      </c>
      <c r="AI275" s="2588">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56" thickBot="1">
      <c r="B276" s="1686" t="n"/>
      <c r="D276" s="2520" t="n"/>
      <c r="E276" s="2520"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56" thickBot="1">
      <c r="D277" s="2520" t="n"/>
      <c r="E277" s="2520" t="n"/>
      <c r="F277" s="67" t="n"/>
      <c r="G277" s="434" t="n"/>
      <c r="H277" s="434" t="n"/>
      <c r="I277" s="2465" t="n"/>
      <c r="J277" s="246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68" t="n"/>
      <c r="M278" s="2541" t="n"/>
      <c r="N278" s="2541"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2" t="inlineStr">
        <is>
          <t>AP</t>
        </is>
      </c>
      <c r="L279" s="2570" t="inlineStr">
        <is>
          <t>Dynamique d'AP</t>
        </is>
      </c>
      <c r="O279" s="2567" t="n"/>
      <c r="P279" s="2566" t="inlineStr">
        <is>
          <t>CL</t>
        </is>
      </c>
      <c r="R279" s="2567" t="n"/>
      <c r="S279" s="2571" t="inlineStr">
        <is>
          <t>CSS</t>
        </is>
      </c>
      <c r="U279" s="2567"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69" t="inlineStr">
        <is>
          <t>AP</t>
        </is>
      </c>
      <c r="AL279" s="2569" t="inlineStr">
        <is>
          <t>CL</t>
        </is>
      </c>
      <c r="AN279" s="2569" t="inlineStr">
        <is>
          <t>CSS</t>
        </is>
      </c>
      <c r="AY279" s="728" t="n"/>
      <c r="AZ279" s="728" t="n"/>
      <c r="BA279" s="87" t="n"/>
      <c r="BB279" s="438" t="n"/>
      <c r="BC279" s="89" t="n"/>
      <c r="BD279" s="442" t="n"/>
      <c r="BE279" s="442" t="n"/>
      <c r="BF279" s="89" t="n"/>
      <c r="BG279" s="443" t="n"/>
      <c r="BH279" s="443" t="n"/>
      <c r="BI279" s="439" t="n"/>
    </row>
    <row r="280" ht="36" customHeight="1" s="2456">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5"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56">
      <c r="A281">
        <f>IF(Test_Bible!B193="","F","O")</f>
        <v/>
      </c>
      <c r="B281" s="1686">
        <f>'Cpts AR +indép + Sommaire'!G43</f>
        <v/>
      </c>
      <c r="C281" s="376">
        <f>'Cpts AR +indép + Sommaire'!C43</f>
        <v/>
      </c>
      <c r="D281" s="258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88">
        <f>IF($K281=TRUE,H281,0)</f>
        <v/>
      </c>
      <c r="AH281" s="2588">
        <f>IF($R281=TRUE,H281,0)</f>
        <v/>
      </c>
      <c r="AI281" s="2588">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56">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88">
        <f>IF($K282=TRUE,H282,0)</f>
        <v/>
      </c>
      <c r="AH282" s="2588">
        <f>IF($R282=TRUE,H282,0)</f>
        <v/>
      </c>
      <c r="AI282" s="2588">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56">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56">
      <c r="A284">
        <f>IF(Test_Bible!B417="","F","O")</f>
        <v/>
      </c>
      <c r="B284" s="1517">
        <f>'Cpts AR +indép + Sommaire'!M43</f>
        <v/>
      </c>
      <c r="C284" s="38">
        <f>'Cpts AR +indép + Sommaire'!I43</f>
        <v/>
      </c>
      <c r="D284" s="258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88">
        <f>IF(K284=TRUE,H284,0)</f>
        <v/>
      </c>
      <c r="AH284" s="2588">
        <f>IF(R284=TRUE,H284,0)</f>
        <v/>
      </c>
      <c r="AI284" s="2588">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56">
      <c r="B285" s="1686" t="n"/>
      <c r="C285" s="38" t="inlineStr">
        <is>
          <t>NC</t>
        </is>
      </c>
      <c r="D285" s="258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88">
        <f>IF(K285=TRUE,H285,0)</f>
        <v/>
      </c>
      <c r="AH285" s="2588">
        <f>IF(R285=TRUE,H285,0)</f>
        <v/>
      </c>
      <c r="AI285" s="2588">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69" t="n"/>
      <c r="AX285" s="2469" t="n"/>
      <c r="AY285" s="728" t="n"/>
      <c r="AZ285" s="728" t="n"/>
      <c r="BA285" s="87" t="n"/>
      <c r="BB285" s="438" t="n"/>
      <c r="BC285" s="89" t="n"/>
      <c r="BD285" s="442" t="n"/>
      <c r="BE285" s="442" t="n"/>
      <c r="BF285" s="89" t="n"/>
      <c r="BG285" s="443" t="n"/>
      <c r="BH285" s="443" t="n"/>
      <c r="BI285" s="439" t="n"/>
      <c r="BN285" s="2580" t="n"/>
      <c r="BP285" s="2469" t="n"/>
      <c r="BQ285" s="2469" t="n"/>
      <c r="BR285" s="2469" t="n"/>
      <c r="BS285" s="2469" t="n"/>
      <c r="BT285" s="2469" t="n"/>
      <c r="BU285" s="2469" t="n"/>
      <c r="BV285" s="2469" t="n"/>
      <c r="BW285" s="2469" t="n"/>
      <c r="BX285" s="2469" t="n"/>
      <c r="BY285" s="2469" t="n"/>
      <c r="BZ285" s="2469" t="n"/>
    </row>
    <row r="286" ht="52" customHeight="1" s="2456"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69" t="n"/>
      <c r="AX286" s="2469" t="n"/>
      <c r="AY286" s="728" t="n"/>
      <c r="AZ286" s="728" t="n"/>
      <c r="BA286" s="87" t="n"/>
      <c r="BB286" s="438" t="n"/>
      <c r="BC286" s="89" t="n"/>
      <c r="BD286" s="442" t="n"/>
      <c r="BE286" s="442" t="n"/>
      <c r="BF286" s="89" t="n"/>
      <c r="BG286" s="443" t="n"/>
      <c r="BH286" s="443" t="n"/>
      <c r="BI286" s="439" t="n"/>
      <c r="BN286" s="2580" t="n"/>
      <c r="BP286" s="2469" t="n"/>
      <c r="BQ286" s="2469" t="n"/>
      <c r="BR286" s="2469" t="n"/>
      <c r="BS286" s="2469" t="n"/>
      <c r="BT286" s="2469" t="n"/>
      <c r="BU286" s="2469" t="n"/>
      <c r="BV286" s="2469" t="n"/>
      <c r="BW286" s="2469" t="n"/>
      <c r="BX286" s="2469" t="n"/>
      <c r="BY286" s="2469" t="n"/>
      <c r="BZ286" s="2469" t="n"/>
    </row>
    <row r="287" ht="52" customHeight="1" s="2456"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16">
        <f>IF(AND($K283=TRUE,$K286=FALSE),AG283,IF(AND($K283=FALSE,$K286=TRUE),AG286,IF(AND($K283=TRUE,$K286=TRUE),AG283+AG286,0)))</f>
        <v/>
      </c>
      <c r="AH287" s="2516">
        <f>IF(AND($R283=TRUE,$R286=FALSE),AH283,IF(AND($R283=FALSE,$R286=TRUE),AH286,IF(AND($R283=TRUE,$R286=TRUE),AH283+AH286,0)))</f>
        <v/>
      </c>
      <c r="AI287" s="2516">
        <f>IF(AND($U283=TRUE,$U286=FALSE),AI283,IF(AND($U283=FALSE,$U286=TRUE),AI286,IF(AND($U283=TRUE,$U286=TRUE),AI283+AI286,0)))</f>
        <v/>
      </c>
      <c r="AJ287" s="2516">
        <f>IF(AND($K283=TRUE,$K286=FALSE),AJ283,IF(AND($K283=FALSE,$K286=TRUE),AJ286,IF(AND($K283=TRUE,$K286=TRUE),AJ283+AJ286,MAX(AJ283,AJ286))))</f>
        <v/>
      </c>
      <c r="AK287" s="2516">
        <f>IF(AND($K283=TRUE,$K286=FALSE),AK283,IF(AND($K283=FALSE,$K286=TRUE),AK286,IF(AND($K283=TRUE,$K286=TRUE),AK283+AK286,MAX(AK283,AK286))))</f>
        <v/>
      </c>
      <c r="AL287" s="2516">
        <f>IF(AND($R283=TRUE,$R286=FALSE),AL283,IF(AND($R283=FALSE,$R286=TRUE),AL286,IF(AND($R283=TRUE,$R286=TRUE),AL283+AL286,MAX(AL283,AL286))))</f>
        <v/>
      </c>
      <c r="AM287" s="2516">
        <f>IF(AND($R283=TRUE,$R286=FALSE),AM283,IF(AND($R283=FALSE,$R286=TRUE),AM286,IF(AND($R283=TRUE,$R286=TRUE),AM283+AM286,MAX(AM283,AM286))))</f>
        <v/>
      </c>
      <c r="AN287" s="2516">
        <f>IF(AND($U283=TRUE,$U286=FALSE),AN283,IF(AND($U283=FALSE,$U286=TRUE),AN286,IF(AND($U283=TRUE,$U286=TRUE),AN283+AN286,MAX(AN283,AN286))))</f>
        <v/>
      </c>
      <c r="AO287" s="2516">
        <f>IF(AND($U283=TRUE,$U286=FALSE),AO283,IF(AND($U283=FALSE,$U286=TRUE),AO286,IF(AND($U283=TRUE,$U286=TRUE),AO283+AO286,MAX(AO283,AO286))))</f>
        <v/>
      </c>
      <c r="AV287" s="2469" t="n"/>
      <c r="AX287" s="2469" t="n"/>
      <c r="AY287" s="728" t="n"/>
      <c r="AZ287" s="728" t="n"/>
      <c r="BA287" s="87" t="n"/>
      <c r="BB287" s="438" t="n"/>
      <c r="BC287" s="89" t="n"/>
      <c r="BD287" s="442" t="n"/>
      <c r="BE287" s="442" t="n"/>
      <c r="BF287" s="89" t="n"/>
      <c r="BG287" s="443" t="n"/>
      <c r="BH287" s="443" t="n"/>
      <c r="BI287" s="439" t="n"/>
      <c r="BN287" s="2580" t="n"/>
      <c r="BP287" s="2469" t="n"/>
      <c r="BQ287" s="2469" t="n"/>
      <c r="BR287" s="2469" t="n"/>
      <c r="BS287" s="2469" t="n"/>
      <c r="BT287" s="2469" t="n"/>
      <c r="BU287" s="2469" t="n"/>
      <c r="BV287" s="2469" t="n"/>
      <c r="BW287" s="2469" t="n"/>
      <c r="BX287" s="2469" t="n"/>
      <c r="BY287" s="2469" t="n"/>
      <c r="BZ287" s="2469" t="n"/>
    </row>
    <row r="288" ht="48" customHeight="1" s="2456">
      <c r="A288">
        <f>IF(Test_Bible!B290="","F","O")</f>
        <v/>
      </c>
      <c r="B288" s="1686">
        <f>'Cpts AR +indép + Sommaire'!S43</f>
        <v/>
      </c>
      <c r="C288" s="287">
        <f>'Cpts AR +indép + Sommaire'!O43</f>
        <v/>
      </c>
      <c r="D288" s="258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inlineStr"/>
      <c r="X288" s="814" t="n"/>
      <c r="Y288" s="813" t="n"/>
      <c r="Z288" s="814" t="n"/>
      <c r="AA288" s="813" t="n"/>
      <c r="AB288" s="814" t="n"/>
      <c r="AD288" s="10" t="n"/>
      <c r="AE288" s="10" t="n"/>
      <c r="AF288" s="10" t="n"/>
      <c r="AG288" s="2588">
        <f>IF($K288=TRUE,H288,0)</f>
        <v/>
      </c>
      <c r="AH288" s="2588">
        <f>IF($R288=TRUE,H288,0)</f>
        <v/>
      </c>
      <c r="AI288" s="2588"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69" t="n"/>
      <c r="AX288" s="2469" t="n"/>
      <c r="AY288" s="728" t="n"/>
      <c r="AZ288" s="728" t="n"/>
      <c r="BA288" s="87" t="n"/>
      <c r="BB288" s="438" t="n"/>
      <c r="BC288" s="89" t="n"/>
      <c r="BD288" s="442" t="n"/>
      <c r="BE288" s="442" t="n"/>
      <c r="BF288" s="89" t="n"/>
      <c r="BG288" s="443" t="n"/>
      <c r="BH288" s="443" t="n"/>
      <c r="BI288" s="439" t="n"/>
      <c r="BN288" s="2580" t="n"/>
      <c r="BP288" s="2469" t="n"/>
      <c r="BQ288" s="2469" t="n"/>
      <c r="BR288" s="2469" t="n"/>
      <c r="BS288" s="2469" t="n"/>
      <c r="BT288" s="2469" t="n"/>
      <c r="BU288" s="2469" t="n"/>
      <c r="BV288" s="2469" t="n"/>
      <c r="BW288" s="2469" t="n"/>
      <c r="BX288" s="2469" t="n"/>
      <c r="BY288" s="2469" t="n"/>
      <c r="BZ288" s="2469" t="n"/>
    </row>
    <row r="289" ht="52" customHeight="1" s="2456"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88">
        <f>IF($K289=TRUE,H289,0)</f>
        <v/>
      </c>
      <c r="AH289" s="2588">
        <f>IF($R289=TRUE,H289,0)</f>
        <v/>
      </c>
      <c r="AI289" s="2588"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69" t="n"/>
      <c r="AX289" s="2469" t="n"/>
      <c r="AY289" s="728" t="n"/>
      <c r="AZ289" s="728" t="n"/>
      <c r="BA289" s="87" t="n"/>
      <c r="BB289" s="438" t="n"/>
      <c r="BC289" s="89" t="n"/>
      <c r="BD289" s="442" t="n"/>
      <c r="BE289" s="442" t="n"/>
      <c r="BF289" s="89" t="n"/>
      <c r="BG289" s="443" t="n"/>
      <c r="BH289" s="443" t="n"/>
      <c r="BI289" s="439" t="n"/>
      <c r="BN289" s="2580" t="n"/>
      <c r="BP289" s="2469" t="n"/>
      <c r="BQ289" s="2469" t="n"/>
      <c r="BR289" s="2469" t="n"/>
      <c r="BS289" s="2469" t="n"/>
      <c r="BT289" s="2469" t="n"/>
      <c r="BU289" s="2469" t="n"/>
      <c r="BV289" s="2469" t="n"/>
      <c r="BW289" s="2469" t="n"/>
      <c r="BX289" s="2469" t="n"/>
      <c r="BY289" s="2469" t="n"/>
      <c r="BZ289" s="2469" t="n"/>
    </row>
    <row r="290" ht="35" customHeight="1" s="2456"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56">
      <c r="B291" s="1686" t="n"/>
      <c r="D291" s="383" t="inlineStr">
        <is>
          <t>COMPARATIF Comportement PFA-Enf</t>
        </is>
      </c>
      <c r="E291" s="2576"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56">
      <c r="B292" s="1686" t="n"/>
      <c r="C292" t="inlineStr">
        <is>
          <t>PCR</t>
        </is>
      </c>
      <c r="I292" s="122" t="n"/>
      <c r="L292" s="2464" t="n"/>
      <c r="M292" s="2464" t="n"/>
      <c r="N292" s="2464" t="n"/>
      <c r="O292" s="1365" t="n"/>
      <c r="P292" s="122" t="n"/>
      <c r="R292" s="2567" t="n"/>
      <c r="S292" s="122" t="n"/>
      <c r="U292" s="2567" t="n"/>
      <c r="V292" s="2464" t="n"/>
      <c r="W292" s="813" t="n"/>
      <c r="X292" s="814" t="n"/>
      <c r="Y292" s="813" t="n"/>
      <c r="Z292" s="814" t="n"/>
      <c r="AA292" s="813" t="n"/>
      <c r="AB292" s="814" t="n"/>
      <c r="AD292" s="10" t="n"/>
      <c r="AE292" s="10" t="n"/>
      <c r="AF292" s="10" t="n"/>
      <c r="AG292" s="2588" t="n"/>
      <c r="AH292" s="2588" t="n"/>
      <c r="AI292" s="2588"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56">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64" t="n"/>
      <c r="W293" s="813" t="n"/>
      <c r="X293" s="814" t="n"/>
      <c r="Y293" s="813" t="n"/>
      <c r="Z293" s="814" t="n"/>
      <c r="AA293" s="813" t="n"/>
      <c r="AB293" s="814" t="n"/>
      <c r="AD293" s="10" t="n"/>
      <c r="AE293" s="10" t="n"/>
      <c r="AF293" s="10" t="n"/>
      <c r="AG293" s="2588">
        <f>IF($K293=TRUE,H293,0)</f>
        <v/>
      </c>
      <c r="AH293" s="2588">
        <f>IF($R293=TRUE,H293,0)</f>
        <v/>
      </c>
      <c r="AI293" s="2588">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56"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88">
        <f>IF($K294=TRUE,H294,0)</f>
        <v/>
      </c>
      <c r="AH294" s="2588">
        <f>IF($R294=TRUE,H294,0)</f>
        <v/>
      </c>
      <c r="AI294" s="2588">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56" thickBot="1">
      <c r="B295" s="1686" t="n"/>
      <c r="E295" s="2520"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56" thickBot="1">
      <c r="E296" s="2520" t="n"/>
      <c r="F296" s="67" t="n"/>
      <c r="G296" s="434" t="n"/>
      <c r="H296" s="434" t="n"/>
      <c r="I296" s="2465" t="n"/>
      <c r="J296" s="246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20" t="n"/>
      <c r="E297" s="2520" t="n"/>
      <c r="F297" s="67" t="n"/>
      <c r="G297" s="434" t="n"/>
      <c r="H297" s="434" t="n"/>
      <c r="I297" s="1330" t="n"/>
      <c r="J297" s="1331" t="n"/>
      <c r="K297" s="1332" t="n"/>
      <c r="L297" s="2568" t="n"/>
      <c r="M297" s="2541" t="n"/>
      <c r="N297" s="2541"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2" t="inlineStr">
        <is>
          <t>AP</t>
        </is>
      </c>
      <c r="L298" s="2570" t="inlineStr">
        <is>
          <t>Dynamique d'AP</t>
        </is>
      </c>
      <c r="O298" s="2567" t="n"/>
      <c r="P298" s="2566" t="inlineStr">
        <is>
          <t>CL</t>
        </is>
      </c>
      <c r="R298" s="2567" t="n"/>
      <c r="S298" s="2571" t="inlineStr">
        <is>
          <t>CSS</t>
        </is>
      </c>
      <c r="U298" s="2567"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69" t="inlineStr">
        <is>
          <t>AP</t>
        </is>
      </c>
      <c r="AL298" s="2569" t="inlineStr">
        <is>
          <t>CL</t>
        </is>
      </c>
      <c r="AN298" s="2569" t="inlineStr">
        <is>
          <t>CSS</t>
        </is>
      </c>
      <c r="AY298" s="728" t="n"/>
      <c r="AZ298" s="728" t="n"/>
      <c r="BA298" s="87" t="n"/>
      <c r="BB298" s="438" t="n"/>
      <c r="BC298" s="89" t="n"/>
      <c r="BD298" s="442" t="n"/>
      <c r="BE298" s="442" t="n"/>
      <c r="BF298" s="89" t="n"/>
      <c r="BG298" s="443" t="n"/>
      <c r="BH298" s="443" t="n"/>
      <c r="BI298" s="439" t="n"/>
    </row>
    <row r="299" ht="36" customHeight="1" s="2456">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5"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56">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88">
        <f>IF($K300=TRUE,H300,0)</f>
        <v/>
      </c>
      <c r="AH300" s="2588">
        <f>IF($R300=TRUE,H300,0)</f>
        <v/>
      </c>
      <c r="AI300" s="2588">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56">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88">
        <f>IF($K301=TRUE,H301,0)</f>
        <v/>
      </c>
      <c r="AH301" s="2588">
        <f>IF($R301=TRUE,H301,0)</f>
        <v/>
      </c>
      <c r="AI301" s="2588">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56">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56">
      <c r="A303">
        <f>IF(Test_Bible!B418="","F","O")</f>
        <v/>
      </c>
      <c r="B303" s="1517">
        <f>'Cpts AR +indép + Sommaire'!M43</f>
        <v/>
      </c>
      <c r="C303" s="38">
        <f>'Cpts AR +indép + Sommaire'!I46</f>
        <v/>
      </c>
      <c r="D303" s="258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88">
        <f>IF(K303=TRUE,H303,0)</f>
        <v/>
      </c>
      <c r="AH303" s="2588">
        <f>IF(R303=TRUE,H303,0)</f>
        <v/>
      </c>
      <c r="AI303" s="2588">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56">
      <c r="B304" s="1686" t="n"/>
      <c r="C304" s="38" t="inlineStr">
        <is>
          <t>NC</t>
        </is>
      </c>
      <c r="D304" s="258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88">
        <f>IF(K304=TRUE,H304,0)</f>
        <v/>
      </c>
      <c r="AH304" s="2588">
        <f>IF(R304=TRUE,H304,0)</f>
        <v/>
      </c>
      <c r="AI304" s="2588">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69" t="n"/>
      <c r="AX304" s="2469" t="n"/>
      <c r="AY304" s="728" t="n"/>
      <c r="AZ304" s="728" t="n"/>
      <c r="BA304" s="87" t="n"/>
      <c r="BB304" s="438" t="n"/>
      <c r="BC304" s="89" t="n"/>
      <c r="BD304" s="442" t="n"/>
      <c r="BE304" s="442" t="n"/>
      <c r="BF304" s="89" t="n"/>
      <c r="BG304" s="443" t="n"/>
      <c r="BH304" s="443" t="n"/>
      <c r="BI304" s="439" t="n"/>
      <c r="BN304" s="2580" t="n"/>
      <c r="BP304" s="2469" t="n"/>
      <c r="BQ304" s="2469" t="n"/>
      <c r="BR304" s="2469" t="n"/>
      <c r="BS304" s="2469" t="n"/>
      <c r="BT304" s="2469" t="n"/>
      <c r="BU304" s="2469" t="n"/>
      <c r="BV304" s="2469" t="n"/>
      <c r="BW304" s="2469" t="n"/>
      <c r="BX304" s="2469" t="n"/>
      <c r="BY304" s="2469" t="n"/>
      <c r="BZ304" s="2469" t="n"/>
    </row>
    <row r="305" ht="52" customHeight="1" s="2456"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69" t="n"/>
      <c r="AX305" s="2469" t="n"/>
      <c r="AY305" s="728" t="n"/>
      <c r="AZ305" s="728" t="n"/>
      <c r="BA305" s="87" t="n"/>
      <c r="BB305" s="438" t="n"/>
      <c r="BC305" s="89" t="n"/>
      <c r="BD305" s="442" t="n"/>
      <c r="BE305" s="442" t="n"/>
      <c r="BF305" s="89" t="n"/>
      <c r="BG305" s="443" t="n"/>
      <c r="BH305" s="443" t="n"/>
      <c r="BI305" s="439" t="n"/>
      <c r="BN305" s="2580" t="n"/>
      <c r="BP305" s="2469" t="n"/>
      <c r="BQ305" s="2469" t="n"/>
      <c r="BR305" s="2469" t="n"/>
      <c r="BS305" s="2469" t="n"/>
      <c r="BT305" s="2469" t="n"/>
      <c r="BU305" s="2469" t="n"/>
      <c r="BV305" s="2469" t="n"/>
      <c r="BW305" s="2469" t="n"/>
      <c r="BX305" s="2469" t="n"/>
      <c r="BY305" s="2469" t="n"/>
      <c r="BZ305" s="2469" t="n"/>
    </row>
    <row r="306" ht="52" customHeight="1" s="2456"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16">
        <f>IF(AND($K302=TRUE,$K305=FALSE),AG302,IF(AND($K302=FALSE,$K305=TRUE),AG305,IF(AND($K302=TRUE,$K305=TRUE),AG302+AG305,0)))</f>
        <v/>
      </c>
      <c r="AH306" s="2516">
        <f>IF(AND($R302=TRUE,$R305=FALSE),AH302,IF(AND($R302=FALSE,$R305=TRUE),AH305,IF(AND($R302=TRUE,$R305=TRUE),AH302+AH305,0)))</f>
        <v/>
      </c>
      <c r="AI306" s="2516">
        <f>IF(AND($U302=TRUE,$U305=FALSE),AI302,IF(AND($U302=FALSE,$U305=TRUE),AI305,IF(AND($U302=TRUE,$U305=TRUE),AI302+AI305,0)))</f>
        <v/>
      </c>
      <c r="AJ306" s="2516">
        <f>IF(AND($K302=TRUE,$K305=FALSE),AJ302,IF(AND($K302=FALSE,$K305=TRUE),AJ305,IF(AND($K302=TRUE,$K305=TRUE),AJ302+AJ305,MAX(AJ302,AJ305))))</f>
        <v/>
      </c>
      <c r="AK306" s="2516">
        <f>IF(AND($K302=TRUE,$K305=FALSE),AK302,IF(AND($K302=FALSE,$K305=TRUE),AK305,IF(AND($K302=TRUE,$K305=TRUE),AK302+AK305,MAX(AK302,AK305))))</f>
        <v/>
      </c>
      <c r="AL306" s="2516">
        <f>IF(AND($R302=TRUE,$R305=FALSE),AL302,IF(AND($R302=FALSE,$R305=TRUE),AL305,IF(AND($R302=TRUE,$R305=TRUE),AL302+AL305,MAX(AL302,AL305))))</f>
        <v/>
      </c>
      <c r="AM306" s="2516">
        <f>IF(AND($R302=TRUE,$R305=FALSE),AM302,IF(AND($R302=FALSE,$R305=TRUE),AM305,IF(AND($R302=TRUE,$R305=TRUE),AM302+AM305,MAX(AM302,AM305))))</f>
        <v/>
      </c>
      <c r="AN306" s="2516">
        <f>IF(AND($U302=TRUE,$U305=FALSE),AN302,IF(AND($U302=FALSE,$U305=TRUE),AN305,IF(AND($U302=TRUE,$U305=TRUE),AN302+AN305,MAX(AN302,AN305))))</f>
        <v/>
      </c>
      <c r="AO306" s="2516">
        <f>IF(AND($U302=TRUE,$U305=FALSE),AO302,IF(AND($U302=FALSE,$U305=TRUE),AO305,IF(AND($U302=TRUE,$U305=TRUE),AO302+AO305,MAX(AO302,AO305))))</f>
        <v/>
      </c>
      <c r="AV306" s="2469" t="n"/>
      <c r="AX306" s="2469" t="n"/>
      <c r="AY306" s="728" t="n"/>
      <c r="AZ306" s="728" t="n"/>
      <c r="BA306" s="87" t="n"/>
      <c r="BB306" s="438" t="n"/>
      <c r="BC306" s="89" t="n"/>
      <c r="BD306" s="442" t="n"/>
      <c r="BE306" s="442" t="n"/>
      <c r="BF306" s="89" t="n"/>
      <c r="BG306" s="443" t="n"/>
      <c r="BH306" s="443" t="n"/>
      <c r="BI306" s="439" t="n"/>
      <c r="BN306" s="2580" t="n"/>
      <c r="BP306" s="2469" t="n"/>
      <c r="BQ306" s="2469" t="n"/>
      <c r="BR306" s="2469" t="n"/>
      <c r="BS306" s="2469" t="n"/>
      <c r="BT306" s="2469" t="n"/>
      <c r="BU306" s="2469" t="n"/>
      <c r="BV306" s="2469" t="n"/>
      <c r="BW306" s="2469" t="n"/>
      <c r="BX306" s="2469" t="n"/>
      <c r="BY306" s="2469" t="n"/>
      <c r="BZ306" s="2469" t="n"/>
    </row>
    <row r="307" ht="68" customHeight="1" s="2456">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inlineStr"/>
      <c r="X307" s="814" t="n"/>
      <c r="Y307" s="813" t="n"/>
      <c r="Z307" s="814" t="n"/>
      <c r="AA307" s="813" t="n"/>
      <c r="AB307" s="814" t="n"/>
      <c r="AD307" s="10" t="n"/>
      <c r="AE307" s="10" t="n"/>
      <c r="AF307" s="10" t="n"/>
      <c r="AG307" s="2588">
        <f>IF($K307=TRUE,H307,0)</f>
        <v/>
      </c>
      <c r="AH307" s="2588">
        <f>IF($R307=TRUE,H307,0)</f>
        <v/>
      </c>
      <c r="AI307" s="2588"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69" t="n"/>
      <c r="AX307" s="2469" t="n"/>
      <c r="AY307" s="728" t="n"/>
      <c r="AZ307" s="728" t="n"/>
      <c r="BA307" s="87" t="n"/>
      <c r="BB307" s="438" t="n"/>
      <c r="BC307" s="89" t="n"/>
      <c r="BD307" s="442" t="n"/>
      <c r="BE307" s="442" t="n"/>
      <c r="BF307" s="89" t="n"/>
      <c r="BG307" s="443" t="n"/>
      <c r="BH307" s="443" t="n"/>
      <c r="BI307" s="439" t="n"/>
      <c r="BN307" s="2580" t="n"/>
      <c r="BP307" s="2469" t="n"/>
      <c r="BQ307" s="2469" t="n"/>
      <c r="BR307" s="2469" t="n"/>
      <c r="BS307" s="2469" t="n"/>
      <c r="BT307" s="2469" t="n"/>
      <c r="BU307" s="2469" t="n"/>
      <c r="BV307" s="2469" t="n"/>
      <c r="BW307" s="2469" t="n"/>
      <c r="BX307" s="2469" t="n"/>
      <c r="BY307" s="2469" t="n"/>
      <c r="BZ307" s="2469" t="n"/>
    </row>
    <row r="308" ht="49" customHeight="1" s="2456"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88">
        <f>IF($K308=TRUE,H308,0)</f>
        <v/>
      </c>
      <c r="AH308" s="2588">
        <f>IF($R308=TRUE,H308,0)</f>
        <v/>
      </c>
      <c r="AI308" s="2588"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69" t="n"/>
      <c r="AX308" s="2469" t="n"/>
      <c r="AY308" s="728" t="n"/>
      <c r="AZ308" s="728" t="n"/>
      <c r="BA308" s="87" t="n"/>
      <c r="BB308" s="438" t="n"/>
      <c r="BC308" s="89" t="n"/>
      <c r="BD308" s="442" t="n"/>
      <c r="BE308" s="442" t="n"/>
      <c r="BF308" s="89" t="n"/>
      <c r="BG308" s="443" t="n"/>
      <c r="BH308" s="443" t="n"/>
      <c r="BI308" s="439" t="n"/>
      <c r="BN308" s="2580" t="n"/>
      <c r="BP308" s="2469" t="n"/>
      <c r="BQ308" s="2469" t="n"/>
      <c r="BR308" s="2469" t="n"/>
      <c r="BS308" s="2469" t="n"/>
      <c r="BT308" s="2469" t="n"/>
      <c r="BU308" s="2469" t="n"/>
      <c r="BV308" s="2469" t="n"/>
      <c r="BW308" s="2469" t="n"/>
      <c r="BX308" s="2469" t="n"/>
      <c r="BY308" s="2469" t="n"/>
      <c r="BZ308" s="2469" t="n"/>
    </row>
    <row r="309" ht="35" customHeight="1" s="2456"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56">
      <c r="B310" s="1686" t="n"/>
      <c r="D310" s="383" t="inlineStr">
        <is>
          <t>COMPARATIF Comportement PFA-Enf</t>
        </is>
      </c>
      <c r="E310" s="2576"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56">
      <c r="B311" s="1686" t="n"/>
      <c r="C311" t="inlineStr">
        <is>
          <t>PCR</t>
        </is>
      </c>
      <c r="I311" s="122" t="n"/>
      <c r="L311" s="2464" t="n"/>
      <c r="M311" s="2464" t="n"/>
      <c r="N311" s="2464" t="n"/>
      <c r="O311" s="1365" t="n"/>
      <c r="P311" s="122" t="n"/>
      <c r="R311" s="2567" t="n"/>
      <c r="S311" s="122" t="n"/>
      <c r="U311" s="2567" t="n"/>
      <c r="V311" s="2464" t="n"/>
      <c r="W311" s="813" t="n"/>
      <c r="X311" s="814" t="n"/>
      <c r="Y311" s="813" t="n"/>
      <c r="Z311" s="814" t="n"/>
      <c r="AA311" s="813" t="n"/>
      <c r="AB311" s="814" t="n"/>
      <c r="AD311" s="10" t="n"/>
      <c r="AE311" s="10" t="n"/>
      <c r="AF311" s="10" t="n"/>
      <c r="AG311" s="2588" t="n"/>
      <c r="AH311" s="2588" t="n"/>
      <c r="AI311" s="2588"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56">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64" t="n"/>
      <c r="W312" s="813" t="n"/>
      <c r="X312" s="814" t="n"/>
      <c r="Y312" s="813" t="n"/>
      <c r="Z312" s="814" t="n"/>
      <c r="AA312" s="813" t="n"/>
      <c r="AB312" s="814" t="n"/>
      <c r="AD312" s="10" t="n"/>
      <c r="AE312" s="10" t="n"/>
      <c r="AF312" s="10" t="n"/>
      <c r="AG312" s="2588">
        <f>IF($K312=TRUE,H312,0)</f>
        <v/>
      </c>
      <c r="AH312" s="2588">
        <f>IF($R312=TRUE,H312,0)</f>
        <v/>
      </c>
      <c r="AI312" s="2588">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56"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88">
        <f>IF($K313=TRUE,H313,0)</f>
        <v/>
      </c>
      <c r="AH313" s="2588">
        <f>IF($R313=TRUE,H313,0)</f>
        <v/>
      </c>
      <c r="AI313" s="2588">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56" thickBot="1">
      <c r="B314" s="1686" t="n"/>
      <c r="D314" s="2520" t="n"/>
      <c r="E314" s="2520"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56" thickBot="1">
      <c r="D315" s="2520" t="n"/>
      <c r="E315" s="2520" t="n"/>
      <c r="F315" s="67" t="n"/>
      <c r="G315" s="434" t="n"/>
      <c r="H315" s="434" t="n"/>
      <c r="I315" s="2465" t="n"/>
      <c r="J315" s="246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20" t="n"/>
      <c r="E316" s="2520" t="n"/>
      <c r="F316" s="67" t="n"/>
      <c r="G316" s="434" t="n"/>
      <c r="H316" s="434" t="n"/>
      <c r="I316" s="1330" t="n"/>
      <c r="J316" s="1331" t="n"/>
      <c r="K316" s="1332" t="n"/>
      <c r="L316" s="2568" t="n"/>
      <c r="M316" s="2541" t="n"/>
      <c r="N316" s="2541"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2" t="inlineStr">
        <is>
          <t>AP</t>
        </is>
      </c>
      <c r="L317" s="2570" t="inlineStr">
        <is>
          <t>Dynamique d'AP</t>
        </is>
      </c>
      <c r="O317" s="2567" t="n"/>
      <c r="P317" s="2566" t="inlineStr">
        <is>
          <t>CL</t>
        </is>
      </c>
      <c r="R317" s="2567" t="n"/>
      <c r="S317" s="2571" t="inlineStr">
        <is>
          <t>CSS</t>
        </is>
      </c>
      <c r="U317" s="2567"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69" t="inlineStr">
        <is>
          <t>AP</t>
        </is>
      </c>
      <c r="AL317" s="2569" t="inlineStr">
        <is>
          <t>CL</t>
        </is>
      </c>
      <c r="AN317" s="2569" t="inlineStr">
        <is>
          <t>CSS</t>
        </is>
      </c>
      <c r="AY317" s="728" t="n"/>
      <c r="AZ317" s="728" t="n"/>
      <c r="BA317" s="87" t="n"/>
      <c r="BB317" s="438" t="n"/>
      <c r="BC317" s="89" t="n"/>
      <c r="BD317" s="442" t="n"/>
      <c r="BE317" s="442" t="n"/>
      <c r="BF317" s="89" t="n"/>
      <c r="BG317" s="443" t="n"/>
      <c r="BH317" s="443" t="n"/>
      <c r="BI317" s="439" t="n"/>
    </row>
    <row r="318" ht="36" customHeight="1" s="2456">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5"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56">
      <c r="A319">
        <f>IF(Test_Bible!B198="","F","O")</f>
        <v/>
      </c>
      <c r="B319" s="1686">
        <f>'Cpts AR +indép + Sommaire'!G49</f>
        <v/>
      </c>
      <c r="C319" s="376">
        <f>'Cpts AR +indép + Sommaire'!C49</f>
        <v/>
      </c>
      <c r="D319" s="258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88">
        <f>IF($K319=TRUE,H319,0)</f>
        <v/>
      </c>
      <c r="AH319" s="2588">
        <f>IF($R319=TRUE,H319,0)</f>
        <v/>
      </c>
      <c r="AI319" s="2588">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56">
      <c r="B320" s="1517" t="n"/>
      <c r="C320" s="376" t="inlineStr">
        <is>
          <t>PFA</t>
        </is>
      </c>
      <c r="D320" s="258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88">
        <f>IF($K320=TRUE,H320,0)</f>
        <v/>
      </c>
      <c r="AH320" s="2588">
        <f>IF($R320=TRUE,H320,0)</f>
        <v/>
      </c>
      <c r="AI320" s="2588">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56">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56">
      <c r="A322">
        <f>IF(Test_Bible!B422="","F","O")</f>
        <v/>
      </c>
      <c r="B322" s="1517">
        <f>'Cpts AR +indép + Sommaire'!M49</f>
        <v/>
      </c>
      <c r="C322" s="38">
        <f>'Cpts AR +indép + Sommaire'!I49</f>
        <v/>
      </c>
      <c r="D322" s="258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88">
        <f>IF(K322=TRUE,H322,0)</f>
        <v/>
      </c>
      <c r="AH322" s="2588">
        <f>IF(R322=TRUE,H322,0)</f>
        <v/>
      </c>
      <c r="AI322" s="2588">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56">
      <c r="B323" s="1686" t="n"/>
      <c r="C323" s="38" t="inlineStr">
        <is>
          <t>NC</t>
        </is>
      </c>
      <c r="D323" s="258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88">
        <f>IF(K323=TRUE,H323,0)</f>
        <v/>
      </c>
      <c r="AH323" s="2588">
        <f>IF(R323=TRUE,H323,0)</f>
        <v/>
      </c>
      <c r="AI323" s="2588">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69" t="n"/>
      <c r="AX323" s="2469" t="n"/>
      <c r="AY323" s="728" t="n"/>
      <c r="AZ323" s="728" t="n"/>
      <c r="BA323" s="87" t="n"/>
      <c r="BB323" s="438" t="n"/>
      <c r="BC323" s="89" t="n"/>
      <c r="BD323" s="442" t="n"/>
      <c r="BE323" s="442" t="n"/>
      <c r="BF323" s="89" t="n"/>
      <c r="BG323" s="443" t="n"/>
      <c r="BH323" s="443" t="n"/>
      <c r="BI323" s="439" t="n"/>
      <c r="BN323" s="2580" t="n"/>
      <c r="BP323" s="2469" t="n"/>
      <c r="BQ323" s="2469" t="n"/>
      <c r="BR323" s="2469" t="n"/>
      <c r="BS323" s="2469" t="n"/>
      <c r="BT323" s="2469" t="n"/>
      <c r="BU323" s="2469" t="n"/>
      <c r="BV323" s="2469" t="n"/>
      <c r="BW323" s="2469" t="n"/>
      <c r="BX323" s="2469" t="n"/>
      <c r="BY323" s="2469" t="n"/>
      <c r="BZ323" s="2469" t="n"/>
    </row>
    <row r="324" ht="52" customHeight="1" s="2456"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69" t="n"/>
      <c r="AX324" s="2469" t="n"/>
      <c r="AY324" s="728" t="n"/>
      <c r="AZ324" s="728" t="n"/>
      <c r="BA324" s="87" t="n"/>
      <c r="BB324" s="438" t="n"/>
      <c r="BC324" s="89" t="n"/>
      <c r="BD324" s="442" t="n"/>
      <c r="BE324" s="442" t="n"/>
      <c r="BF324" s="89" t="n"/>
      <c r="BG324" s="443" t="n"/>
      <c r="BH324" s="443" t="n"/>
      <c r="BI324" s="439" t="n"/>
      <c r="BN324" s="2580" t="n"/>
      <c r="BP324" s="2469" t="n"/>
      <c r="BQ324" s="2469" t="n"/>
      <c r="BR324" s="2469" t="n"/>
      <c r="BS324" s="2469" t="n"/>
      <c r="BT324" s="2469" t="n"/>
      <c r="BU324" s="2469" t="n"/>
      <c r="BV324" s="2469" t="n"/>
      <c r="BW324" s="2469" t="n"/>
      <c r="BX324" s="2469" t="n"/>
      <c r="BY324" s="2469" t="n"/>
      <c r="BZ324" s="2469" t="n"/>
    </row>
    <row r="325" ht="52" customHeight="1" s="2456"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16">
        <f>IF(AND($K321=TRUE,$K324=FALSE),AG321,IF(AND($K321=FALSE,$K324=TRUE),AG324,IF(AND($K321=TRUE,$K324=TRUE),AG321+AG324,0)))</f>
        <v/>
      </c>
      <c r="AH325" s="2516">
        <f>IF(AND($R321=TRUE,$R324=FALSE),AH321,IF(AND($R321=FALSE,$R324=TRUE),AH324,IF(AND($R321=TRUE,$R324=TRUE),AH321+AH324,0)))</f>
        <v/>
      </c>
      <c r="AI325" s="2516">
        <f>IF(AND($U321=TRUE,$U324=FALSE),AI321,IF(AND($U321=FALSE,$U324=TRUE),AI324,IF(AND($U321=TRUE,$U324=TRUE),AI321+AI324,0)))</f>
        <v/>
      </c>
      <c r="AJ325" s="2516">
        <f>IF(AND($K321=TRUE,$K324=FALSE),AJ321,IF(AND($K321=FALSE,$K324=TRUE),AJ324,IF(AND($K321=TRUE,$K324=TRUE),AJ321+AJ324,MAX(AJ321,AJ324))))</f>
        <v/>
      </c>
      <c r="AK325" s="2516">
        <f>IF(AND($K321=TRUE,$K324=FALSE),AK321,IF(AND($K321=FALSE,$K324=TRUE),AK324,IF(AND($K321=TRUE,$K324=TRUE),AK321+AK324,MAX(AK321,AK324))))</f>
        <v/>
      </c>
      <c r="AL325" s="2516">
        <f>IF(AND($R321=TRUE,$R324=FALSE),AL321,IF(AND($R321=FALSE,$R324=TRUE),AL324,IF(AND($R321=TRUE,$R324=TRUE),AL321+AL324,MAX(AL321,AL324))))</f>
        <v/>
      </c>
      <c r="AM325" s="2516">
        <f>IF(AND($R321=TRUE,$R324=FALSE),AM321,IF(AND($R321=FALSE,$R324=TRUE),AM324,IF(AND($R321=TRUE,$R324=TRUE),AM321+AM324,MAX(AM321,AM324))))</f>
        <v/>
      </c>
      <c r="AN325" s="2516">
        <f>IF(AND($U321=TRUE,$U324=FALSE),AN321,IF(AND($U321=FALSE,$U324=TRUE),AN324,IF(AND($U321=TRUE,$U324=TRUE),AN321+AN324,MAX(AN321,AN324))))</f>
        <v/>
      </c>
      <c r="AO325" s="2516">
        <f>IF(AND($U321=TRUE,$U324=FALSE),AO321,IF(AND($U321=FALSE,$U324=TRUE),AO324,IF(AND($U321=TRUE,$U324=TRUE),AO321+AO324,MAX(AO321,AO324))))</f>
        <v/>
      </c>
      <c r="AV325" s="2469" t="n"/>
      <c r="AX325" s="2469" t="n"/>
      <c r="AY325" s="728" t="n"/>
      <c r="AZ325" s="728" t="n"/>
      <c r="BA325" s="87" t="n"/>
      <c r="BB325" s="438" t="n"/>
      <c r="BC325" s="89" t="n"/>
      <c r="BD325" s="442" t="n"/>
      <c r="BE325" s="442" t="n"/>
      <c r="BF325" s="89" t="n"/>
      <c r="BG325" s="443" t="n"/>
      <c r="BH325" s="443" t="n"/>
      <c r="BI325" s="439" t="n"/>
      <c r="BN325" s="2580" t="n"/>
      <c r="BP325" s="2469" t="n"/>
      <c r="BQ325" s="2469" t="n"/>
      <c r="BR325" s="2469" t="n"/>
      <c r="BS325" s="2469" t="n"/>
      <c r="BT325" s="2469" t="n"/>
      <c r="BU325" s="2469" t="n"/>
      <c r="BV325" s="2469" t="n"/>
      <c r="BW325" s="2469" t="n"/>
      <c r="BX325" s="2469" t="n"/>
      <c r="BY325" s="2469" t="n"/>
      <c r="BZ325" s="2469" t="n"/>
    </row>
    <row r="326" ht="34" customHeight="1" s="2456">
      <c r="A326">
        <f>IF(Test_Bible!B321="","F","O")</f>
        <v/>
      </c>
      <c r="B326" s="1686">
        <f>'Cpts AR +indép + Sommaire'!S49</f>
        <v/>
      </c>
      <c r="C326" s="287">
        <f>'Cpts AR +indép + Sommaire'!O49</f>
        <v/>
      </c>
      <c r="D326" s="258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inlineStr"/>
      <c r="X326" s="814" t="n"/>
      <c r="Y326" s="813" t="n"/>
      <c r="Z326" s="814" t="n"/>
      <c r="AA326" s="813" t="n"/>
      <c r="AB326" s="814" t="n"/>
      <c r="AD326" s="10" t="n"/>
      <c r="AE326" s="10" t="n"/>
      <c r="AF326" s="10" t="n"/>
      <c r="AG326" s="2588">
        <f>IF($K326=TRUE,H326,0)</f>
        <v/>
      </c>
      <c r="AH326" s="2588">
        <f>IF($R326=TRUE,H326,0)</f>
        <v/>
      </c>
      <c r="AI326" s="2588"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69" t="n"/>
      <c r="AX326" s="2469" t="n"/>
      <c r="AY326" s="728" t="n"/>
      <c r="AZ326" s="728" t="n"/>
      <c r="BA326" s="87" t="n"/>
      <c r="BB326" s="438" t="n"/>
      <c r="BC326" s="89" t="n"/>
      <c r="BD326" s="442" t="n"/>
      <c r="BE326" s="442" t="n"/>
      <c r="BF326" s="89" t="n"/>
      <c r="BG326" s="443" t="n"/>
      <c r="BH326" s="443" t="n"/>
      <c r="BI326" s="439" t="n"/>
      <c r="BN326" s="2580" t="n"/>
      <c r="BP326" s="2469" t="n"/>
      <c r="BQ326" s="2469" t="n"/>
      <c r="BR326" s="2469" t="n"/>
      <c r="BS326" s="2469" t="n"/>
      <c r="BT326" s="2469" t="n"/>
      <c r="BU326" s="2469" t="n"/>
      <c r="BV326" s="2469" t="n"/>
      <c r="BW326" s="2469" t="n"/>
      <c r="BX326" s="2469" t="n"/>
      <c r="BY326" s="2469" t="n"/>
      <c r="BZ326" s="2469" t="n"/>
    </row>
    <row r="327" ht="20" customHeight="1" s="2456" thickBot="1">
      <c r="B327" s="1686" t="n"/>
      <c r="C327" s="287" t="inlineStr">
        <is>
          <t>Enf</t>
        </is>
      </c>
      <c r="D327" s="258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88">
        <f>IF($K327=TRUE,H327,0)</f>
        <v/>
      </c>
      <c r="AH327" s="2588">
        <f>IF($R327=TRUE,H327,0)</f>
        <v/>
      </c>
      <c r="AI327" s="2588"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69" t="n"/>
      <c r="AX327" s="2469" t="n"/>
      <c r="AY327" s="728" t="n"/>
      <c r="AZ327" s="728" t="n"/>
      <c r="BA327" s="87" t="n"/>
      <c r="BB327" s="438" t="n"/>
      <c r="BC327" s="89" t="n"/>
      <c r="BD327" s="442" t="n"/>
      <c r="BE327" s="442" t="n"/>
      <c r="BF327" s="89" t="n"/>
      <c r="BG327" s="443" t="n"/>
      <c r="BH327" s="443" t="n"/>
      <c r="BI327" s="439" t="n"/>
      <c r="BN327" s="2580" t="n"/>
      <c r="BP327" s="2469" t="n"/>
      <c r="BQ327" s="2469" t="n"/>
      <c r="BR327" s="2469" t="n"/>
      <c r="BS327" s="2469" t="n"/>
      <c r="BT327" s="2469" t="n"/>
      <c r="BU327" s="2469" t="n"/>
      <c r="BV327" s="2469" t="n"/>
      <c r="BW327" s="2469" t="n"/>
      <c r="BX327" s="2469" t="n"/>
      <c r="BY327" s="2469" t="n"/>
      <c r="BZ327" s="2469" t="n"/>
    </row>
    <row r="328" ht="35" customHeight="1" s="2456"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56">
      <c r="B329" s="1686" t="n"/>
      <c r="D329" s="383" t="inlineStr">
        <is>
          <t>COMPARATIF Comportement PFA-Enf</t>
        </is>
      </c>
      <c r="E329" s="2576"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56">
      <c r="B330" s="1686" t="n"/>
      <c r="C330" t="inlineStr">
        <is>
          <t>PCR</t>
        </is>
      </c>
      <c r="I330" s="122" t="n"/>
      <c r="L330" s="2464" t="n"/>
      <c r="M330" s="2464" t="n"/>
      <c r="N330" s="2464" t="n"/>
      <c r="O330" s="1365" t="n"/>
      <c r="P330" s="122" t="n"/>
      <c r="R330" s="2567" t="n"/>
      <c r="S330" s="122" t="n"/>
      <c r="U330" s="2567" t="n"/>
      <c r="V330" s="2464" t="n"/>
      <c r="W330" s="813" t="n"/>
      <c r="X330" s="814" t="n"/>
      <c r="Y330" s="813" t="n"/>
      <c r="Z330" s="814" t="n"/>
      <c r="AA330" s="813" t="n"/>
      <c r="AB330" s="814" t="n"/>
      <c r="AD330" s="10" t="n"/>
      <c r="AE330" s="10" t="n"/>
      <c r="AF330" s="10" t="n"/>
      <c r="AG330" s="2588" t="n"/>
      <c r="AH330" s="2588" t="n"/>
      <c r="AI330" s="2588"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56">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64" t="n"/>
      <c r="W331" s="813" t="n"/>
      <c r="X331" s="814" t="n"/>
      <c r="Y331" s="813" t="n"/>
      <c r="Z331" s="814" t="n"/>
      <c r="AA331" s="813" t="n"/>
      <c r="AB331" s="814" t="n"/>
      <c r="AD331" s="10" t="n"/>
      <c r="AE331" s="10" t="n"/>
      <c r="AF331" s="10" t="n"/>
      <c r="AG331" s="2588">
        <f>IF($K331=TRUE,H331,0)</f>
        <v/>
      </c>
      <c r="AH331" s="2588">
        <f>IF($R331=TRUE,H331,0)</f>
        <v/>
      </c>
      <c r="AI331" s="2588">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56"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88">
        <f>IF($K332=TRUE,H332,0)</f>
        <v/>
      </c>
      <c r="AH332" s="2588">
        <f>IF($R332=TRUE,H332,0)</f>
        <v/>
      </c>
      <c r="AI332" s="2588">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56" thickBot="1">
      <c r="B333" s="1686" t="n"/>
      <c r="D333" s="2520" t="n"/>
      <c r="E333" s="2520"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56" thickBot="1">
      <c r="D334" s="2520" t="n"/>
      <c r="E334" s="2520" t="n"/>
      <c r="F334" s="67" t="n"/>
      <c r="G334" s="434" t="n"/>
      <c r="H334" s="434" t="n"/>
      <c r="I334" s="1366" t="n"/>
      <c r="J334" s="1366" t="n"/>
      <c r="K334" s="801" t="n"/>
      <c r="L334" s="1367" t="n"/>
      <c r="M334" s="1368" t="n"/>
      <c r="N334" s="1368" t="n"/>
      <c r="P334" s="1366" t="n"/>
      <c r="Q334" s="1366" t="n"/>
      <c r="R334" s="801" t="n"/>
      <c r="S334" s="2465" t="n"/>
      <c r="T334" s="246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20" t="n"/>
      <c r="E335" s="2520" t="n"/>
      <c r="F335" s="67" t="n"/>
      <c r="G335" s="434" t="n"/>
      <c r="H335" s="434" t="n"/>
      <c r="I335" s="1330" t="n"/>
      <c r="J335" s="1331" t="n"/>
      <c r="K335" s="1332" t="n"/>
      <c r="L335" s="2568" t="n"/>
      <c r="M335" s="2541" t="n"/>
      <c r="N335" s="2541"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2" t="inlineStr">
        <is>
          <t>AP</t>
        </is>
      </c>
      <c r="L336" s="2570" t="inlineStr">
        <is>
          <t>Dynamique d'AP</t>
        </is>
      </c>
      <c r="O336" s="2567" t="n"/>
      <c r="P336" s="2566" t="inlineStr">
        <is>
          <t>CL</t>
        </is>
      </c>
      <c r="R336" s="2567" t="n"/>
      <c r="S336" s="2571" t="inlineStr">
        <is>
          <t>CSS</t>
        </is>
      </c>
      <c r="U336" s="2567"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69" t="inlineStr">
        <is>
          <t>AP</t>
        </is>
      </c>
      <c r="AL336" s="2569" t="inlineStr">
        <is>
          <t>CL</t>
        </is>
      </c>
      <c r="AN336" s="2569" t="inlineStr">
        <is>
          <t>CSS</t>
        </is>
      </c>
      <c r="AY336" s="728" t="n"/>
      <c r="AZ336" s="728" t="n"/>
      <c r="BA336" s="87" t="n"/>
      <c r="BB336" s="438" t="n"/>
      <c r="BC336" s="89" t="n"/>
      <c r="BD336" s="442" t="n"/>
      <c r="BE336" s="442" t="n"/>
      <c r="BF336" s="89" t="n"/>
      <c r="BG336" s="443" t="n"/>
      <c r="BH336" s="443" t="n"/>
      <c r="BI336" s="439" t="n"/>
    </row>
    <row r="337" ht="36" customHeight="1" s="2456">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5"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56">
      <c r="A338">
        <f>IF(Test_Bible!B201="","F","O")</f>
        <v/>
      </c>
      <c r="B338" s="1686">
        <f>'Cpts AR +indép + Sommaire'!G51</f>
        <v/>
      </c>
      <c r="C338" s="376">
        <f>'Cpts AR +indép + Sommaire'!C51</f>
        <v/>
      </c>
      <c r="D338" s="258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88">
        <f>IF($K338=TRUE,H338,0)</f>
        <v/>
      </c>
      <c r="AH338" s="2588">
        <f>IF($R338=TRUE,H338,0)</f>
        <v/>
      </c>
      <c r="AI338" s="2588">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56">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88">
        <f>IF($K339=TRUE,H339,0)</f>
        <v/>
      </c>
      <c r="AH339" s="2588">
        <f>IF($R339=TRUE,H339,0)</f>
        <v/>
      </c>
      <c r="AI339" s="2588">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56">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56">
      <c r="A341">
        <f>IF(Test_Bible!B420="","F","O")</f>
        <v/>
      </c>
      <c r="B341" s="1517">
        <f>'Cpts AR +indép + Sommaire'!M52</f>
        <v/>
      </c>
      <c r="C341" s="38">
        <f>'Cpts AR +indép + Sommaire'!I52</f>
        <v/>
      </c>
      <c r="D341" s="258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88">
        <f>IF(K341=TRUE,H341,0)</f>
        <v/>
      </c>
      <c r="AH341" s="2588">
        <f>IF(R341=TRUE,H341,0)</f>
        <v/>
      </c>
      <c r="AI341" s="2588">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56">
      <c r="B342" s="1686" t="n"/>
      <c r="C342" s="38" t="inlineStr">
        <is>
          <t>NC</t>
        </is>
      </c>
      <c r="D342" s="258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88">
        <f>IF(K342=TRUE,H342,0)</f>
        <v/>
      </c>
      <c r="AH342" s="2588">
        <f>IF(R342=TRUE,H342,0)</f>
        <v/>
      </c>
      <c r="AI342" s="2588">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69" t="n"/>
      <c r="AX342" s="2469" t="n"/>
      <c r="AY342" s="728" t="n"/>
      <c r="AZ342" s="728" t="n"/>
      <c r="BA342" s="87" t="n"/>
      <c r="BB342" s="438" t="n"/>
      <c r="BC342" s="89" t="n"/>
      <c r="BD342" s="442" t="n"/>
      <c r="BE342" s="442" t="n"/>
      <c r="BF342" s="89" t="n"/>
      <c r="BG342" s="443" t="n"/>
      <c r="BH342" s="443" t="n"/>
      <c r="BI342" s="439" t="n"/>
      <c r="BN342" s="2580" t="n"/>
      <c r="BP342" s="2469" t="n"/>
      <c r="BQ342" s="2469" t="n"/>
      <c r="BR342" s="2469" t="n"/>
      <c r="BS342" s="2469" t="n"/>
      <c r="BT342" s="2469" t="n"/>
      <c r="BU342" s="2469" t="n"/>
      <c r="BV342" s="2469" t="n"/>
      <c r="BW342" s="2469" t="n"/>
      <c r="BX342" s="2469" t="n"/>
      <c r="BY342" s="2469" t="n"/>
      <c r="BZ342" s="2469" t="n"/>
    </row>
    <row r="343" ht="52" customHeight="1" s="2456"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69" t="n"/>
      <c r="AX343" s="2469" t="n"/>
      <c r="AY343" s="728" t="n"/>
      <c r="AZ343" s="728" t="n"/>
      <c r="BA343" s="87" t="n"/>
      <c r="BB343" s="438" t="n"/>
      <c r="BC343" s="89" t="n"/>
      <c r="BD343" s="442" t="n"/>
      <c r="BE343" s="442" t="n"/>
      <c r="BF343" s="89" t="n"/>
      <c r="BG343" s="443" t="n"/>
      <c r="BH343" s="443" t="n"/>
      <c r="BI343" s="439" t="n"/>
      <c r="BN343" s="2580" t="n"/>
      <c r="BP343" s="2469" t="n"/>
      <c r="BQ343" s="2469" t="n"/>
      <c r="BR343" s="2469" t="n"/>
      <c r="BS343" s="2469" t="n"/>
      <c r="BT343" s="2469" t="n"/>
      <c r="BU343" s="2469" t="n"/>
      <c r="BV343" s="2469" t="n"/>
      <c r="BW343" s="2469" t="n"/>
      <c r="BX343" s="2469" t="n"/>
      <c r="BY343" s="2469" t="n"/>
      <c r="BZ343" s="2469" t="n"/>
    </row>
    <row r="344" ht="52" customHeight="1" s="2456"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16">
        <f>IF(AND($K340=TRUE,$K343=FALSE),AG340,IF(AND($K340=FALSE,$K343=TRUE),AG343,IF(AND($K340=TRUE,$K343=TRUE),AG340+AG343,0)))</f>
        <v/>
      </c>
      <c r="AH344" s="2516">
        <f>IF(AND($R340=TRUE,$R343=FALSE),AH340,IF(AND($R340=FALSE,$R343=TRUE),AH343,IF(AND($R340=TRUE,$R343=TRUE),AH340+AH343,0)))</f>
        <v/>
      </c>
      <c r="AI344" s="2516">
        <f>IF(AND($U340=TRUE,$U343=FALSE),AI340,IF(AND($U340=FALSE,$U343=TRUE),AI343,IF(AND($U340=TRUE,$U343=TRUE),AI340+AI343,0)))</f>
        <v/>
      </c>
      <c r="AJ344" s="2516">
        <f>IF(AND($K340=TRUE,$K343=FALSE),AJ340,IF(AND($K340=FALSE,$K343=TRUE),AJ343,IF(AND($K340=TRUE,$K343=TRUE),AJ340+AJ343,MAX(AJ340,AJ343))))</f>
        <v/>
      </c>
      <c r="AK344" s="2516">
        <f>IF(AND($K340=TRUE,$K343=FALSE),AK340,IF(AND($K340=FALSE,$K343=TRUE),AK343,IF(AND($K340=TRUE,$K343=TRUE),AK340+AK343,MAX(AK340,AK343))))</f>
        <v/>
      </c>
      <c r="AL344" s="2516">
        <f>IF(AND($R340=TRUE,$R343=FALSE),AL340,IF(AND($R340=FALSE,$R343=TRUE),AL343,IF(AND($R340=TRUE,$R343=TRUE),AL340+AL343,MAX(AL340,AL343))))</f>
        <v/>
      </c>
      <c r="AM344" s="2516">
        <f>IF(AND($R340=TRUE,$R343=FALSE),AM340,IF(AND($R340=FALSE,$R343=TRUE),AM343,IF(AND($R340=TRUE,$R343=TRUE),AM340+AM343,MAX(AM340,AM343))))</f>
        <v/>
      </c>
      <c r="AN344" s="2516">
        <f>IF(AND($U340=TRUE,$U343=FALSE),AN340,IF(AND($U340=FALSE,$U343=TRUE),AN343,IF(AND($U340=TRUE,$U343=TRUE),AN340+AN343,MAX(AN340,AN343))))</f>
        <v/>
      </c>
      <c r="AO344" s="2516">
        <f>IF(AND($U340=TRUE,$U343=FALSE),AO340,IF(AND($U340=FALSE,$U343=TRUE),AO343,IF(AND($U340=TRUE,$U343=TRUE),AO340+AO343,MAX(AO340,AO343))))</f>
        <v/>
      </c>
      <c r="AV344" s="2469" t="n"/>
      <c r="AX344" s="2469" t="n"/>
      <c r="AY344" s="728" t="n"/>
      <c r="AZ344" s="728" t="n"/>
      <c r="BA344" s="87" t="n"/>
      <c r="BB344" s="438" t="n"/>
      <c r="BC344" s="89" t="n"/>
      <c r="BD344" s="442" t="n"/>
      <c r="BE344" s="442" t="n"/>
      <c r="BF344" s="89" t="n"/>
      <c r="BG344" s="443" t="n"/>
      <c r="BH344" s="443" t="n"/>
      <c r="BI344" s="439" t="n"/>
      <c r="BN344" s="2580" t="n"/>
      <c r="BP344" s="2469" t="n"/>
      <c r="BQ344" s="2469" t="n"/>
      <c r="BR344" s="2469" t="n"/>
      <c r="BS344" s="2469" t="n"/>
      <c r="BT344" s="2469" t="n"/>
      <c r="BU344" s="2469" t="n"/>
      <c r="BV344" s="2469" t="n"/>
      <c r="BW344" s="2469" t="n"/>
      <c r="BX344" s="2469" t="n"/>
      <c r="BY344" s="2469" t="n"/>
      <c r="BZ344" s="2469" t="n"/>
    </row>
    <row r="345" ht="48" customHeight="1" s="2456">
      <c r="A345">
        <f>IF(Test_Bible!B299="","F","O")</f>
        <v/>
      </c>
      <c r="B345" s="1686">
        <f>'Cpts AR +indép + Sommaire'!S51</f>
        <v/>
      </c>
      <c r="C345" s="287">
        <f>'Cpts AR +indép + Sommaire'!O51</f>
        <v/>
      </c>
      <c r="D345" s="258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inlineStr"/>
      <c r="X345" s="814" t="n"/>
      <c r="Y345" s="813" t="n"/>
      <c r="Z345" s="814" t="n"/>
      <c r="AA345" s="813" t="n"/>
      <c r="AB345" s="814" t="n"/>
      <c r="AD345" s="10" t="n"/>
      <c r="AE345" s="10" t="n"/>
      <c r="AF345" s="10" t="n"/>
      <c r="AG345" s="2588">
        <f>IF($K345=TRUE,H345,0)</f>
        <v/>
      </c>
      <c r="AH345" s="2588">
        <f>IF($R345=TRUE,H345,0)</f>
        <v/>
      </c>
      <c r="AI345" s="2588"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69" t="n"/>
      <c r="AX345" s="2469" t="n"/>
      <c r="AY345" s="728" t="n"/>
      <c r="AZ345" s="728" t="n"/>
      <c r="BA345" s="87" t="n"/>
      <c r="BB345" s="438" t="n"/>
      <c r="BC345" s="89" t="n"/>
      <c r="BD345" s="442" t="n"/>
      <c r="BE345" s="442" t="n"/>
      <c r="BF345" s="89" t="n"/>
      <c r="BG345" s="443" t="n"/>
      <c r="BH345" s="443" t="n"/>
      <c r="BI345" s="439" t="n"/>
      <c r="BN345" s="2580" t="n"/>
      <c r="BP345" s="2469" t="n"/>
      <c r="BQ345" s="2469" t="n"/>
      <c r="BR345" s="2469" t="n"/>
      <c r="BS345" s="2469" t="n"/>
      <c r="BT345" s="2469" t="n"/>
      <c r="BU345" s="2469" t="n"/>
      <c r="BV345" s="2469" t="n"/>
      <c r="BW345" s="2469" t="n"/>
      <c r="BX345" s="2469" t="n"/>
      <c r="BY345" s="2469" t="n"/>
      <c r="BZ345" s="2469" t="n"/>
    </row>
    <row r="346" ht="35" customHeight="1" s="2456" thickBot="1">
      <c r="A346">
        <f>IF(Test_Bible!B329="","F","O")</f>
        <v/>
      </c>
      <c r="B346" s="1686" t="n"/>
      <c r="C346" s="287">
        <f>'Cpts AR +indép + Sommaire'!O52</f>
        <v/>
      </c>
      <c r="D346" s="258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88">
        <f>IF($K346=TRUE,H346,0)</f>
        <v/>
      </c>
      <c r="AH346" s="2588">
        <f>IF($R346=TRUE,H346,0)</f>
        <v/>
      </c>
      <c r="AI346" s="2588"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69" t="n"/>
      <c r="AX346" s="2469" t="n"/>
      <c r="AY346" s="728" t="n"/>
      <c r="AZ346" s="728" t="n"/>
      <c r="BA346" s="87" t="n"/>
      <c r="BB346" s="438" t="n"/>
      <c r="BC346" s="89" t="n"/>
      <c r="BD346" s="442" t="n"/>
      <c r="BE346" s="442" t="n"/>
      <c r="BF346" s="89" t="n"/>
      <c r="BG346" s="443" t="n"/>
      <c r="BH346" s="443" t="n"/>
      <c r="BI346" s="439" t="n"/>
      <c r="BN346" s="2580" t="n"/>
      <c r="BP346" s="2469" t="n"/>
      <c r="BQ346" s="2469" t="n"/>
      <c r="BR346" s="2469" t="n"/>
      <c r="BS346" s="2469" t="n"/>
      <c r="BT346" s="2469" t="n"/>
      <c r="BU346" s="2469" t="n"/>
      <c r="BV346" s="2469" t="n"/>
      <c r="BW346" s="2469" t="n"/>
      <c r="BX346" s="2469" t="n"/>
      <c r="BY346" s="2469" t="n"/>
      <c r="BZ346" s="2469" t="n"/>
    </row>
    <row r="347" ht="35" customHeight="1" s="2456"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56">
      <c r="B348" s="1686" t="n"/>
      <c r="D348" s="383" t="inlineStr">
        <is>
          <t>COMPARATIF Comportement PFA-Enf</t>
        </is>
      </c>
      <c r="E348" s="2576"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56">
      <c r="B349" s="1686" t="n"/>
      <c r="C349" t="inlineStr">
        <is>
          <t>PCR</t>
        </is>
      </c>
      <c r="I349" s="122" t="n"/>
      <c r="L349" s="2464" t="n"/>
      <c r="M349" s="2464" t="n"/>
      <c r="N349" s="2464" t="n"/>
      <c r="O349" s="1365" t="n"/>
      <c r="P349" s="122" t="n"/>
      <c r="R349" s="2567" t="n"/>
      <c r="S349" s="122" t="n"/>
      <c r="U349" s="2567" t="n"/>
      <c r="V349" s="2464" t="n"/>
      <c r="W349" s="813" t="n"/>
      <c r="X349" s="814" t="n"/>
      <c r="Y349" s="813" t="n"/>
      <c r="Z349" s="814" t="n"/>
      <c r="AA349" s="813" t="n"/>
      <c r="AB349" s="814" t="n"/>
      <c r="AD349" s="10" t="n"/>
      <c r="AE349" s="10" t="n"/>
      <c r="AF349" s="10" t="n"/>
      <c r="AG349" s="2588" t="n"/>
      <c r="AH349" s="2588" t="n"/>
      <c r="AI349" s="2588"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56">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64" t="n"/>
      <c r="W350" s="813" t="n"/>
      <c r="X350" s="814" t="n"/>
      <c r="Y350" s="813" t="n"/>
      <c r="Z350" s="814" t="n"/>
      <c r="AA350" s="813" t="n"/>
      <c r="AB350" s="814" t="n"/>
      <c r="AD350" s="10" t="n"/>
      <c r="AE350" s="10" t="n"/>
      <c r="AF350" s="10" t="n"/>
      <c r="AG350" s="2588">
        <f>IF($K350=TRUE,H350,0)</f>
        <v/>
      </c>
      <c r="AH350" s="2588">
        <f>IF($R350=TRUE,H350,0)</f>
        <v/>
      </c>
      <c r="AI350" s="2588">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56"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88">
        <f>IF($K351=TRUE,H351,0)</f>
        <v/>
      </c>
      <c r="AH351" s="2588">
        <f>IF($R351=TRUE,H351,0)</f>
        <v/>
      </c>
      <c r="AI351" s="2588">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56" thickBot="1">
      <c r="B352" s="1686" t="n"/>
      <c r="C352" s="2469" t="n"/>
      <c r="D352" s="2578" t="n"/>
      <c r="E352" s="2578" t="n"/>
      <c r="F352" s="67" t="n"/>
      <c r="G352" s="2520"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56" thickBot="1">
      <c r="D353" s="2520" t="n"/>
      <c r="E353" s="2520" t="n"/>
      <c r="F353" s="67" t="n"/>
      <c r="G353" s="434" t="n"/>
      <c r="H353" s="434" t="n"/>
      <c r="I353" s="2465" t="n"/>
      <c r="J353" s="246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20" t="n"/>
      <c r="E354" s="2520" t="n"/>
      <c r="F354" s="67" t="n"/>
      <c r="G354" s="434" t="n"/>
      <c r="H354" s="434" t="n"/>
      <c r="I354" s="1330" t="n"/>
      <c r="J354" s="1331" t="n"/>
      <c r="K354" s="1332" t="n"/>
      <c r="L354" s="2568" t="n"/>
      <c r="M354" s="2541" t="n"/>
      <c r="N354" s="2541"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2" t="inlineStr">
        <is>
          <t>AP</t>
        </is>
      </c>
      <c r="L355" s="2570" t="inlineStr">
        <is>
          <t>Dynamique d'AP</t>
        </is>
      </c>
      <c r="O355" s="2567" t="n"/>
      <c r="P355" s="2566" t="inlineStr">
        <is>
          <t>CL</t>
        </is>
      </c>
      <c r="R355" s="2567" t="n"/>
      <c r="S355" s="2571" t="inlineStr">
        <is>
          <t>CSS</t>
        </is>
      </c>
      <c r="U355" s="2567"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69" t="inlineStr">
        <is>
          <t>AP</t>
        </is>
      </c>
      <c r="AL355" s="2569" t="inlineStr">
        <is>
          <t>CL</t>
        </is>
      </c>
      <c r="AN355" s="2569" t="inlineStr">
        <is>
          <t>CSS</t>
        </is>
      </c>
      <c r="AY355" s="728" t="n"/>
      <c r="AZ355" s="728" t="n"/>
      <c r="BA355" s="87" t="n"/>
      <c r="BB355" s="438" t="n"/>
      <c r="BC355" s="89" t="n"/>
      <c r="BD355" s="442" t="n"/>
      <c r="BE355" s="442" t="n"/>
      <c r="BF355" s="89" t="n"/>
      <c r="BG355" s="443" t="n"/>
      <c r="BH355" s="443" t="n"/>
      <c r="BI355" s="439" t="n"/>
    </row>
    <row r="356" ht="36" customHeight="1" s="2456">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5"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56">
      <c r="A357">
        <f>IF(Test_Bible!B217="","F","O")</f>
        <v/>
      </c>
      <c r="B357" s="1686">
        <f>'Cpts AR +indép + Sommaire'!G54</f>
        <v/>
      </c>
      <c r="C357" s="376">
        <f>'Cpts AR +indép + Sommaire'!C54</f>
        <v/>
      </c>
      <c r="D357" s="258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88">
        <f>IF($K357=TRUE,H357,0)</f>
        <v/>
      </c>
      <c r="AH357" s="2588">
        <f>IF($R357=TRUE,H357,0)</f>
        <v/>
      </c>
      <c r="AI357" s="2588">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56">
      <c r="B358" s="1517" t="n"/>
      <c r="C358" s="376" t="inlineStr">
        <is>
          <t>PFA</t>
        </is>
      </c>
      <c r="D358" s="258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88">
        <f>IF($K358=TRUE,H358,0)</f>
        <v/>
      </c>
      <c r="AH358" s="2588">
        <f>IF($R358=TRUE,H358,0)</f>
        <v/>
      </c>
      <c r="AI358" s="2588">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56">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56">
      <c r="B360" s="1517" t="n"/>
      <c r="C360" s="38" t="inlineStr">
        <is>
          <t>NC</t>
        </is>
      </c>
      <c r="D360" s="258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88">
        <f>IF(K360=TRUE,H360,0)</f>
        <v/>
      </c>
      <c r="AH360" s="2588">
        <f>IF(R360=TRUE,H360,0)</f>
        <v/>
      </c>
      <c r="AI360" s="2588">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56">
      <c r="B361" s="1686" t="n"/>
      <c r="C361" s="38" t="inlineStr">
        <is>
          <t>NC</t>
        </is>
      </c>
      <c r="D361" s="258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88">
        <f>IF(K361=TRUE,H361,0)</f>
        <v/>
      </c>
      <c r="AH361" s="2588">
        <f>IF(R361=TRUE,H361,0)</f>
        <v/>
      </c>
      <c r="AI361" s="2588">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69" t="n"/>
      <c r="AX361" s="2469" t="n"/>
      <c r="AY361" s="728" t="n"/>
      <c r="AZ361" s="728" t="n"/>
      <c r="BA361" s="87" t="n"/>
      <c r="BB361" s="438" t="n"/>
      <c r="BC361" s="89" t="n"/>
      <c r="BD361" s="442" t="n"/>
      <c r="BE361" s="442" t="n"/>
      <c r="BF361" s="89" t="n"/>
      <c r="BG361" s="443" t="n"/>
      <c r="BH361" s="443" t="n"/>
      <c r="BI361" s="439" t="n"/>
      <c r="BN361" s="2580" t="n"/>
      <c r="BP361" s="2469" t="n"/>
      <c r="BQ361" s="2469" t="n"/>
      <c r="BR361" s="2469" t="n"/>
      <c r="BS361" s="2469" t="n"/>
      <c r="BT361" s="2469" t="n"/>
      <c r="BU361" s="2469" t="n"/>
      <c r="BV361" s="2469" t="n"/>
      <c r="BW361" s="2469" t="n"/>
      <c r="BX361" s="2469" t="n"/>
      <c r="BY361" s="2469" t="n"/>
      <c r="BZ361" s="2469" t="n"/>
    </row>
    <row r="362" ht="20" customHeight="1" s="2456"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69" t="n"/>
      <c r="AX362" s="2469" t="n"/>
      <c r="AY362" s="728" t="n"/>
      <c r="AZ362" s="728" t="n"/>
      <c r="BA362" s="87" t="n"/>
      <c r="BB362" s="438" t="n"/>
      <c r="BC362" s="89" t="n"/>
      <c r="BD362" s="442" t="n"/>
      <c r="BE362" s="442" t="n"/>
      <c r="BF362" s="89" t="n"/>
      <c r="BG362" s="443" t="n"/>
      <c r="BH362" s="443" t="n"/>
      <c r="BI362" s="439" t="n"/>
      <c r="BN362" s="2580" t="n"/>
      <c r="BP362" s="2469" t="n"/>
      <c r="BQ362" s="2469" t="n"/>
      <c r="BR362" s="2469" t="n"/>
      <c r="BS362" s="2469" t="n"/>
      <c r="BT362" s="2469" t="n"/>
      <c r="BU362" s="2469" t="n"/>
      <c r="BV362" s="2469" t="n"/>
      <c r="BW362" s="2469" t="n"/>
      <c r="BX362" s="2469" t="n"/>
      <c r="BY362" s="2469" t="n"/>
      <c r="BZ362" s="2469" t="n"/>
    </row>
    <row r="363" ht="35" customHeight="1" s="2456"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16">
        <f>IF(AND($K359=TRUE,$K362=FALSE),AG359,IF(AND($K359=FALSE,$K362=TRUE),AG362,IF(AND($K359=TRUE,$K362=TRUE),AG359+AG362,0)))</f>
        <v/>
      </c>
      <c r="AH363" s="2516">
        <f>IF(AND($R359=TRUE,$R362=FALSE),AH359,IF(AND($R359=FALSE,$R362=TRUE),AH362,IF(AND($R359=TRUE,$R362=TRUE),AH359+AH362,0)))</f>
        <v/>
      </c>
      <c r="AI363" s="2516">
        <f>IF(AND($U359=TRUE,$U362=FALSE),AI359,IF(AND($U359=FALSE,$U362=TRUE),AI362,IF(AND($U359=TRUE,$U362=TRUE),AI359+AI362,0)))</f>
        <v/>
      </c>
      <c r="AJ363" s="2516">
        <f>IF(AND($K359=TRUE,$K362=FALSE),AJ359,IF(AND($K359=FALSE,$K362=TRUE),AJ362,IF(AND($K359=TRUE,$K362=TRUE),AJ359+AJ362,MAX(AJ359,AJ362))))</f>
        <v/>
      </c>
      <c r="AK363" s="2516">
        <f>IF(AND($K359=TRUE,$K362=FALSE),AK359,IF(AND($K359=FALSE,$K362=TRUE),AK362,IF(AND($K359=TRUE,$K362=TRUE),AK359+AK362,MAX(AK359,AK362))))</f>
        <v/>
      </c>
      <c r="AL363" s="2516">
        <f>IF(AND($R359=TRUE,$R362=FALSE),AL359,IF(AND($R359=FALSE,$R362=TRUE),AL362,IF(AND($R359=TRUE,$R362=TRUE),AL359+AL362,MAX(AL359,AL362))))</f>
        <v/>
      </c>
      <c r="AM363" s="2516">
        <f>IF(AND($R359=TRUE,$R362=FALSE),AM359,IF(AND($R359=FALSE,$R362=TRUE),AM362,IF(AND($R359=TRUE,$R362=TRUE),AM359+AM362,MAX(AM359,AM362))))</f>
        <v/>
      </c>
      <c r="AN363" s="2516">
        <f>IF(AND($U359=TRUE,$U362=FALSE),AN359,IF(AND($U359=FALSE,$U362=TRUE),AN362,IF(AND($U359=TRUE,$U362=TRUE),AN359+AN362,MAX(AN359,AN362))))</f>
        <v/>
      </c>
      <c r="AO363" s="2516">
        <f>IF(AND($U359=TRUE,$U362=FALSE),AO359,IF(AND($U359=FALSE,$U362=TRUE),AO362,IF(AND($U359=TRUE,$U362=TRUE),AO359+AO362,MAX(AO359,AO362))))</f>
        <v/>
      </c>
      <c r="AV363" s="2469" t="n"/>
      <c r="AX363" s="2469" t="n"/>
      <c r="AY363" s="728" t="n"/>
      <c r="AZ363" s="728" t="n"/>
      <c r="BA363" s="87" t="n"/>
      <c r="BB363" s="438" t="n"/>
      <c r="BC363" s="89" t="n"/>
      <c r="BD363" s="442" t="n"/>
      <c r="BE363" s="442" t="n"/>
      <c r="BF363" s="89" t="n"/>
      <c r="BG363" s="443" t="n"/>
      <c r="BH363" s="443" t="n"/>
      <c r="BI363" s="439" t="n"/>
      <c r="BN363" s="2580" t="n"/>
      <c r="BP363" s="2469" t="n"/>
      <c r="BQ363" s="2469" t="n"/>
      <c r="BR363" s="2469" t="n"/>
      <c r="BS363" s="2469" t="n"/>
      <c r="BT363" s="2469" t="n"/>
      <c r="BU363" s="2469" t="n"/>
      <c r="BV363" s="2469" t="n"/>
      <c r="BW363" s="2469" t="n"/>
      <c r="BX363" s="2469" t="n"/>
      <c r="BY363" s="2469" t="n"/>
      <c r="BZ363" s="2469" t="n"/>
    </row>
    <row r="364" ht="51" customHeight="1" s="2456">
      <c r="A364">
        <f>IF(Test_Bible!B336="","F","O")</f>
        <v/>
      </c>
      <c r="B364" s="1686">
        <f>'Cpts AR +indép + Sommaire'!S54</f>
        <v/>
      </c>
      <c r="C364" s="287">
        <f>'Cpts AR +indép + Sommaire'!O54</f>
        <v/>
      </c>
      <c r="D364" s="258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inlineStr"/>
      <c r="X364" s="814" t="n"/>
      <c r="Y364" s="813" t="n"/>
      <c r="Z364" s="814" t="n"/>
      <c r="AA364" s="813" t="n"/>
      <c r="AB364" s="814" t="n"/>
      <c r="AD364" s="10" t="n"/>
      <c r="AE364" s="10" t="n"/>
      <c r="AF364" s="10" t="n"/>
      <c r="AG364" s="2588">
        <f>IF($K364=TRUE,H364,0)</f>
        <v/>
      </c>
      <c r="AH364" s="2588">
        <f>IF($R364=TRUE,H364,0)</f>
        <v/>
      </c>
      <c r="AI364" s="2588"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69" t="n"/>
      <c r="AX364" s="2469" t="n"/>
      <c r="AY364" s="728" t="n"/>
      <c r="AZ364" s="728" t="n"/>
      <c r="BA364" s="87" t="n"/>
      <c r="BB364" s="438" t="n"/>
      <c r="BC364" s="89" t="n"/>
      <c r="BD364" s="442" t="n"/>
      <c r="BE364" s="442" t="n"/>
      <c r="BF364" s="89" t="n"/>
      <c r="BG364" s="443" t="n"/>
      <c r="BH364" s="443" t="n"/>
      <c r="BI364" s="439" t="n"/>
      <c r="BN364" s="2580" t="n"/>
      <c r="BP364" s="2469" t="n"/>
      <c r="BQ364" s="2469" t="n"/>
      <c r="BR364" s="2469" t="n"/>
      <c r="BS364" s="2469" t="n"/>
      <c r="BT364" s="2469" t="n"/>
      <c r="BU364" s="2469" t="n"/>
      <c r="BV364" s="2469" t="n"/>
      <c r="BW364" s="2469" t="n"/>
      <c r="BX364" s="2469" t="n"/>
      <c r="BY364" s="2469" t="n"/>
      <c r="BZ364" s="2469" t="n"/>
    </row>
    <row r="365" ht="20" customHeight="1" s="2456" thickBot="1">
      <c r="B365" s="1686" t="n"/>
      <c r="C365" s="287" t="inlineStr">
        <is>
          <t>Enf</t>
        </is>
      </c>
      <c r="D365" s="258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88">
        <f>IF($K365=TRUE,H365,0)</f>
        <v/>
      </c>
      <c r="AH365" s="2588">
        <f>IF($R365=TRUE,H365,0)</f>
        <v/>
      </c>
      <c r="AI365" s="2588"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69" t="n"/>
      <c r="AX365" s="2469" t="n"/>
      <c r="AY365" s="728" t="n"/>
      <c r="AZ365" s="728" t="n"/>
      <c r="BA365" s="87" t="n"/>
      <c r="BB365" s="438" t="n"/>
      <c r="BC365" s="89" t="n"/>
      <c r="BD365" s="442" t="n"/>
      <c r="BE365" s="442" t="n"/>
      <c r="BF365" s="89" t="n"/>
      <c r="BG365" s="443" t="n"/>
      <c r="BH365" s="443" t="n"/>
      <c r="BI365" s="439" t="n"/>
      <c r="BN365" s="2580" t="n"/>
      <c r="BP365" s="2469" t="n"/>
      <c r="BQ365" s="2469" t="n"/>
      <c r="BR365" s="2469" t="n"/>
      <c r="BS365" s="2469" t="n"/>
      <c r="BT365" s="2469" t="n"/>
      <c r="BU365" s="2469" t="n"/>
      <c r="BV365" s="2469" t="n"/>
      <c r="BW365" s="2469" t="n"/>
      <c r="BX365" s="2469" t="n"/>
      <c r="BY365" s="2469" t="n"/>
      <c r="BZ365" s="2469" t="n"/>
    </row>
    <row r="366" ht="52" customHeight="1" s="2456"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56">
      <c r="B367" s="1686" t="n"/>
      <c r="D367" s="383" t="inlineStr">
        <is>
          <t>COMPARATIF Comportement PFA-Enf</t>
        </is>
      </c>
      <c r="E367" s="2576"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56">
      <c r="B368" s="1686" t="n"/>
      <c r="C368" t="inlineStr">
        <is>
          <t>PCR</t>
        </is>
      </c>
      <c r="I368" s="122" t="n"/>
      <c r="L368" s="2464" t="n"/>
      <c r="M368" s="2464" t="n"/>
      <c r="N368" s="2464" t="n"/>
      <c r="O368" s="1365" t="n"/>
      <c r="P368" s="122" t="n"/>
      <c r="R368" s="2567" t="n"/>
      <c r="S368" s="122" t="n"/>
      <c r="U368" s="2567" t="n"/>
      <c r="V368" s="2464" t="n"/>
      <c r="W368" s="813" t="n"/>
      <c r="X368" s="814" t="n"/>
      <c r="Y368" s="813" t="n"/>
      <c r="Z368" s="814" t="n"/>
      <c r="AA368" s="813" t="n"/>
      <c r="AB368" s="814" t="n"/>
      <c r="AD368" s="10" t="n"/>
      <c r="AE368" s="10" t="n"/>
      <c r="AF368" s="10" t="n"/>
      <c r="AG368" s="2588" t="n"/>
      <c r="AH368" s="2588" t="n"/>
      <c r="AI368" s="2588"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56">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64" t="n"/>
      <c r="W369" s="813" t="n"/>
      <c r="X369" s="814" t="n"/>
      <c r="Y369" s="813" t="n"/>
      <c r="Z369" s="814" t="n"/>
      <c r="AA369" s="813" t="n"/>
      <c r="AB369" s="814" t="n"/>
      <c r="AD369" s="10" t="n"/>
      <c r="AE369" s="10" t="n"/>
      <c r="AF369" s="10" t="n"/>
      <c r="AG369" s="2588">
        <f>IF($K369=TRUE,H369,0)</f>
        <v/>
      </c>
      <c r="AH369" s="2588">
        <f>IF($R369=TRUE,H369,0)</f>
        <v/>
      </c>
      <c r="AI369" s="2588">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56"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88">
        <f>IF($K370=TRUE,H370,0)</f>
        <v/>
      </c>
      <c r="AH370" s="2588">
        <f>IF($R370=TRUE,H370,0)</f>
        <v/>
      </c>
      <c r="AI370" s="2588">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56" thickBot="1">
      <c r="B371" s="1686" t="n"/>
      <c r="C371" s="2469" t="n"/>
      <c r="D371" s="2578" t="n"/>
      <c r="E371" s="2578" t="n"/>
      <c r="F371" s="67" t="n"/>
      <c r="G371" s="2520"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56" thickBot="1">
      <c r="D372" s="2520" t="n"/>
      <c r="E372" s="2520" t="n"/>
      <c r="F372" s="67" t="n"/>
      <c r="G372" s="434" t="n"/>
      <c r="H372" s="434" t="n"/>
      <c r="I372" s="2465" t="n"/>
      <c r="J372" s="246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20" t="n"/>
      <c r="E373" s="2520" t="n"/>
      <c r="F373" s="67" t="n"/>
      <c r="G373" s="434" t="n"/>
      <c r="H373" s="434" t="n"/>
      <c r="I373" s="1330" t="n"/>
      <c r="J373" s="1331" t="n"/>
      <c r="K373" s="1332" t="n"/>
      <c r="L373" s="2568" t="n"/>
      <c r="M373" s="2541" t="n"/>
      <c r="N373" s="2541"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2" t="inlineStr">
        <is>
          <t>AP</t>
        </is>
      </c>
      <c r="L374" s="2570" t="inlineStr">
        <is>
          <t>Dynamique d'AP</t>
        </is>
      </c>
      <c r="O374" s="2567" t="n"/>
      <c r="P374" s="2566" t="inlineStr">
        <is>
          <t>CL</t>
        </is>
      </c>
      <c r="R374" s="2567" t="n"/>
      <c r="S374" s="2571" t="inlineStr">
        <is>
          <t>CSS</t>
        </is>
      </c>
      <c r="U374" s="2567"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69" t="inlineStr">
        <is>
          <t>AP</t>
        </is>
      </c>
      <c r="AL374" s="2569" t="inlineStr">
        <is>
          <t>CL</t>
        </is>
      </c>
      <c r="AN374" s="2569" t="inlineStr">
        <is>
          <t>CSS</t>
        </is>
      </c>
      <c r="AY374" s="728" t="n"/>
      <c r="AZ374" s="728" t="n"/>
      <c r="BA374" s="87" t="n"/>
      <c r="BB374" s="438" t="n"/>
      <c r="BC374" s="89" t="n"/>
      <c r="BD374" s="442" t="n"/>
      <c r="BE374" s="442" t="n"/>
      <c r="BF374" s="89" t="n"/>
      <c r="BG374" s="443" t="n"/>
      <c r="BH374" s="443" t="n"/>
      <c r="BI374" s="439" t="n"/>
    </row>
    <row r="375" ht="36" customHeight="1" s="2456">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5"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56">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88">
        <f>IF($K376=TRUE,H376,0)</f>
        <v/>
      </c>
      <c r="AH376" s="2588">
        <f>IF($R376=TRUE,H376,0)</f>
        <v/>
      </c>
      <c r="AI376" s="2588">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56">
      <c r="B377" s="1517" t="n"/>
      <c r="C377" s="376" t="inlineStr">
        <is>
          <t>PFA</t>
        </is>
      </c>
      <c r="D377" s="258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88">
        <f>IF($K377=TRUE,H377,0)</f>
        <v/>
      </c>
      <c r="AH377" s="2588">
        <f>IF($R377=TRUE,H377,0)</f>
        <v/>
      </c>
      <c r="AI377" s="2588">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56">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56">
      <c r="B379" s="1517" t="n"/>
      <c r="C379" s="38" t="inlineStr">
        <is>
          <t>NC</t>
        </is>
      </c>
      <c r="D379" s="258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88">
        <f>IF(K379=TRUE,H379,0)</f>
        <v/>
      </c>
      <c r="AH379" s="2588">
        <f>IF(R379=TRUE,H379,0)</f>
        <v/>
      </c>
      <c r="AI379" s="2588">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56">
      <c r="B380" s="1686" t="n"/>
      <c r="C380" s="38" t="inlineStr">
        <is>
          <t>NC</t>
        </is>
      </c>
      <c r="D380" s="258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88">
        <f>IF(K380=TRUE,H380,0)</f>
        <v/>
      </c>
      <c r="AH380" s="2588">
        <f>IF(R380=TRUE,H380,0)</f>
        <v/>
      </c>
      <c r="AI380" s="2588">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69" t="n"/>
      <c r="AX380" s="2469" t="n"/>
      <c r="AY380" s="728" t="n"/>
      <c r="AZ380" s="728" t="n"/>
      <c r="BA380" s="87" t="n"/>
      <c r="BB380" s="438" t="n"/>
      <c r="BC380" s="89" t="n"/>
      <c r="BD380" s="442" t="n"/>
      <c r="BE380" s="442" t="n"/>
      <c r="BF380" s="89" t="n"/>
      <c r="BG380" s="443" t="n"/>
      <c r="BH380" s="443" t="n"/>
      <c r="BI380" s="439" t="n"/>
      <c r="BN380" s="2580" t="n"/>
      <c r="BP380" s="2469" t="n"/>
      <c r="BQ380" s="2469" t="n"/>
      <c r="BR380" s="2469" t="n"/>
      <c r="BS380" s="2469" t="n"/>
      <c r="BT380" s="2469" t="n"/>
      <c r="BU380" s="2469" t="n"/>
      <c r="BV380" s="2469" t="n"/>
      <c r="BW380" s="2469" t="n"/>
      <c r="BX380" s="2469" t="n"/>
      <c r="BY380" s="2469" t="n"/>
      <c r="BZ380" s="2469" t="n"/>
    </row>
    <row r="381" ht="20" customHeight="1" s="2456"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69" t="n"/>
      <c r="AX381" s="2469" t="n"/>
      <c r="AY381" s="728" t="n"/>
      <c r="AZ381" s="728" t="n"/>
      <c r="BA381" s="87" t="n"/>
      <c r="BB381" s="438" t="n"/>
      <c r="BC381" s="89" t="n"/>
      <c r="BD381" s="442" t="n"/>
      <c r="BE381" s="442" t="n"/>
      <c r="BF381" s="89" t="n"/>
      <c r="BG381" s="443" t="n"/>
      <c r="BH381" s="443" t="n"/>
      <c r="BI381" s="439" t="n"/>
      <c r="BN381" s="2580" t="n"/>
      <c r="BP381" s="2469" t="n"/>
      <c r="BQ381" s="2469" t="n"/>
      <c r="BR381" s="2469" t="n"/>
      <c r="BS381" s="2469" t="n"/>
      <c r="BT381" s="2469" t="n"/>
      <c r="BU381" s="2469" t="n"/>
      <c r="BV381" s="2469" t="n"/>
      <c r="BW381" s="2469" t="n"/>
      <c r="BX381" s="2469" t="n"/>
      <c r="BY381" s="2469" t="n"/>
      <c r="BZ381" s="2469" t="n"/>
    </row>
    <row r="382" ht="35" customHeight="1" s="2456"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16">
        <f>IF(AND($K378=TRUE,$K381=FALSE),AG378,IF(AND($K378=FALSE,$K381=TRUE),AG381,IF(AND($K378=TRUE,$K381=TRUE),AG378+AG381,0)))</f>
        <v/>
      </c>
      <c r="AH382" s="2516">
        <f>IF(AND($R378=TRUE,$R381=FALSE),AH378,IF(AND($R378=FALSE,$R381=TRUE),AH381,IF(AND($R378=TRUE,$R381=TRUE),AH378+AH381,0)))</f>
        <v/>
      </c>
      <c r="AI382" s="2516">
        <f>IF(AND($U378=TRUE,$U381=FALSE),AI378,IF(AND($U378=FALSE,$U381=TRUE),AI381,IF(AND($U378=TRUE,$U381=TRUE),AI378+AI381,0)))</f>
        <v/>
      </c>
      <c r="AJ382" s="2516">
        <f>IF(AND($K378=TRUE,$K381=FALSE),AJ378,IF(AND($K378=FALSE,$K381=TRUE),AJ381,IF(AND($K378=TRUE,$K381=TRUE),AJ378+AJ381,MAX(AJ378,AJ381))))</f>
        <v/>
      </c>
      <c r="AK382" s="2516">
        <f>IF(AND($K378=TRUE,$K381=FALSE),AK378,IF(AND($K378=FALSE,$K381=TRUE),AK381,IF(AND($K378=TRUE,$K381=TRUE),AK378+AK381,MAX(AK378,AK381))))</f>
        <v/>
      </c>
      <c r="AL382" s="2516">
        <f>IF(AND($R378=TRUE,$R381=FALSE),AL378,IF(AND($R378=FALSE,$R381=TRUE),AL381,IF(AND($R378=TRUE,$R381=TRUE),AL378+AL381,MAX(AL378,AL381))))</f>
        <v/>
      </c>
      <c r="AM382" s="2516">
        <f>IF(AND($R378=TRUE,$R381=FALSE),AM378,IF(AND($R378=FALSE,$R381=TRUE),AM381,IF(AND($R378=TRUE,$R381=TRUE),AM378+AM381,MAX(AM378,AM381))))</f>
        <v/>
      </c>
      <c r="AN382" s="2516">
        <f>IF(AND($U378=TRUE,$U381=FALSE),AN378,IF(AND($U378=FALSE,$U381=TRUE),AN381,IF(AND($U378=TRUE,$U381=TRUE),AN378+AN381,MAX(AN378,AN381))))</f>
        <v/>
      </c>
      <c r="AO382" s="2516">
        <f>IF(AND($U378=TRUE,$U381=FALSE),AO378,IF(AND($U378=FALSE,$U381=TRUE),AO381,IF(AND($U378=TRUE,$U381=TRUE),AO378+AO381,MAX(AO378,AO381))))</f>
        <v/>
      </c>
      <c r="AV382" s="2469" t="n"/>
      <c r="AX382" s="2469" t="n"/>
      <c r="AY382" s="728" t="n"/>
      <c r="AZ382" s="728" t="n"/>
      <c r="BA382" s="87" t="n"/>
      <c r="BB382" s="438" t="n"/>
      <c r="BC382" s="89" t="n"/>
      <c r="BD382" s="442" t="n"/>
      <c r="BE382" s="442" t="n"/>
      <c r="BF382" s="89" t="n"/>
      <c r="BG382" s="443" t="n"/>
      <c r="BH382" s="443" t="n"/>
      <c r="BI382" s="439" t="n"/>
      <c r="BN382" s="2580" t="n"/>
      <c r="BP382" s="2469" t="n"/>
      <c r="BQ382" s="2469" t="n"/>
      <c r="BR382" s="2469" t="n"/>
      <c r="BS382" s="2469" t="n"/>
      <c r="BT382" s="2469" t="n"/>
      <c r="BU382" s="2469" t="n"/>
      <c r="BV382" s="2469" t="n"/>
      <c r="BW382" s="2469" t="n"/>
      <c r="BX382" s="2469" t="n"/>
      <c r="BY382" s="2469" t="n"/>
      <c r="BZ382" s="2469" t="n"/>
    </row>
    <row r="383" ht="51" customHeight="1" s="2456">
      <c r="A383">
        <f>IF(Test_Bible!B304="","F","O")</f>
        <v/>
      </c>
      <c r="B383" s="1686">
        <f>'Cpts AR +indép + Sommaire'!S56</f>
        <v/>
      </c>
      <c r="C383" s="287">
        <f>'Cpts AR +indép + Sommaire'!O56</f>
        <v/>
      </c>
      <c r="D383" s="258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inlineStr"/>
      <c r="X383" s="814" t="n"/>
      <c r="Y383" s="813" t="n"/>
      <c r="Z383" s="814" t="n"/>
      <c r="AA383" s="813" t="n"/>
      <c r="AB383" s="814" t="n"/>
      <c r="AD383" s="10" t="n"/>
      <c r="AE383" s="10" t="n"/>
      <c r="AF383" s="10" t="n"/>
      <c r="AG383" s="2588">
        <f>IF($K383=TRUE,H383,0)</f>
        <v/>
      </c>
      <c r="AH383" s="2588">
        <f>IF($R383=TRUE,H383,0)</f>
        <v/>
      </c>
      <c r="AI383" s="2588"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69" t="n"/>
      <c r="AX383" s="2469" t="n"/>
      <c r="AY383" s="728" t="n"/>
      <c r="AZ383" s="728" t="n"/>
      <c r="BA383" s="87" t="n"/>
      <c r="BB383" s="438" t="n"/>
      <c r="BC383" s="89" t="n"/>
      <c r="BD383" s="442" t="n"/>
      <c r="BE383" s="442" t="n"/>
      <c r="BF383" s="89" t="n"/>
      <c r="BG383" s="443" t="n"/>
      <c r="BH383" s="443" t="n"/>
      <c r="BI383" s="439" t="n"/>
      <c r="BN383" s="2580" t="n"/>
      <c r="BP383" s="2469" t="n"/>
      <c r="BQ383" s="2469" t="n"/>
      <c r="BR383" s="2469" t="n"/>
      <c r="BS383" s="2469" t="n"/>
      <c r="BT383" s="2469" t="n"/>
      <c r="BU383" s="2469" t="n"/>
      <c r="BV383" s="2469" t="n"/>
      <c r="BW383" s="2469" t="n"/>
      <c r="BX383" s="2469" t="n"/>
      <c r="BY383" s="2469" t="n"/>
      <c r="BZ383" s="2469" t="n"/>
    </row>
    <row r="384" ht="20" customHeight="1" s="2456" thickBot="1">
      <c r="B384" s="1686" t="n"/>
      <c r="C384" s="287" t="inlineStr">
        <is>
          <t>Enf</t>
        </is>
      </c>
      <c r="D384" s="258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88">
        <f>IF($K384=TRUE,H384,0)</f>
        <v/>
      </c>
      <c r="AH384" s="2588">
        <f>IF($R384=TRUE,H384,0)</f>
        <v/>
      </c>
      <c r="AI384" s="2588"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69" t="n"/>
      <c r="AX384" s="2469" t="n"/>
      <c r="AY384" s="728" t="n"/>
      <c r="AZ384" s="728" t="n"/>
      <c r="BA384" s="87" t="n"/>
      <c r="BB384" s="438" t="n"/>
      <c r="BC384" s="89" t="n"/>
      <c r="BD384" s="442" t="n"/>
      <c r="BE384" s="442" t="n"/>
      <c r="BF384" s="89" t="n"/>
      <c r="BG384" s="443" t="n"/>
      <c r="BH384" s="443" t="n"/>
      <c r="BI384" s="439" t="n"/>
      <c r="BN384" s="2580" t="n"/>
      <c r="BP384" s="2469" t="n"/>
      <c r="BQ384" s="2469" t="n"/>
      <c r="BR384" s="2469" t="n"/>
      <c r="BS384" s="2469" t="n"/>
      <c r="BT384" s="2469" t="n"/>
      <c r="BU384" s="2469" t="n"/>
      <c r="BV384" s="2469" t="n"/>
      <c r="BW384" s="2469" t="n"/>
      <c r="BX384" s="2469" t="n"/>
      <c r="BY384" s="2469" t="n"/>
      <c r="BZ384" s="2469" t="n"/>
    </row>
    <row r="385" ht="52" customHeight="1" s="2456"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69" t="n"/>
      <c r="AX385" s="2469" t="n"/>
      <c r="AY385" s="728" t="n"/>
      <c r="AZ385" s="728" t="n"/>
      <c r="BA385" s="87" t="n"/>
      <c r="BB385" s="438" t="n"/>
      <c r="BC385" s="89" t="n"/>
      <c r="BD385" s="442" t="n"/>
      <c r="BE385" s="442" t="n"/>
      <c r="BF385" s="89" t="n"/>
      <c r="BG385" s="443" t="n"/>
      <c r="BH385" s="443" t="n"/>
      <c r="BI385" s="439" t="n"/>
      <c r="BN385" s="2580" t="n"/>
      <c r="BP385" s="2469" t="n"/>
      <c r="BQ385" s="2469" t="n"/>
      <c r="BR385" s="2469" t="n"/>
      <c r="BS385" s="2469" t="n"/>
      <c r="BT385" s="2469" t="n"/>
      <c r="BU385" s="2469" t="n"/>
      <c r="BV385" s="2469" t="n"/>
      <c r="BW385" s="2469" t="n"/>
      <c r="BX385" s="2469" t="n"/>
      <c r="BY385" s="2469" t="n"/>
      <c r="BZ385" s="2469" t="n"/>
    </row>
    <row r="386" ht="34" customHeight="1" s="2456">
      <c r="B386" s="1686" t="n"/>
      <c r="D386" s="383" t="inlineStr">
        <is>
          <t>COMPARATIF Comportement PFA-Enf</t>
        </is>
      </c>
      <c r="E386" s="2576"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56">
      <c r="B387" s="1686" t="n"/>
      <c r="C387" t="inlineStr">
        <is>
          <t>PCR</t>
        </is>
      </c>
      <c r="I387" s="122" t="n"/>
      <c r="L387" s="2464" t="n"/>
      <c r="M387" s="2464" t="n"/>
      <c r="N387" s="2464" t="n"/>
      <c r="O387" s="1365" t="n"/>
      <c r="P387" s="122" t="n"/>
      <c r="R387" s="2567" t="n"/>
      <c r="S387" s="122" t="n"/>
      <c r="U387" s="2567" t="n"/>
      <c r="V387" s="2464" t="n"/>
      <c r="W387" s="813" t="n"/>
      <c r="X387" s="814" t="n"/>
      <c r="Y387" s="813" t="n"/>
      <c r="Z387" s="814" t="n"/>
      <c r="AA387" s="813" t="n"/>
      <c r="AB387" s="814" t="n"/>
      <c r="AD387" s="10" t="n"/>
      <c r="AE387" s="10" t="n"/>
      <c r="AF387" s="10" t="n"/>
      <c r="AG387" s="2588" t="n"/>
      <c r="AH387" s="2588" t="n"/>
      <c r="AI387" s="2588"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56">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64" t="n"/>
      <c r="W388" s="813" t="n"/>
      <c r="X388" s="814" t="n"/>
      <c r="Y388" s="813" t="n"/>
      <c r="Z388" s="814" t="n"/>
      <c r="AA388" s="813" t="n"/>
      <c r="AB388" s="814" t="n"/>
      <c r="AD388" s="10" t="n"/>
      <c r="AE388" s="10" t="n"/>
      <c r="AF388" s="10" t="n"/>
      <c r="AG388" s="2588">
        <f>IF($K388=TRUE,H388,0)</f>
        <v/>
      </c>
      <c r="AH388" s="2588">
        <f>IF($R388=TRUE,H388,0)</f>
        <v/>
      </c>
      <c r="AI388" s="2588">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56"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88">
        <f>IF($K389=TRUE,H389,0)</f>
        <v/>
      </c>
      <c r="AH389" s="2588">
        <f>IF($R389=TRUE,H389,0)</f>
        <v/>
      </c>
      <c r="AI389" s="2588">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56" thickBot="1">
      <c r="B390" s="1686" t="n"/>
      <c r="C390" s="2469" t="n"/>
      <c r="D390" s="2578" t="n"/>
      <c r="E390" s="2578" t="n"/>
      <c r="F390" s="67" t="n"/>
      <c r="G390" s="2520"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56" thickBot="1">
      <c r="D391" s="2520" t="n"/>
      <c r="E391" s="2520" t="n"/>
      <c r="F391" s="67" t="n"/>
      <c r="G391" s="434" t="n"/>
      <c r="H391" s="434" t="n"/>
      <c r="I391" s="2465" t="n"/>
      <c r="J391" s="246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20" t="n"/>
      <c r="E392" s="2520" t="n"/>
      <c r="F392" s="67" t="n"/>
      <c r="G392" s="434" t="n"/>
      <c r="H392" s="434" t="n"/>
      <c r="I392" s="1330" t="n"/>
      <c r="J392" s="1331" t="n"/>
      <c r="K392" s="1332" t="n"/>
      <c r="L392" s="2568" t="n"/>
      <c r="M392" s="2541" t="n"/>
      <c r="N392" s="2541"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2" t="inlineStr">
        <is>
          <t>AP</t>
        </is>
      </c>
      <c r="L393" s="2570" t="inlineStr">
        <is>
          <t>Dynamique d'AP</t>
        </is>
      </c>
      <c r="O393" s="2567" t="n"/>
      <c r="P393" s="2566" t="inlineStr">
        <is>
          <t>CL</t>
        </is>
      </c>
      <c r="R393" s="2567" t="n"/>
      <c r="S393" s="2571" t="inlineStr">
        <is>
          <t>CSS</t>
        </is>
      </c>
      <c r="U393" s="2567"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69" t="inlineStr">
        <is>
          <t>AP</t>
        </is>
      </c>
      <c r="AL393" s="2569" t="inlineStr">
        <is>
          <t>CL</t>
        </is>
      </c>
      <c r="AN393" s="2569" t="inlineStr">
        <is>
          <t>CSS</t>
        </is>
      </c>
      <c r="AY393" s="728" t="n"/>
      <c r="AZ393" s="728" t="n"/>
      <c r="BA393" s="87" t="n"/>
      <c r="BB393" s="438" t="n"/>
      <c r="BC393" s="89" t="n"/>
      <c r="BD393" s="442" t="n"/>
      <c r="BE393" s="442" t="n"/>
      <c r="BF393" s="89" t="n"/>
      <c r="BG393" s="443" t="n"/>
      <c r="BH393" s="443" t="n"/>
      <c r="BI393" s="439" t="n"/>
    </row>
    <row r="394" ht="36" customHeight="1" s="2456">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5"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56">
      <c r="A395">
        <f>IF(Test_Bible!B246="","F","O")</f>
        <v/>
      </c>
      <c r="B395" s="1686">
        <f>'Cpts AR +indép + Sommaire'!G59</f>
        <v/>
      </c>
      <c r="C395" s="376">
        <f>'Cpts AR +indép + Sommaire'!C59</f>
        <v/>
      </c>
      <c r="D395" s="258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88">
        <f>IF($K395=TRUE,H395,0)</f>
        <v/>
      </c>
      <c r="AH395" s="2588">
        <f>IF($R395=TRUE,H395,0)</f>
        <v/>
      </c>
      <c r="AI395" s="2588">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56">
      <c r="B396" s="1517" t="n"/>
      <c r="C396" s="376" t="inlineStr">
        <is>
          <t>PFA</t>
        </is>
      </c>
      <c r="D396" s="258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88">
        <f>IF($K396=TRUE,H396,0)</f>
        <v/>
      </c>
      <c r="AH396" s="2588">
        <f>IF($R396=TRUE,H396,0)</f>
        <v/>
      </c>
      <c r="AI396" s="2588">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56">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56">
      <c r="B398" s="1517" t="n"/>
      <c r="C398" s="38" t="inlineStr">
        <is>
          <t>NC</t>
        </is>
      </c>
      <c r="D398" s="258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88">
        <f>IF(K398=TRUE,H398,0)</f>
        <v/>
      </c>
      <c r="AH398" s="2588">
        <f>IF(R398=TRUE,H398,0)</f>
        <v/>
      </c>
      <c r="AI398" s="2588">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56">
      <c r="B399" s="1686" t="n"/>
      <c r="C399" s="38" t="inlineStr">
        <is>
          <t>NC</t>
        </is>
      </c>
      <c r="D399" s="258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88">
        <f>IF(K399=TRUE,H399,0)</f>
        <v/>
      </c>
      <c r="AH399" s="2588">
        <f>IF(R399=TRUE,H399,0)</f>
        <v/>
      </c>
      <c r="AI399" s="2588">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56"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56"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16">
        <f>IF(AND($K397=TRUE,$K400=FALSE),AG397,IF(AND($K397=FALSE,$K400=TRUE),AG400,IF(AND($K397=TRUE,$K400=TRUE),AG397+AG400,0)))</f>
        <v/>
      </c>
      <c r="AH401" s="2516">
        <f>IF(AND($R397=TRUE,$R400=FALSE),AH397,IF(AND($R397=FALSE,$R400=TRUE),AH400,IF(AND($R397=TRUE,$R400=TRUE),AH397+AH400,0)))</f>
        <v/>
      </c>
      <c r="AI401" s="2516">
        <f>IF(AND($U397=TRUE,$U400=FALSE),AI397,IF(AND($U397=FALSE,$U400=TRUE),AI400,IF(AND($U397=TRUE,$U400=TRUE),AI397+AI400,0)))</f>
        <v/>
      </c>
      <c r="AJ401" s="2516">
        <f>IF(AND($K397=TRUE,$K400=FALSE),AJ397,IF(AND($K397=FALSE,$K400=TRUE),AJ400,IF(AND($K397=TRUE,$K400=TRUE),AJ397+AJ400,MAX(AJ397,AJ400))))</f>
        <v/>
      </c>
      <c r="AK401" s="2516">
        <f>IF(AND($K397=TRUE,$K400=FALSE),AK397,IF(AND($K397=FALSE,$K400=TRUE),AK400,IF(AND($K397=TRUE,$K400=TRUE),AK397+AK400,MAX(AK397,AK400))))</f>
        <v/>
      </c>
      <c r="AL401" s="2516">
        <f>IF(AND($R397=TRUE,$R400=FALSE),AL397,IF(AND($R397=FALSE,$R400=TRUE),AL400,IF(AND($R397=TRUE,$R400=TRUE),AL397+AL400,MAX(AL397,AL400))))</f>
        <v/>
      </c>
      <c r="AM401" s="2516">
        <f>IF(AND($R397=TRUE,$R400=FALSE),AM397,IF(AND($R397=FALSE,$R400=TRUE),AM400,IF(AND($R397=TRUE,$R400=TRUE),AM397+AM400,MAX(AM397,AM400))))</f>
        <v/>
      </c>
      <c r="AN401" s="2516">
        <f>IF(AND($U397=TRUE,$U400=FALSE),AN397,IF(AND($U397=FALSE,$U400=TRUE),AN400,IF(AND($U397=TRUE,$U400=TRUE),AN397+AN400,MAX(AN397,AN400))))</f>
        <v/>
      </c>
      <c r="AO401" s="2516">
        <f>IF(AND($U397=TRUE,$U400=FALSE),AO397,IF(AND($U397=FALSE,$U400=TRUE),AO400,IF(AND($U397=TRUE,$U400=TRUE),AO397+AO400,MAX(AO397,AO400))))</f>
        <v/>
      </c>
      <c r="AV401" s="2469" t="n"/>
      <c r="AX401" s="2469" t="n"/>
      <c r="AY401" s="728" t="n"/>
      <c r="AZ401" s="728" t="n"/>
      <c r="BA401" s="87" t="n"/>
      <c r="BB401" s="438" t="n"/>
      <c r="BC401" s="89" t="n"/>
      <c r="BD401" s="442" t="n"/>
      <c r="BE401" s="442" t="n"/>
      <c r="BF401" s="89" t="n"/>
      <c r="BG401" s="443" t="n"/>
      <c r="BH401" s="443" t="n"/>
      <c r="BI401" s="439" t="n"/>
      <c r="BN401" s="2580" t="n"/>
      <c r="BP401" s="2469" t="n"/>
      <c r="BQ401" s="2469" t="n"/>
      <c r="BR401" s="2469" t="n"/>
      <c r="BS401" s="2469" t="n"/>
      <c r="BT401" s="2469" t="n"/>
      <c r="BU401" s="2469" t="n"/>
      <c r="BV401" s="2469" t="n"/>
      <c r="BW401" s="2469" t="n"/>
      <c r="BX401" s="2469" t="n"/>
      <c r="BY401" s="2469" t="n"/>
      <c r="BZ401" s="2469" t="n"/>
    </row>
    <row r="402" ht="34" customHeight="1" s="2456">
      <c r="A402">
        <f>IF(Test_Bible!B308="","F","O")</f>
        <v/>
      </c>
      <c r="B402" s="1686">
        <f>'Cpts AR +indép + Sommaire'!S59</f>
        <v/>
      </c>
      <c r="C402" s="287">
        <f>'Cpts AR +indép + Sommaire'!O59</f>
        <v/>
      </c>
      <c r="D402" s="258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inlineStr"/>
      <c r="X402" s="814" t="n"/>
      <c r="Y402" s="813" t="n"/>
      <c r="Z402" s="814" t="n"/>
      <c r="AA402" s="813" t="n"/>
      <c r="AB402" s="814" t="n"/>
      <c r="AD402" s="10" t="n"/>
      <c r="AE402" s="10" t="n"/>
      <c r="AF402" s="10" t="n"/>
      <c r="AG402" s="2588">
        <f>IF(K402=TRUE,H402,0)</f>
        <v/>
      </c>
      <c r="AH402" s="2588">
        <f>IF(R402=TRUE,H402,0)</f>
        <v/>
      </c>
      <c r="AI402" s="2588">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69" t="n"/>
      <c r="AX402" s="2469" t="n"/>
      <c r="AY402" s="728" t="n"/>
      <c r="AZ402" s="728" t="n"/>
      <c r="BA402" s="87" t="n"/>
      <c r="BB402" s="438" t="n"/>
      <c r="BC402" s="89" t="n"/>
      <c r="BD402" s="442" t="n"/>
      <c r="BE402" s="442" t="n"/>
      <c r="BF402" s="89" t="n"/>
      <c r="BG402" s="443" t="n"/>
      <c r="BH402" s="443" t="n"/>
      <c r="BI402" s="439" t="n"/>
      <c r="BN402" s="2580" t="n"/>
      <c r="BP402" s="2469" t="n"/>
      <c r="BQ402" s="2469" t="n"/>
      <c r="BR402" s="2469" t="n"/>
      <c r="BS402" s="2469" t="n"/>
      <c r="BT402" s="2469" t="n"/>
      <c r="BU402" s="2469" t="n"/>
      <c r="BV402" s="2469" t="n"/>
      <c r="BW402" s="2469" t="n"/>
      <c r="BX402" s="2469" t="n"/>
      <c r="BY402" s="2469" t="n"/>
      <c r="BZ402" s="2469" t="n"/>
    </row>
    <row r="403" ht="34" customHeight="1" s="2456">
      <c r="A403">
        <f>IF(Test_Bible!B289="","F","O")</f>
        <v/>
      </c>
      <c r="B403" s="1686">
        <f>'Cpts AR +indép + Sommaire'!S60</f>
        <v/>
      </c>
      <c r="C403" s="287">
        <f>'Cpts AR +indép + Sommaire'!O60</f>
        <v/>
      </c>
      <c r="D403" s="258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88">
        <f>IF(K403=TRUE,H403,0)</f>
        <v/>
      </c>
      <c r="AH403" s="2588">
        <f>IF(R403=TRUE,H403,0)</f>
        <v/>
      </c>
      <c r="AI403" s="2588">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69" t="n"/>
      <c r="AX403" s="2469" t="n"/>
      <c r="AY403" s="728" t="n"/>
      <c r="AZ403" s="728" t="n"/>
      <c r="BA403" s="87" t="n"/>
      <c r="BB403" s="438" t="n"/>
      <c r="BC403" s="89" t="n"/>
      <c r="BD403" s="442" t="n"/>
      <c r="BE403" s="442" t="n"/>
      <c r="BF403" s="89" t="n"/>
      <c r="BG403" s="443" t="n"/>
      <c r="BH403" s="443" t="n"/>
      <c r="BI403" s="439" t="n"/>
      <c r="BN403" s="2580" t="n"/>
      <c r="BP403" s="2469" t="n"/>
      <c r="BQ403" s="2469" t="n"/>
      <c r="BR403" s="2469" t="n"/>
      <c r="BS403" s="2469" t="n"/>
      <c r="BT403" s="2469" t="n"/>
      <c r="BU403" s="2469" t="n"/>
      <c r="BV403" s="2469" t="n"/>
      <c r="BW403" s="2469" t="n"/>
      <c r="BX403" s="2469" t="n"/>
      <c r="BY403" s="2469" t="n"/>
      <c r="BZ403" s="2469" t="n"/>
    </row>
    <row r="404" ht="33" customHeight="1" s="2456" thickBot="1">
      <c r="A404">
        <f>IF(Test_Bible!B325="","F","O")</f>
        <v/>
      </c>
      <c r="B404" s="1686">
        <f>'Cpts AR +indép + Sommaire'!S61</f>
        <v/>
      </c>
      <c r="C404" s="287">
        <f>'Cpts AR +indép + Sommaire'!O61</f>
        <v/>
      </c>
      <c r="D404" s="258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88">
        <f>IF(K404=TRUE,H404,0)</f>
        <v/>
      </c>
      <c r="AH404" s="2588">
        <f>IF(R404=TRUE,H404,0)</f>
        <v/>
      </c>
      <c r="AI404" s="2588">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69" t="n"/>
      <c r="AX404" s="2469" t="n"/>
      <c r="AY404" s="728" t="n"/>
      <c r="AZ404" s="728" t="n"/>
      <c r="BA404" s="87" t="n"/>
      <c r="BB404" s="438" t="n"/>
      <c r="BC404" s="89" t="n"/>
      <c r="BD404" s="442" t="n"/>
      <c r="BE404" s="442" t="n"/>
      <c r="BF404" s="89" t="n"/>
      <c r="BG404" s="443" t="n"/>
      <c r="BH404" s="443" t="n"/>
      <c r="BI404" s="439" t="n"/>
      <c r="BN404" s="2580" t="n"/>
      <c r="BP404" s="2469" t="n"/>
      <c r="BQ404" s="2469" t="n"/>
      <c r="BR404" s="2469" t="n"/>
      <c r="BS404" s="2469" t="n"/>
      <c r="BT404" s="2469" t="n"/>
      <c r="BU404" s="2469" t="n"/>
      <c r="BV404" s="2469" t="n"/>
      <c r="BW404" s="2469" t="n"/>
      <c r="BX404" s="2469" t="n"/>
      <c r="BY404" s="2469" t="n"/>
      <c r="BZ404" s="2469" t="n"/>
    </row>
    <row r="405" ht="35" customHeight="1" s="2456"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69" t="n"/>
      <c r="AX405" s="2469" t="n"/>
      <c r="AY405" s="728" t="n"/>
      <c r="AZ405" s="728" t="n"/>
      <c r="BA405" s="87" t="n"/>
      <c r="BB405" s="438" t="n"/>
      <c r="BC405" s="89" t="n"/>
      <c r="BD405" s="442" t="n"/>
      <c r="BE405" s="442" t="n"/>
      <c r="BF405" s="89" t="n"/>
      <c r="BG405" s="443" t="n"/>
      <c r="BH405" s="443" t="n"/>
      <c r="BI405" s="439" t="n"/>
      <c r="BN405" s="2580" t="n"/>
      <c r="BP405" s="2469" t="n"/>
      <c r="BQ405" s="2469" t="n"/>
      <c r="BR405" s="2469" t="n"/>
      <c r="BS405" s="2469" t="n"/>
      <c r="BT405" s="2469" t="n"/>
      <c r="BU405" s="2469" t="n"/>
      <c r="BV405" s="2469" t="n"/>
      <c r="BW405" s="2469" t="n"/>
      <c r="BX405" s="2469" t="n"/>
      <c r="BY405" s="2469" t="n"/>
      <c r="BZ405" s="2469" t="n"/>
    </row>
    <row r="406" ht="34" customHeight="1" s="2456">
      <c r="B406" s="1686" t="n"/>
      <c r="D406" s="383" t="inlineStr">
        <is>
          <t>COMPARATIF Comportement PFA-Enf</t>
        </is>
      </c>
      <c r="E406" s="2576"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56">
      <c r="B407" s="1686" t="n"/>
      <c r="C407" t="inlineStr">
        <is>
          <t>PCR</t>
        </is>
      </c>
      <c r="I407" s="122" t="n"/>
      <c r="L407" s="2464" t="n"/>
      <c r="M407" s="2464" t="n"/>
      <c r="N407" s="2464" t="n"/>
      <c r="O407" s="1365" t="n"/>
      <c r="P407" s="122" t="n"/>
      <c r="R407" s="2567" t="n"/>
      <c r="S407" s="122" t="n"/>
      <c r="U407" s="2567" t="n"/>
      <c r="V407" s="2464" t="n"/>
      <c r="W407" s="813" t="n"/>
      <c r="X407" s="814" t="n"/>
      <c r="Y407" s="813" t="n"/>
      <c r="Z407" s="814" t="n"/>
      <c r="AA407" s="813" t="n"/>
      <c r="AB407" s="814" t="n"/>
      <c r="AD407" s="10" t="n"/>
      <c r="AE407" s="10" t="n"/>
      <c r="AF407" s="10" t="n"/>
      <c r="AG407" s="2588" t="n"/>
      <c r="AH407" s="2588" t="n"/>
      <c r="AI407" s="2588"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56">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64" t="n"/>
      <c r="W408" s="813" t="n"/>
      <c r="X408" s="814" t="n"/>
      <c r="Y408" s="813" t="n"/>
      <c r="Z408" s="814" t="n"/>
      <c r="AA408" s="813" t="n"/>
      <c r="AB408" s="814" t="n"/>
      <c r="AD408" s="10" t="n"/>
      <c r="AE408" s="10" t="n"/>
      <c r="AF408" s="10" t="n"/>
      <c r="AG408" s="2588">
        <f>IF($K408=TRUE,H408,0)</f>
        <v/>
      </c>
      <c r="AH408" s="2588">
        <f>IF($R408=TRUE,H408,0)</f>
        <v/>
      </c>
      <c r="AI408" s="2588">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56"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88">
        <f>IF($K409=TRUE,H409,0)</f>
        <v/>
      </c>
      <c r="AH409" s="2588">
        <f>IF($R409=TRUE,H409,0)</f>
        <v/>
      </c>
      <c r="AI409" s="2588">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56" thickBot="1">
      <c r="D410" s="2520" t="n"/>
      <c r="E410" s="2520"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56" thickBot="1">
      <c r="D411" s="2520" t="n"/>
      <c r="E411" s="2520" t="n"/>
      <c r="F411" s="67" t="n"/>
      <c r="G411" s="434" t="n"/>
      <c r="H411" s="434" t="n"/>
      <c r="I411" s="2465" t="n"/>
      <c r="J411" s="246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20" t="n"/>
      <c r="E412" s="2520" t="n"/>
      <c r="F412" s="67" t="n"/>
      <c r="G412" s="434" t="n"/>
      <c r="H412" s="434" t="n"/>
      <c r="I412" s="1330" t="n"/>
      <c r="J412" s="1331" t="n"/>
      <c r="K412" s="1332" t="n"/>
      <c r="L412" s="2568" t="n"/>
      <c r="M412" s="2541" t="n"/>
      <c r="N412" s="2541"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2" t="inlineStr">
        <is>
          <t>AP</t>
        </is>
      </c>
      <c r="L413" s="2570" t="inlineStr">
        <is>
          <t>Dynamique d'AP</t>
        </is>
      </c>
      <c r="O413" s="2567" t="n"/>
      <c r="P413" s="2566" t="inlineStr">
        <is>
          <t>CL</t>
        </is>
      </c>
      <c r="R413" s="2567" t="n"/>
      <c r="S413" s="2571" t="inlineStr">
        <is>
          <t>CSS</t>
        </is>
      </c>
      <c r="U413" s="2567"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69" t="inlineStr">
        <is>
          <t>AP</t>
        </is>
      </c>
      <c r="AL413" s="2569" t="inlineStr">
        <is>
          <t>CL</t>
        </is>
      </c>
      <c r="AN413" s="2569" t="inlineStr">
        <is>
          <t>CSS</t>
        </is>
      </c>
      <c r="AY413" s="728" t="n"/>
      <c r="AZ413" s="728" t="n"/>
      <c r="BA413" s="87" t="n"/>
      <c r="BB413" s="438" t="n"/>
      <c r="BC413" s="89" t="n"/>
      <c r="BD413" s="442" t="n"/>
      <c r="BE413" s="442" t="n"/>
      <c r="BF413" s="89" t="n"/>
      <c r="BG413" s="443" t="n"/>
      <c r="BH413" s="443" t="n"/>
      <c r="BI413" s="439" t="n"/>
    </row>
    <row r="414" ht="36" customHeight="1" s="2456">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5"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56">
      <c r="A415">
        <f>IF(Test_Bible!B248="","F","O")</f>
        <v/>
      </c>
      <c r="B415" s="1686">
        <f>'Cpts AR +indép + Sommaire'!G63</f>
        <v/>
      </c>
      <c r="C415" s="376">
        <f>'Cpts AR +indép + Sommaire'!C63</f>
        <v/>
      </c>
      <c r="D415" s="258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88">
        <f>IF($K415=TRUE,H415,0)</f>
        <v/>
      </c>
      <c r="AH415" s="2588">
        <f>IF($R415=TRUE,H415,0)</f>
        <v/>
      </c>
      <c r="AI415" s="2588">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56">
      <c r="B416" s="1686" t="n"/>
      <c r="C416" s="376" t="inlineStr">
        <is>
          <t>PFA</t>
        </is>
      </c>
      <c r="D416" s="258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88">
        <f>IF($K416=TRUE,H416,0)</f>
        <v/>
      </c>
      <c r="AH416" s="2588">
        <f>IF($R416=TRUE,H416,0)</f>
        <v/>
      </c>
      <c r="AI416" s="2588">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56">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56">
      <c r="A418">
        <f>IF(Test_Bible!B421="","F","O")</f>
        <v/>
      </c>
      <c r="B418" s="1686">
        <f>'Cpts AR +indép + Sommaire'!M63</f>
        <v/>
      </c>
      <c r="C418" s="38">
        <f>'Cpts AR +indép + Sommaire'!I63</f>
        <v/>
      </c>
      <c r="D418" s="258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88">
        <f>IF(K418=TRUE,H418,0)</f>
        <v/>
      </c>
      <c r="AH418" s="2588">
        <f>IF(R418=TRUE,H418,0)</f>
        <v/>
      </c>
      <c r="AI418" s="2588">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56">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88">
        <f>IF(K419=TRUE,H419,0)</f>
        <v/>
      </c>
      <c r="AH419" s="2588">
        <f>IF(R419=TRUE,H419,0)</f>
        <v/>
      </c>
      <c r="AI419" s="2588">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56">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88">
        <f>IF(K420=TRUE,H420,0)</f>
        <v/>
      </c>
      <c r="AH420" s="2588">
        <f>IF(R420=TRUE,H420,0)</f>
        <v/>
      </c>
      <c r="AI420" s="2588">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69" t="n"/>
      <c r="AX420" s="2469" t="n"/>
      <c r="AY420" s="728" t="n"/>
      <c r="AZ420" s="728" t="n"/>
      <c r="BA420" s="87" t="n"/>
      <c r="BB420" s="438" t="n"/>
      <c r="BC420" s="89" t="n"/>
      <c r="BD420" s="442" t="n"/>
      <c r="BE420" s="442" t="n"/>
      <c r="BF420" s="89" t="n"/>
      <c r="BG420" s="443" t="n"/>
      <c r="BH420" s="443" t="n"/>
      <c r="BI420" s="439" t="n"/>
      <c r="BN420" s="2580" t="n"/>
      <c r="BP420" s="2469" t="n"/>
      <c r="BQ420" s="2469" t="n"/>
      <c r="BR420" s="2469" t="n"/>
      <c r="BS420" s="2469" t="n"/>
      <c r="BT420" s="2469" t="n"/>
      <c r="BU420" s="2469" t="n"/>
      <c r="BV420" s="2469" t="n"/>
      <c r="BW420" s="2469" t="n"/>
      <c r="BX420" s="2469" t="n"/>
      <c r="BY420" s="2469" t="n"/>
      <c r="BZ420" s="2469" t="n"/>
    </row>
    <row r="421" ht="20" customHeight="1" s="2456"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69" t="n"/>
      <c r="AX421" s="2469" t="n"/>
      <c r="AY421" s="728" t="n"/>
      <c r="AZ421" s="728" t="n"/>
      <c r="BA421" s="87" t="n"/>
      <c r="BB421" s="438" t="n"/>
      <c r="BC421" s="89" t="n"/>
      <c r="BD421" s="442" t="n"/>
      <c r="BE421" s="442" t="n"/>
      <c r="BF421" s="89" t="n"/>
      <c r="BG421" s="443" t="n"/>
      <c r="BH421" s="443" t="n"/>
      <c r="BI421" s="439" t="n"/>
      <c r="BN421" s="2580" t="n"/>
      <c r="BP421" s="2469" t="n"/>
      <c r="BQ421" s="2469" t="n"/>
      <c r="BR421" s="2469" t="n"/>
      <c r="BS421" s="2469" t="n"/>
      <c r="BT421" s="2469" t="n"/>
      <c r="BU421" s="2469" t="n"/>
      <c r="BV421" s="2469" t="n"/>
      <c r="BW421" s="2469" t="n"/>
      <c r="BX421" s="2469" t="n"/>
      <c r="BY421" s="2469" t="n"/>
      <c r="BZ421" s="2469" t="n"/>
    </row>
    <row r="422" ht="35" customHeight="1" s="2456"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16">
        <f>IF(AND($K417=TRUE,$K421=FALSE),AG417,IF(AND($K417=FALSE,$K421=TRUE),AG421,IF(AND($K417=TRUE,$K421=TRUE),AG417+AG421,0)))</f>
        <v/>
      </c>
      <c r="AH422" s="2516">
        <f>IF(AND($R417=TRUE,$R421=FALSE),AH417,IF(AND($R417=FALSE,$R421=TRUE),AH421,IF(AND($R417=TRUE,$R421=TRUE),AH417+AH421,0)))</f>
        <v/>
      </c>
      <c r="AI422" s="2516">
        <f>IF(AND($U417=TRUE,$U421=FALSE),AI417,IF(AND($U417=FALSE,$U421=TRUE),AI421,IF(AND($U417=TRUE,$U421=TRUE),AI417+AI421,0)))</f>
        <v/>
      </c>
      <c r="AJ422" s="2516">
        <f>IF(AND($K417=TRUE,$K421=FALSE),AJ417,IF(AND($K417=FALSE,$K421=TRUE),AJ421,IF(AND($K417=TRUE,$K421=TRUE),AJ417+AJ421,MAX(AJ417,AJ421))))</f>
        <v/>
      </c>
      <c r="AK422" s="2516">
        <f>IF(AND($K417=TRUE,$K421=FALSE),AK417,IF(AND($K417=FALSE,$K421=TRUE),AK421,IF(AND($K417=TRUE,$K421=TRUE),AK417+AK421,MAX(AK417,AK421))))</f>
        <v/>
      </c>
      <c r="AL422" s="2516">
        <f>IF(AND($R417=TRUE,$R421=FALSE),AL417,IF(AND($R417=FALSE,$R421=TRUE),AL421,IF(AND($R417=TRUE,$R421=TRUE),AL417+AL421,MAX(AL417,AL421))))</f>
        <v/>
      </c>
      <c r="AM422" s="2516">
        <f>IF(AND($R417=TRUE,$R421=FALSE),AM417,IF(AND($R417=FALSE,$R421=TRUE),AM421,IF(AND($R417=TRUE,$R421=TRUE),AM417+AM421,MAX(AM417,AM421))))</f>
        <v/>
      </c>
      <c r="AN422" s="2516">
        <f>IF(AND($U417=TRUE,$U421=FALSE),AN417,IF(AND($U417=FALSE,$U421=TRUE),AN421,IF(AND($U417=TRUE,$U421=TRUE),AN417+AN421,MAX(AN417,AN421))))</f>
        <v/>
      </c>
      <c r="AO422" s="2516">
        <f>IF(AND($U417=TRUE,$U421=FALSE),AO417,IF(AND($U417=FALSE,$U421=TRUE),AO421,IF(AND($U417=TRUE,$U421=TRUE),AO417+AO421,MAX(AO417,AO421))))</f>
        <v/>
      </c>
      <c r="AV422" s="2469" t="n"/>
      <c r="AX422" s="2469" t="n"/>
      <c r="AY422" s="728" t="n"/>
      <c r="AZ422" s="728" t="n"/>
      <c r="BA422" s="87" t="n"/>
      <c r="BB422" s="438" t="n"/>
      <c r="BC422" s="89" t="n"/>
      <c r="BD422" s="442" t="n"/>
      <c r="BE422" s="442" t="n"/>
      <c r="BF422" s="89" t="n"/>
      <c r="BG422" s="443" t="n"/>
      <c r="BH422" s="443" t="n"/>
      <c r="BI422" s="439" t="n"/>
      <c r="BN422" s="2580" t="n"/>
      <c r="BP422" s="2469" t="n"/>
      <c r="BQ422" s="2469" t="n"/>
      <c r="BR422" s="2469" t="n"/>
      <c r="BS422" s="2469" t="n"/>
      <c r="BT422" s="2469" t="n"/>
      <c r="BU422" s="2469" t="n"/>
      <c r="BV422" s="2469" t="n"/>
      <c r="BW422" s="2469" t="n"/>
      <c r="BX422" s="2469" t="n"/>
      <c r="BY422" s="2469" t="n"/>
      <c r="BZ422" s="2469" t="n"/>
    </row>
    <row r="423" ht="68" customHeight="1" s="2456">
      <c r="A423">
        <f>IF(Test_Bible!B306="","F","O")</f>
        <v/>
      </c>
      <c r="B423" s="1686">
        <f>'Cpts AR +indép + Sommaire'!S63</f>
        <v/>
      </c>
      <c r="C423" s="287">
        <f>'Cpts AR +indép + Sommaire'!O63</f>
        <v/>
      </c>
      <c r="D423" s="258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inlineStr"/>
      <c r="X423" s="814" t="n"/>
      <c r="Y423" s="813" t="n"/>
      <c r="Z423" s="814" t="n"/>
      <c r="AA423" s="813" t="n"/>
      <c r="AB423" s="814" t="n"/>
      <c r="AD423" s="10" t="n"/>
      <c r="AE423" s="10" t="n"/>
      <c r="AF423" s="10" t="n"/>
      <c r="AG423" s="2588">
        <f>IF($K423=TRUE,H423,0)</f>
        <v/>
      </c>
      <c r="AH423" s="2588">
        <f>IF($R423=TRUE,H423,0)</f>
        <v/>
      </c>
      <c r="AI423" s="2588">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69" t="n"/>
      <c r="AX423" s="2469" t="n"/>
      <c r="AY423" s="728" t="n"/>
      <c r="AZ423" s="728" t="n"/>
      <c r="BA423" s="87" t="n"/>
      <c r="BB423" s="438" t="n"/>
      <c r="BC423" s="89" t="n"/>
      <c r="BD423" s="442" t="n"/>
      <c r="BE423" s="442" t="n"/>
      <c r="BF423" s="89" t="n"/>
      <c r="BG423" s="443" t="n"/>
      <c r="BH423" s="443" t="n"/>
      <c r="BI423" s="439" t="n"/>
      <c r="BN423" s="2580" t="n"/>
      <c r="BP423" s="2469" t="n"/>
      <c r="BQ423" s="2469" t="n"/>
      <c r="BR423" s="2469" t="n"/>
      <c r="BS423" s="2469" t="n"/>
      <c r="BT423" s="2469" t="n"/>
      <c r="BU423" s="2469" t="n"/>
      <c r="BV423" s="2469" t="n"/>
      <c r="BW423" s="2469" t="n"/>
      <c r="BX423" s="2469" t="n"/>
      <c r="BY423" s="2469" t="n"/>
      <c r="BZ423" s="2469" t="n"/>
    </row>
    <row r="424" ht="20" customHeight="1" s="2456" thickBot="1">
      <c r="B424" s="1686" t="n"/>
      <c r="C424" s="287" t="inlineStr">
        <is>
          <t>Enf</t>
        </is>
      </c>
      <c r="D424" s="258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88">
        <f>IF($K424=TRUE,H424,0)</f>
        <v/>
      </c>
      <c r="AH424" s="2588">
        <f>IF($R424=TRUE,H424,0)</f>
        <v/>
      </c>
      <c r="AI424" s="2588">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69" t="n"/>
      <c r="AX424" s="2469" t="n"/>
      <c r="AY424" s="728" t="n"/>
      <c r="AZ424" s="728" t="n"/>
      <c r="BA424" s="87" t="n"/>
      <c r="BB424" s="438" t="n"/>
      <c r="BC424" s="89" t="n"/>
      <c r="BD424" s="442" t="n"/>
      <c r="BE424" s="442" t="n"/>
      <c r="BF424" s="89" t="n"/>
      <c r="BG424" s="443" t="n"/>
      <c r="BH424" s="443" t="n"/>
      <c r="BI424" s="439" t="n"/>
      <c r="BN424" s="2580" t="n"/>
      <c r="BP424" s="2469" t="n"/>
      <c r="BQ424" s="2469" t="n"/>
      <c r="BR424" s="2469" t="n"/>
      <c r="BS424" s="2469" t="n"/>
      <c r="BT424" s="2469" t="n"/>
      <c r="BU424" s="2469" t="n"/>
      <c r="BV424" s="2469" t="n"/>
      <c r="BW424" s="2469" t="n"/>
      <c r="BX424" s="2469" t="n"/>
      <c r="BY424" s="2469" t="n"/>
      <c r="BZ424" s="2469" t="n"/>
    </row>
    <row r="425" ht="69" customHeight="1" s="2456"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56">
      <c r="D426" s="383" t="inlineStr">
        <is>
          <t>COMPARATIF Comportement PFA-Enf</t>
        </is>
      </c>
      <c r="E426" s="2576"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56">
      <c r="B427" s="1686" t="n"/>
      <c r="C427" t="inlineStr">
        <is>
          <t>PCR</t>
        </is>
      </c>
      <c r="I427" s="122" t="n"/>
      <c r="L427" s="2464" t="n"/>
      <c r="M427" s="2464" t="n"/>
      <c r="N427" s="2464" t="n"/>
      <c r="O427" s="1365" t="n"/>
      <c r="P427" s="122" t="n"/>
      <c r="R427" s="2567" t="n"/>
      <c r="S427" s="122" t="n"/>
      <c r="U427" s="2567" t="n"/>
      <c r="V427" s="2464" t="n"/>
      <c r="W427" s="813" t="n"/>
      <c r="X427" s="814" t="n"/>
      <c r="Y427" s="813" t="n"/>
      <c r="Z427" s="814" t="n"/>
      <c r="AA427" s="813" t="n"/>
      <c r="AB427" s="814" t="n"/>
      <c r="AD427" s="10" t="n"/>
      <c r="AE427" s="10" t="n"/>
      <c r="AF427" s="10" t="n"/>
      <c r="AG427" s="2588" t="n"/>
      <c r="AH427" s="2588" t="n"/>
      <c r="AI427" s="2588"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56">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64" t="n"/>
      <c r="W428" s="813" t="n"/>
      <c r="X428" s="814" t="n"/>
      <c r="Y428" s="813" t="n"/>
      <c r="Z428" s="814" t="n"/>
      <c r="AA428" s="813" t="n"/>
      <c r="AB428" s="814" t="n"/>
      <c r="AD428" s="10" t="n"/>
      <c r="AE428" s="10" t="n"/>
      <c r="AF428" s="10" t="n"/>
      <c r="AG428" s="2588">
        <f>IF($K428=TRUE,H428,0)</f>
        <v/>
      </c>
      <c r="AH428" s="2588">
        <f>IF($R428=TRUE,H428,0)</f>
        <v/>
      </c>
      <c r="AI428" s="2588">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56"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88">
        <f>IF($K429=TRUE,H429,0)</f>
        <v/>
      </c>
      <c r="AH429" s="2588">
        <f>IF($R429=TRUE,H429,0)</f>
        <v/>
      </c>
      <c r="AI429" s="2588">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56" thickBot="1">
      <c r="D430" s="2520" t="n"/>
      <c r="E430" s="2520"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56" thickBot="1">
      <c r="D431" s="2520" t="n"/>
      <c r="E431" s="2520" t="n"/>
      <c r="F431" s="67" t="n"/>
      <c r="G431" s="434" t="n"/>
      <c r="H431" s="434" t="n"/>
      <c r="I431" s="2465" t="n"/>
      <c r="J431" s="246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20" t="n"/>
      <c r="E432" s="2520" t="n"/>
      <c r="F432" s="67" t="n"/>
      <c r="G432" s="434" t="n"/>
      <c r="H432" s="434" t="n"/>
      <c r="I432" s="1330" t="n"/>
      <c r="J432" s="1331" t="n"/>
      <c r="K432" s="1332" t="n"/>
      <c r="L432" s="2568" t="n"/>
      <c r="M432" s="2541" t="n"/>
      <c r="N432" s="2541"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2" t="inlineStr">
        <is>
          <t>AP</t>
        </is>
      </c>
      <c r="L433" s="2570" t="inlineStr">
        <is>
          <t>Dynamique d'AP</t>
        </is>
      </c>
      <c r="O433" s="2567" t="n"/>
      <c r="P433" s="2566" t="inlineStr">
        <is>
          <t>CL</t>
        </is>
      </c>
      <c r="R433" s="2567" t="n"/>
      <c r="S433" s="2571" t="inlineStr">
        <is>
          <t>CSS</t>
        </is>
      </c>
      <c r="U433" s="2567"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69" t="inlineStr">
        <is>
          <t>AP</t>
        </is>
      </c>
      <c r="AL433" s="2569" t="inlineStr">
        <is>
          <t>CL</t>
        </is>
      </c>
      <c r="AN433" s="2569" t="inlineStr">
        <is>
          <t>CSS</t>
        </is>
      </c>
      <c r="AY433" s="728" t="n"/>
      <c r="AZ433" s="728" t="n"/>
      <c r="BA433" s="87" t="n"/>
      <c r="BB433" s="438" t="n"/>
      <c r="BC433" s="89" t="n"/>
      <c r="BD433" s="442" t="n"/>
      <c r="BE433" s="442" t="n"/>
      <c r="BF433" s="89" t="n"/>
      <c r="BG433" s="443" t="n"/>
      <c r="BH433" s="443" t="n"/>
      <c r="BI433" s="439" t="n"/>
    </row>
    <row r="434" ht="34" customHeight="1" s="2456">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5"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56">
      <c r="A435">
        <f>IF(Test_Bible!B249="","F","O")</f>
        <v/>
      </c>
      <c r="B435" s="1686">
        <f>'Cpts AR +indép + Sommaire'!G67</f>
        <v/>
      </c>
      <c r="C435" s="376">
        <f>'Cpts AR +indép + Sommaire'!C67</f>
        <v/>
      </c>
      <c r="D435" s="258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88">
        <f>IF($K435=TRUE,H435,0)</f>
        <v/>
      </c>
      <c r="AH435" s="2588">
        <f>IF($R435=TRUE,H435,0)</f>
        <v/>
      </c>
      <c r="AI435" s="2588">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56">
      <c r="B436" s="1686" t="n"/>
      <c r="C436" s="376" t="inlineStr">
        <is>
          <t>PFA</t>
        </is>
      </c>
      <c r="D436" s="258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88">
        <f>IF($K436=TRUE,H436,0)</f>
        <v/>
      </c>
      <c r="AH436" s="2588">
        <f>IF($R436=TRUE,H436,0)</f>
        <v/>
      </c>
      <c r="AI436" s="2588">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56">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56">
      <c r="B438" s="1686" t="n"/>
      <c r="C438" s="38" t="inlineStr">
        <is>
          <t>NC</t>
        </is>
      </c>
      <c r="D438" s="258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88">
        <f>IF(K438=TRUE,H438,0)</f>
        <v/>
      </c>
      <c r="AH438" s="2588">
        <f>IF(R438=TRUE,H438,0)</f>
        <v/>
      </c>
      <c r="AI438" s="2588">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56">
      <c r="B439" s="1686" t="n"/>
      <c r="C439" s="38" t="inlineStr">
        <is>
          <t>NC</t>
        </is>
      </c>
      <c r="D439" s="258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88">
        <f>IF(K439=TRUE,H439,0)</f>
        <v/>
      </c>
      <c r="AH439" s="2588">
        <f>IF(R439=TRUE,H439,0)</f>
        <v/>
      </c>
      <c r="AI439" s="2588">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69" t="n"/>
      <c r="AX439" s="2469" t="n"/>
      <c r="AY439" s="728" t="n"/>
      <c r="AZ439" s="728" t="n"/>
      <c r="BA439" s="87" t="n"/>
      <c r="BB439" s="438" t="n"/>
      <c r="BC439" s="89" t="n"/>
      <c r="BD439" s="442" t="n"/>
      <c r="BE439" s="442" t="n"/>
      <c r="BF439" s="89" t="n"/>
      <c r="BG439" s="443" t="n"/>
      <c r="BH439" s="443" t="n"/>
      <c r="BI439" s="439" t="n"/>
      <c r="BN439" s="2580" t="n"/>
      <c r="BP439" s="2469" t="n"/>
      <c r="BQ439" s="2469" t="n"/>
      <c r="BR439" s="2469" t="n"/>
      <c r="BS439" s="2469" t="n"/>
      <c r="BT439" s="2469" t="n"/>
      <c r="BU439" s="2469" t="n"/>
      <c r="BV439" s="2469" t="n"/>
      <c r="BW439" s="2469" t="n"/>
      <c r="BX439" s="2469" t="n"/>
      <c r="BY439" s="2469" t="n"/>
      <c r="BZ439" s="2469" t="n"/>
    </row>
    <row r="440" ht="20" customHeight="1" s="2456"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69" t="n"/>
      <c r="AX440" s="2469" t="n"/>
      <c r="AY440" s="728" t="n"/>
      <c r="AZ440" s="728" t="n"/>
      <c r="BA440" s="87" t="n"/>
      <c r="BB440" s="438" t="n"/>
      <c r="BC440" s="89" t="n"/>
      <c r="BD440" s="442" t="n"/>
      <c r="BE440" s="442" t="n"/>
      <c r="BF440" s="89" t="n"/>
      <c r="BG440" s="443" t="n"/>
      <c r="BH440" s="443" t="n"/>
      <c r="BI440" s="439" t="n"/>
      <c r="BN440" s="2580" t="n"/>
      <c r="BP440" s="2469" t="n"/>
      <c r="BQ440" s="2469" t="n"/>
      <c r="BR440" s="2469" t="n"/>
      <c r="BS440" s="2469" t="n"/>
      <c r="BT440" s="2469" t="n"/>
      <c r="BU440" s="2469" t="n"/>
      <c r="BV440" s="2469" t="n"/>
      <c r="BW440" s="2469" t="n"/>
      <c r="BX440" s="2469" t="n"/>
      <c r="BY440" s="2469" t="n"/>
      <c r="BZ440" s="2469" t="n"/>
    </row>
    <row r="441" ht="35" customHeight="1" s="2456"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16">
        <f>IF(AND($K437=TRUE,$K440=FALSE),AG437,IF(AND($K437=FALSE,$K440=TRUE),AG440,IF(AND($K437=TRUE,$K440=TRUE),AG437+AG440,0)))</f>
        <v/>
      </c>
      <c r="AH441" s="2516">
        <f>IF(AND($R437=TRUE,$R440=FALSE),AH437,IF(AND($R437=FALSE,$R440=TRUE),AH440,IF(AND($R437=TRUE,$R440=TRUE),AH437+AH440,0)))</f>
        <v/>
      </c>
      <c r="AI441" s="2516">
        <f>IF(AND($U437=TRUE,$U440=FALSE),AI437,IF(AND($U437=FALSE,$U440=TRUE),AI440,IF(AND($U437=TRUE,$U440=TRUE),AI437+AI440,0)))</f>
        <v/>
      </c>
      <c r="AJ441" s="2516">
        <f>IF(AND($K437=TRUE,$K440=FALSE),AJ437,IF(AND($K437=FALSE,$K440=TRUE),AJ440,IF(AND($K437=TRUE,$K440=TRUE),AJ437+AJ440,MAX(AJ437,AJ440))))</f>
        <v/>
      </c>
      <c r="AK441" s="2516">
        <f>IF(AND($K437=TRUE,$K440=FALSE),AK437,IF(AND($K437=FALSE,$K440=TRUE),AK440,IF(AND($K437=TRUE,$K440=TRUE),AK437+AK440,MAX(AK437,AK440))))</f>
        <v/>
      </c>
      <c r="AL441" s="2516">
        <f>IF(AND($R437=TRUE,$R440=FALSE),AL437,IF(AND($R437=FALSE,$R440=TRUE),AL440,IF(AND($R437=TRUE,$R440=TRUE),AL437+AL440,MAX(AL437,AL440))))</f>
        <v/>
      </c>
      <c r="AM441" s="2516">
        <f>IF(AND($R437=TRUE,$R440=FALSE),AM437,IF(AND($R437=FALSE,$R440=TRUE),AM440,IF(AND($R437=TRUE,$R440=TRUE),AM437+AM440,MAX(AM437,AM440))))</f>
        <v/>
      </c>
      <c r="AN441" s="2516">
        <f>IF(AND($U437=TRUE,$U440=FALSE),AN437,IF(AND($U437=FALSE,$U440=TRUE),AN440,IF(AND($U437=TRUE,$U440=TRUE),AN437+AN440,MAX(AN437,AN440))))</f>
        <v/>
      </c>
      <c r="AO441" s="2516">
        <f>IF(AND($U437=TRUE,$U440=FALSE),AO437,IF(AND($U437=FALSE,$U440=TRUE),AO440,IF(AND($U437=TRUE,$U440=TRUE),AO437+AO440,MAX(AO437,AO440))))</f>
        <v/>
      </c>
      <c r="AV441" s="2469" t="n"/>
      <c r="AX441" s="2469" t="n"/>
      <c r="AY441" s="728" t="n"/>
      <c r="AZ441" s="728" t="n"/>
      <c r="BA441" s="87" t="n"/>
      <c r="BB441" s="438" t="n"/>
      <c r="BC441" s="89" t="n"/>
      <c r="BD441" s="442" t="n"/>
      <c r="BE441" s="442" t="n"/>
      <c r="BF441" s="89" t="n"/>
      <c r="BG441" s="443" t="n"/>
      <c r="BH441" s="443" t="n"/>
      <c r="BI441" s="439" t="n"/>
      <c r="BN441" s="2580" t="n"/>
      <c r="BP441" s="2469" t="n"/>
      <c r="BQ441" s="2469" t="n"/>
      <c r="BR441" s="2469" t="n"/>
      <c r="BS441" s="2469" t="n"/>
      <c r="BT441" s="2469" t="n"/>
      <c r="BU441" s="2469" t="n"/>
      <c r="BV441" s="2469" t="n"/>
      <c r="BW441" s="2469" t="n"/>
      <c r="BX441" s="2469" t="n"/>
      <c r="BY441" s="2469" t="n"/>
      <c r="BZ441" s="2469" t="n"/>
    </row>
    <row r="442" ht="34" customHeight="1" s="2456">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inlineStr"/>
      <c r="X442" s="814" t="n"/>
      <c r="Y442" s="813" t="n"/>
      <c r="Z442" s="814" t="n"/>
      <c r="AA442" s="813" t="n"/>
      <c r="AB442" s="814" t="n"/>
      <c r="AD442" s="10" t="n"/>
      <c r="AE442" s="10" t="n"/>
      <c r="AF442" s="10" t="n"/>
      <c r="AG442" s="2588">
        <f>IF($K442=TRUE,H442,0)</f>
        <v/>
      </c>
      <c r="AH442" s="2588">
        <f>IF($R442=TRUE,H442,0)</f>
        <v/>
      </c>
      <c r="AI442" s="2588"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69" t="n"/>
      <c r="AX442" s="2469" t="n"/>
      <c r="AY442" s="728" t="n"/>
      <c r="AZ442" s="728" t="n"/>
      <c r="BA442" s="87" t="n"/>
      <c r="BB442" s="438" t="n"/>
      <c r="BC442" s="89" t="n"/>
      <c r="BD442" s="442" t="n"/>
      <c r="BE442" s="442" t="n"/>
      <c r="BF442" s="89" t="n"/>
      <c r="BG442" s="443" t="n"/>
      <c r="BH442" s="443" t="n"/>
      <c r="BI442" s="439" t="n"/>
      <c r="BN442" s="2580" t="n"/>
      <c r="BP442" s="2469" t="n"/>
      <c r="BQ442" s="2469" t="n"/>
      <c r="BR442" s="2469" t="n"/>
      <c r="BS442" s="2469" t="n"/>
      <c r="BT442" s="2469" t="n"/>
      <c r="BU442" s="2469" t="n"/>
      <c r="BV442" s="2469" t="n"/>
      <c r="BW442" s="2469" t="n"/>
      <c r="BX442" s="2469" t="n"/>
      <c r="BY442" s="2469" t="n"/>
      <c r="BZ442" s="2469" t="n"/>
    </row>
    <row r="443" ht="22" customHeight="1" s="2456"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88">
        <f>IF($K443=TRUE,H443,0)</f>
        <v/>
      </c>
      <c r="AH443" s="2588">
        <f>IF($R443=TRUE,H443,0)</f>
        <v/>
      </c>
      <c r="AI443" s="2588"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69" t="n"/>
      <c r="AX443" s="2469" t="n"/>
      <c r="AY443" s="728" t="n"/>
      <c r="AZ443" s="728" t="n"/>
      <c r="BA443" s="87" t="n"/>
      <c r="BB443" s="438" t="n"/>
      <c r="BC443" s="89" t="n"/>
      <c r="BD443" s="442" t="n"/>
      <c r="BE443" s="442" t="n"/>
      <c r="BF443" s="89" t="n"/>
      <c r="BG443" s="443" t="n"/>
      <c r="BH443" s="443" t="n"/>
      <c r="BI443" s="439" t="n"/>
      <c r="BN443" s="2580" t="n"/>
      <c r="BP443" s="2469" t="n"/>
      <c r="BQ443" s="2469" t="n"/>
      <c r="BR443" s="2469" t="n"/>
      <c r="BS443" s="2469" t="n"/>
      <c r="BT443" s="2469" t="n"/>
      <c r="BU443" s="2469" t="n"/>
      <c r="BV443" s="2469" t="n"/>
      <c r="BW443" s="2469" t="n"/>
      <c r="BX443" s="2469" t="n"/>
      <c r="BY443" s="2469" t="n"/>
      <c r="BZ443" s="2469" t="n"/>
    </row>
    <row r="444" ht="35" customHeight="1" s="2456"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56">
      <c r="B445" s="1686" t="n"/>
      <c r="D445" s="383" t="inlineStr">
        <is>
          <t>COMPARATIF Comportement PFA-Enf</t>
        </is>
      </c>
      <c r="E445" s="2576"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56">
      <c r="B446" s="1686" t="n"/>
      <c r="C446" t="inlineStr">
        <is>
          <t>PCR</t>
        </is>
      </c>
      <c r="I446" s="122" t="n"/>
      <c r="L446" s="2464" t="n"/>
      <c r="M446" s="2464" t="n"/>
      <c r="N446" s="2464" t="n"/>
      <c r="O446" s="1365" t="n"/>
      <c r="P446" s="122" t="n"/>
      <c r="R446" s="2567" t="n"/>
      <c r="S446" s="122" t="n"/>
      <c r="U446" s="2567" t="n"/>
      <c r="V446" s="2464" t="n"/>
      <c r="W446" s="813" t="n"/>
      <c r="X446" s="814" t="n"/>
      <c r="Y446" s="813" t="n"/>
      <c r="Z446" s="814" t="n"/>
      <c r="AA446" s="813" t="n"/>
      <c r="AB446" s="814" t="n"/>
      <c r="AD446" s="10" t="n"/>
      <c r="AE446" s="10" t="n"/>
      <c r="AF446" s="10" t="n"/>
      <c r="AG446" s="2588" t="n"/>
      <c r="AH446" s="2588" t="n"/>
      <c r="AI446" s="2588"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56">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64" t="n"/>
      <c r="W447" s="813" t="n"/>
      <c r="X447" s="814" t="n"/>
      <c r="Y447" s="813" t="n"/>
      <c r="Z447" s="814" t="n"/>
      <c r="AA447" s="813" t="n"/>
      <c r="AB447" s="814" t="n"/>
      <c r="AD447" s="10" t="n"/>
      <c r="AE447" s="10" t="n"/>
      <c r="AF447" s="10" t="n"/>
      <c r="AG447" s="2588">
        <f>IF($K447=TRUE,H447,0)</f>
        <v/>
      </c>
      <c r="AH447" s="2588">
        <f>IF($R447=TRUE,H447,0)</f>
        <v/>
      </c>
      <c r="AI447" s="2588">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56"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88">
        <f>IF($K448=TRUE,H448,0)</f>
        <v/>
      </c>
      <c r="AH448" s="2588">
        <f>IF($R448=TRUE,H448,0)</f>
        <v/>
      </c>
      <c r="AI448" s="2588">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56" thickBot="1">
      <c r="D449" s="2520" t="n"/>
      <c r="E449" s="2520"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56" thickBot="1">
      <c r="D450" s="2520" t="n"/>
      <c r="E450" s="2520" t="n"/>
      <c r="F450" s="67" t="n"/>
      <c r="G450" s="434" t="n"/>
      <c r="H450" s="434" t="n"/>
      <c r="I450" s="2465" t="n"/>
      <c r="J450" s="246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20" t="n"/>
      <c r="E451" s="2520" t="n"/>
      <c r="F451" s="67" t="n"/>
      <c r="G451" s="434" t="n"/>
      <c r="H451" s="434" t="n"/>
      <c r="I451" s="1330" t="n"/>
      <c r="J451" s="1331" t="n"/>
      <c r="K451" s="1332" t="n"/>
      <c r="L451" s="2568" t="n"/>
      <c r="M451" s="2541" t="n"/>
      <c r="N451" s="2541"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2" t="inlineStr">
        <is>
          <t>AP</t>
        </is>
      </c>
      <c r="L452" s="2570" t="inlineStr">
        <is>
          <t>Dynamique d'AP</t>
        </is>
      </c>
      <c r="O452" s="2567" t="n"/>
      <c r="P452" s="2566" t="inlineStr">
        <is>
          <t>CL</t>
        </is>
      </c>
      <c r="R452" s="2567" t="n"/>
      <c r="S452" s="2571" t="inlineStr">
        <is>
          <t>CSS</t>
        </is>
      </c>
      <c r="U452" s="2567"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69" t="inlineStr">
        <is>
          <t>AP</t>
        </is>
      </c>
      <c r="AL452" s="2569" t="inlineStr">
        <is>
          <t>CL</t>
        </is>
      </c>
      <c r="AN452" s="2569" t="inlineStr">
        <is>
          <t>CSS</t>
        </is>
      </c>
      <c r="AY452" s="728" t="n"/>
      <c r="AZ452" s="728" t="n"/>
      <c r="BA452" s="87" t="n"/>
      <c r="BB452" s="438" t="n"/>
      <c r="BC452" s="89" t="n"/>
      <c r="BD452" s="442" t="n"/>
      <c r="BE452" s="442" t="n"/>
      <c r="BF452" s="89" t="n"/>
      <c r="BG452" s="443" t="n"/>
      <c r="BH452" s="443" t="n"/>
      <c r="BI452" s="439" t="n"/>
    </row>
    <row r="453" ht="34" customHeight="1" s="2456">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5"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56">
      <c r="A454">
        <f>IF(Test_Bible!B183="","F","O")</f>
        <v/>
      </c>
      <c r="B454" s="1686">
        <f>'Cpts AR +indép + Sommaire'!G70</f>
        <v/>
      </c>
      <c r="C454" s="376">
        <f>'Cpts AR +indép + Sommaire'!C70</f>
        <v/>
      </c>
      <c r="D454" s="258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88">
        <f>IF($K454=TRUE,H454,0)</f>
        <v/>
      </c>
      <c r="AH454" s="2588">
        <f>IF($R454=TRUE,H454,0)</f>
        <v/>
      </c>
      <c r="AI454" s="2588">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56">
      <c r="A455">
        <f>IF(Test_Bible!B220="","F","O")</f>
        <v/>
      </c>
      <c r="B455" s="1686">
        <f>'Cpts AR +indép + Sommaire'!G71</f>
        <v/>
      </c>
      <c r="C455" s="376">
        <f>'Cpts AR +indép + Sommaire'!C71</f>
        <v/>
      </c>
      <c r="D455" s="258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88">
        <f>IF($K455=TRUE,H455,0)</f>
        <v/>
      </c>
      <c r="AH455" s="2588">
        <f>IF($R455=TRUE,H455,0)</f>
        <v/>
      </c>
      <c r="AI455" s="2588">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56">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56">
      <c r="B457" s="1686" t="n"/>
      <c r="C457" s="38" t="inlineStr">
        <is>
          <t>NC</t>
        </is>
      </c>
      <c r="D457" s="258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88">
        <f>IF(K457=TRUE,H457,0)</f>
        <v/>
      </c>
      <c r="AH457" s="2588">
        <f>IF(R457=TRUE,H457,0)</f>
        <v/>
      </c>
      <c r="AI457" s="2588">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56">
      <c r="B458" s="1686" t="n"/>
      <c r="C458" s="38" t="inlineStr">
        <is>
          <t>NC</t>
        </is>
      </c>
      <c r="D458" s="258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88">
        <f>IF(K458=TRUE,H458,0)</f>
        <v/>
      </c>
      <c r="AH458" s="2588">
        <f>IF(R458=TRUE,H458,0)</f>
        <v/>
      </c>
      <c r="AI458" s="2588">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69" t="n"/>
      <c r="AX458" s="2469" t="n"/>
      <c r="AY458" s="728" t="n"/>
      <c r="AZ458" s="728" t="n"/>
      <c r="BA458" s="87" t="n"/>
      <c r="BB458" s="438" t="n"/>
      <c r="BC458" s="89" t="n"/>
      <c r="BD458" s="442" t="n"/>
      <c r="BE458" s="442" t="n"/>
      <c r="BF458" s="89" t="n"/>
      <c r="BG458" s="443" t="n"/>
      <c r="BH458" s="443" t="n"/>
      <c r="BI458" s="439" t="n"/>
      <c r="BN458" s="2580" t="n"/>
      <c r="BP458" s="2469" t="n"/>
      <c r="BQ458" s="2469" t="n"/>
      <c r="BR458" s="2469" t="n"/>
      <c r="BS458" s="2469" t="n"/>
      <c r="BT458" s="2469" t="n"/>
      <c r="BU458" s="2469" t="n"/>
      <c r="BV458" s="2469" t="n"/>
      <c r="BW458" s="2469" t="n"/>
      <c r="BX458" s="2469" t="n"/>
      <c r="BY458" s="2469" t="n"/>
      <c r="BZ458" s="2469" t="n"/>
    </row>
    <row r="459" ht="20" customHeight="1" s="2456"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69" t="n"/>
      <c r="AX459" s="2469" t="n"/>
      <c r="AY459" s="728" t="n"/>
      <c r="AZ459" s="728" t="n"/>
      <c r="BA459" s="87" t="n"/>
      <c r="BB459" s="438" t="n"/>
      <c r="BC459" s="89" t="n"/>
      <c r="BD459" s="442" t="n"/>
      <c r="BE459" s="442" t="n"/>
      <c r="BF459" s="89" t="n"/>
      <c r="BG459" s="443" t="n"/>
      <c r="BH459" s="443" t="n"/>
      <c r="BI459" s="439" t="n"/>
      <c r="BN459" s="2580" t="n"/>
      <c r="BP459" s="2469" t="n"/>
      <c r="BQ459" s="2469" t="n"/>
      <c r="BR459" s="2469" t="n"/>
      <c r="BS459" s="2469" t="n"/>
      <c r="BT459" s="2469" t="n"/>
      <c r="BU459" s="2469" t="n"/>
      <c r="BV459" s="2469" t="n"/>
      <c r="BW459" s="2469" t="n"/>
      <c r="BX459" s="2469" t="n"/>
      <c r="BY459" s="2469" t="n"/>
      <c r="BZ459" s="2469" t="n"/>
    </row>
    <row r="460" ht="35" customHeight="1" s="2456"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16">
        <f>IF(AND($K456=TRUE,$K459=FALSE),AG456,IF(AND($K456=FALSE,$K459=TRUE),AG459,IF(AND($K456=TRUE,$K459=TRUE),AG456+AG459,0)))</f>
        <v/>
      </c>
      <c r="AH460" s="2516">
        <f>IF(AND($R456=TRUE,$R459=FALSE),AH456,IF(AND($R456=FALSE,$R459=TRUE),AH459,IF(AND($R456=TRUE,$R459=TRUE),AH456+AH459,0)))</f>
        <v/>
      </c>
      <c r="AI460" s="2516">
        <f>IF(AND($U456=TRUE,$U459=FALSE),AI456,IF(AND($U456=FALSE,$U459=TRUE),AI459,IF(AND($U456=TRUE,$U459=TRUE),AI456+AI459,0)))</f>
        <v/>
      </c>
      <c r="AJ460" s="2516">
        <f>IF(AND($K456=TRUE,$K459=FALSE),AJ456,IF(AND($K456=FALSE,$K459=TRUE),AJ459,IF(AND($K456=TRUE,$K459=TRUE),AJ456+AJ459,MAX(AJ456,AJ459))))</f>
        <v/>
      </c>
      <c r="AK460" s="2516">
        <f>IF(AND($K456=TRUE,$K459=FALSE),AK456,IF(AND($K456=FALSE,$K459=TRUE),AK459,IF(AND($K456=TRUE,$K459=TRUE),AK456+AK459,MAX(AK456,AK459))))</f>
        <v/>
      </c>
      <c r="AL460" s="2516">
        <f>IF(AND($R456=TRUE,$R459=FALSE),AL456,IF(AND($R456=FALSE,$R459=TRUE),AL459,IF(AND($R456=TRUE,$R459=TRUE),AL456+AL459,MAX(AL456,AL459))))</f>
        <v/>
      </c>
      <c r="AM460" s="2516">
        <f>IF(AND($R456=TRUE,$R459=FALSE),AM456,IF(AND($R456=FALSE,$R459=TRUE),AM459,IF(AND($R456=TRUE,$R459=TRUE),AM456+AM459,MAX(AM456,AM459))))</f>
        <v/>
      </c>
      <c r="AN460" s="2516">
        <f>IF(AND($U456=TRUE,$U459=FALSE),AN456,IF(AND($U456=FALSE,$U459=TRUE),AN459,IF(AND($U456=TRUE,$U459=TRUE),AN456+AN459,MAX(AN456,AN459))))</f>
        <v/>
      </c>
      <c r="AO460" s="2516">
        <f>IF(AND($U456=TRUE,$U459=FALSE),AO456,IF(AND($U456=FALSE,$U459=TRUE),AO459,IF(AND($U456=TRUE,$U459=TRUE),AO456+AO459,MAX(AO456,AO459))))</f>
        <v/>
      </c>
      <c r="AV460" s="2469" t="n"/>
      <c r="AX460" s="2469" t="n"/>
      <c r="AY460" s="728" t="n"/>
      <c r="AZ460" s="728" t="n"/>
      <c r="BA460" s="87" t="n"/>
      <c r="BB460" s="438" t="n"/>
      <c r="BC460" s="89" t="n"/>
      <c r="BD460" s="442" t="n"/>
      <c r="BE460" s="442" t="n"/>
      <c r="BF460" s="89" t="n"/>
      <c r="BG460" s="443" t="n"/>
      <c r="BH460" s="443" t="n"/>
      <c r="BI460" s="439" t="n"/>
      <c r="BN460" s="2580" t="n"/>
      <c r="BP460" s="2469" t="n"/>
      <c r="BQ460" s="2469" t="n"/>
      <c r="BR460" s="2469" t="n"/>
      <c r="BS460" s="2469" t="n"/>
      <c r="BT460" s="2469" t="n"/>
      <c r="BU460" s="2469" t="n"/>
      <c r="BV460" s="2469" t="n"/>
      <c r="BW460" s="2469" t="n"/>
      <c r="BX460" s="2469" t="n"/>
      <c r="BY460" s="2469" t="n"/>
      <c r="BZ460" s="2469" t="n"/>
    </row>
    <row r="461" ht="34" customHeight="1" s="2456">
      <c r="A461">
        <f>IF(Test_Bible!B328="","F","O")</f>
        <v/>
      </c>
      <c r="B461" s="1686">
        <f>'Cpts AR +indép + Sommaire'!S73</f>
        <v/>
      </c>
      <c r="C461" s="287">
        <f>'Cpts AR +indép + Sommaire'!O70</f>
        <v/>
      </c>
      <c r="D461" s="258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inlineStr"/>
      <c r="X461" s="814" t="n"/>
      <c r="Y461" s="813" t="n"/>
      <c r="Z461" s="814" t="n"/>
      <c r="AA461" s="813" t="n"/>
      <c r="AB461" s="814" t="n"/>
      <c r="AD461" s="10" t="n"/>
      <c r="AE461" s="10" t="n"/>
      <c r="AF461" s="10" t="n"/>
      <c r="AG461" s="2588">
        <f>IF($K461=TRUE,H461,0)</f>
        <v/>
      </c>
      <c r="AH461" s="2588">
        <f>IF($R461=TRUE,H461,0)</f>
        <v/>
      </c>
      <c r="AI461" s="2588"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69" t="n"/>
      <c r="AX461" s="2469" t="n"/>
      <c r="AY461" s="728" t="n"/>
      <c r="AZ461" s="728" t="n"/>
      <c r="BA461" s="87" t="n"/>
      <c r="BB461" s="438" t="n"/>
      <c r="BC461" s="89" t="n"/>
      <c r="BD461" s="442" t="n"/>
      <c r="BE461" s="442" t="n"/>
      <c r="BF461" s="89" t="n"/>
      <c r="BG461" s="443" t="n"/>
      <c r="BH461" s="443" t="n"/>
      <c r="BI461" s="439" t="n"/>
      <c r="BN461" s="2580" t="n"/>
      <c r="BP461" s="2469" t="n"/>
      <c r="BQ461" s="2469" t="n"/>
      <c r="BR461" s="2469" t="n"/>
      <c r="BS461" s="2469" t="n"/>
      <c r="BT461" s="2469" t="n"/>
      <c r="BU461" s="2469" t="n"/>
      <c r="BV461" s="2469" t="n"/>
      <c r="BW461" s="2469" t="n"/>
      <c r="BX461" s="2469" t="n"/>
      <c r="BY461" s="2469" t="n"/>
      <c r="BZ461" s="2469" t="n"/>
    </row>
    <row r="462" ht="20" customHeight="1" s="2456" thickBot="1">
      <c r="B462" s="1686" t="n"/>
      <c r="C462" s="287" t="inlineStr">
        <is>
          <t>Enf</t>
        </is>
      </c>
      <c r="D462" s="258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88">
        <f>IF($K462=TRUE,H462,0)</f>
        <v/>
      </c>
      <c r="AH462" s="2588">
        <f>IF($R462=TRUE,H462,0)</f>
        <v/>
      </c>
      <c r="AI462" s="2588"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69" t="n"/>
      <c r="AX462" s="2469" t="n"/>
      <c r="AY462" s="728" t="n"/>
      <c r="AZ462" s="728" t="n"/>
      <c r="BA462" s="87" t="n"/>
      <c r="BB462" s="438" t="n"/>
      <c r="BC462" s="89" t="n"/>
      <c r="BD462" s="442" t="n"/>
      <c r="BE462" s="442" t="n"/>
      <c r="BF462" s="89" t="n"/>
      <c r="BG462" s="443" t="n"/>
      <c r="BH462" s="443" t="n"/>
      <c r="BI462" s="439" t="n"/>
      <c r="BN462" s="2580" t="n"/>
      <c r="BP462" s="2469" t="n"/>
      <c r="BQ462" s="2469" t="n"/>
      <c r="BR462" s="2469" t="n"/>
      <c r="BS462" s="2469" t="n"/>
      <c r="BT462" s="2469" t="n"/>
      <c r="BU462" s="2469" t="n"/>
      <c r="BV462" s="2469" t="n"/>
      <c r="BW462" s="2469" t="n"/>
      <c r="BX462" s="2469" t="n"/>
      <c r="BY462" s="2469" t="n"/>
      <c r="BZ462" s="2469" t="n"/>
    </row>
    <row r="463" ht="35" customHeight="1" s="2456"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56">
      <c r="B464" s="1686" t="n"/>
      <c r="D464" s="383" t="inlineStr">
        <is>
          <t>COMPARATIF Comportement PFA-Enf</t>
        </is>
      </c>
      <c r="E464" s="2576"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56">
      <c r="B465" s="1686" t="n"/>
      <c r="C465" t="inlineStr">
        <is>
          <t>PCR</t>
        </is>
      </c>
      <c r="I465" s="122" t="n"/>
      <c r="L465" s="2464" t="n"/>
      <c r="M465" s="2464" t="n"/>
      <c r="N465" s="2464" t="n"/>
      <c r="O465" s="1365" t="n"/>
      <c r="P465" s="122" t="n"/>
      <c r="R465" s="2567" t="n"/>
      <c r="S465" s="122" t="n"/>
      <c r="U465" s="2567" t="n"/>
      <c r="V465" s="2464" t="n"/>
      <c r="W465" s="813" t="n"/>
      <c r="X465" s="814" t="n"/>
      <c r="Y465" s="813" t="n"/>
      <c r="Z465" s="814" t="n"/>
      <c r="AA465" s="813" t="n"/>
      <c r="AB465" s="814" t="n"/>
      <c r="AD465" s="10" t="n"/>
      <c r="AE465" s="10" t="n"/>
      <c r="AF465" s="10" t="n"/>
      <c r="AG465" s="2588" t="n"/>
      <c r="AH465" s="2588" t="n"/>
      <c r="AI465" s="2588"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56">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64" t="n"/>
      <c r="W466" s="813" t="n"/>
      <c r="X466" s="814" t="n"/>
      <c r="Y466" s="813" t="n"/>
      <c r="Z466" s="814" t="n"/>
      <c r="AA466" s="813" t="n"/>
      <c r="AB466" s="814" t="n"/>
      <c r="AD466" s="10" t="n"/>
      <c r="AE466" s="10" t="n"/>
      <c r="AF466" s="10" t="n"/>
      <c r="AG466" s="2588">
        <f>IF($K466=TRUE,H466,0)</f>
        <v/>
      </c>
      <c r="AH466" s="2588">
        <f>IF($R466=TRUE,H466,0)</f>
        <v/>
      </c>
      <c r="AI466" s="2588">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56"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88">
        <f>IF($K467=TRUE,H467,0)</f>
        <v/>
      </c>
      <c r="AH467" s="2588">
        <f>IF($R467=TRUE,H467,0)</f>
        <v/>
      </c>
      <c r="AI467" s="2588">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56" thickBot="1">
      <c r="D468" s="2520" t="n"/>
      <c r="E468" s="2520"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56" thickBot="1">
      <c r="D469" s="2520" t="n"/>
      <c r="E469" s="2520" t="n"/>
      <c r="F469" s="67" t="n"/>
      <c r="G469" s="434" t="n"/>
      <c r="H469" s="434" t="n"/>
      <c r="I469" s="2465" t="n"/>
      <c r="J469" s="246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20" t="n"/>
      <c r="E470" s="2520" t="n"/>
      <c r="F470" s="67" t="n"/>
      <c r="G470" s="434" t="n"/>
      <c r="H470" s="434" t="n"/>
      <c r="I470" s="1330" t="n"/>
      <c r="J470" s="1331" t="n"/>
      <c r="K470" s="1332" t="n"/>
      <c r="L470" s="2568" t="n"/>
      <c r="M470" s="2541" t="n"/>
      <c r="N470" s="2541"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2" t="inlineStr">
        <is>
          <t>AP</t>
        </is>
      </c>
      <c r="L471" s="2570" t="inlineStr">
        <is>
          <t>Dynamique d'AP</t>
        </is>
      </c>
      <c r="O471" s="2567" t="n"/>
      <c r="P471" s="2566" t="inlineStr">
        <is>
          <t>CL</t>
        </is>
      </c>
      <c r="R471" s="2567" t="n"/>
      <c r="S471" s="2571" t="inlineStr">
        <is>
          <t>CSS</t>
        </is>
      </c>
      <c r="U471" s="2567"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69" t="inlineStr">
        <is>
          <t>AP</t>
        </is>
      </c>
      <c r="AL471" s="2569" t="inlineStr">
        <is>
          <t>CL</t>
        </is>
      </c>
      <c r="AN471" s="2569" t="inlineStr">
        <is>
          <t>CSS</t>
        </is>
      </c>
      <c r="AY471" s="728" t="n"/>
      <c r="AZ471" s="728" t="n"/>
      <c r="BA471" s="87" t="n"/>
      <c r="BB471" s="438" t="n"/>
      <c r="BC471" s="89" t="n"/>
      <c r="BD471" s="442" t="n"/>
      <c r="BE471" s="442" t="n"/>
      <c r="BF471" s="89" t="n"/>
      <c r="BG471" s="443" t="n"/>
      <c r="BH471" s="443" t="n"/>
      <c r="BI471" s="439" t="n"/>
    </row>
    <row r="472" ht="34" customHeight="1" s="2456">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5"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56">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88">
        <f>IF($K473=TRUE,H473,0)</f>
        <v/>
      </c>
      <c r="AH473" s="2588">
        <f>IF($R473=TRUE,H473,0)</f>
        <v/>
      </c>
      <c r="AI473" s="2588">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56">
      <c r="B474" s="1686" t="n"/>
      <c r="C474" s="376" t="inlineStr">
        <is>
          <t>PFA</t>
        </is>
      </c>
      <c r="D474" s="258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88">
        <f>IF($K474=TRUE,H474,0)</f>
        <v/>
      </c>
      <c r="AH474" s="2588">
        <f>IF($R474=TRUE,H474,0)</f>
        <v/>
      </c>
      <c r="AI474" s="2588">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56">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56">
      <c r="A476">
        <f>IF(Test_Bible!B426="","F","O")</f>
        <v/>
      </c>
      <c r="B476" s="1686">
        <f>'Cpts AR +indép + Sommaire'!M73</f>
        <v/>
      </c>
      <c r="C476" s="38">
        <f>'Cpts AR +indép + Sommaire'!I73</f>
        <v/>
      </c>
      <c r="D476" s="258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88">
        <f>IF(K476=TRUE,H476,0)</f>
        <v/>
      </c>
      <c r="AH476" s="2588">
        <f>IF(R476=TRUE,H476,0)</f>
        <v/>
      </c>
      <c r="AI476" s="2588">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56">
      <c r="B477" s="1686" t="n"/>
      <c r="C477" s="38" t="inlineStr">
        <is>
          <t>NC</t>
        </is>
      </c>
      <c r="D477" s="258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88">
        <f>IF(K477=TRUE,H477,0)</f>
        <v/>
      </c>
      <c r="AH477" s="2588">
        <f>IF(R477=TRUE,H477,0)</f>
        <v/>
      </c>
      <c r="AI477" s="2588">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69" t="n"/>
      <c r="AX477" s="2469" t="n"/>
      <c r="AY477" s="728" t="n"/>
      <c r="AZ477" s="728" t="n"/>
      <c r="BA477" s="87" t="n"/>
      <c r="BB477" s="438" t="n"/>
      <c r="BC477" s="89" t="n"/>
      <c r="BD477" s="442" t="n"/>
      <c r="BE477" s="442" t="n"/>
      <c r="BF477" s="89" t="n"/>
      <c r="BG477" s="443" t="n"/>
      <c r="BH477" s="443" t="n"/>
      <c r="BI477" s="439" t="n"/>
      <c r="BN477" s="2580" t="n"/>
      <c r="BP477" s="2469" t="n"/>
      <c r="BQ477" s="2469" t="n"/>
      <c r="BR477" s="2469" t="n"/>
      <c r="BS477" s="2469" t="n"/>
      <c r="BT477" s="2469" t="n"/>
      <c r="BU477" s="2469" t="n"/>
      <c r="BV477" s="2469" t="n"/>
      <c r="BW477" s="2469" t="n"/>
      <c r="BX477" s="2469" t="n"/>
      <c r="BY477" s="2469" t="n"/>
      <c r="BZ477" s="2469" t="n"/>
    </row>
    <row r="478" ht="52" customHeight="1" s="2456"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69" t="n"/>
      <c r="AX478" s="2469" t="n"/>
      <c r="AY478" s="728" t="n"/>
      <c r="AZ478" s="728" t="n"/>
      <c r="BA478" s="87" t="n"/>
      <c r="BB478" s="438" t="n"/>
      <c r="BC478" s="89" t="n"/>
      <c r="BD478" s="442" t="n"/>
      <c r="BE478" s="442" t="n"/>
      <c r="BF478" s="89" t="n"/>
      <c r="BG478" s="443" t="n"/>
      <c r="BH478" s="443" t="n"/>
      <c r="BI478" s="439" t="n"/>
      <c r="BN478" s="2580" t="n"/>
      <c r="BP478" s="2469" t="n"/>
      <c r="BQ478" s="2469" t="n"/>
      <c r="BR478" s="2469" t="n"/>
      <c r="BS478" s="2469" t="n"/>
      <c r="BT478" s="2469" t="n"/>
      <c r="BU478" s="2469" t="n"/>
      <c r="BV478" s="2469" t="n"/>
      <c r="BW478" s="2469" t="n"/>
      <c r="BX478" s="2469" t="n"/>
      <c r="BY478" s="2469" t="n"/>
      <c r="BZ478" s="2469" t="n"/>
    </row>
    <row r="479" ht="52" customHeight="1" s="2456"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16">
        <f>IF(AND($K475=TRUE,$K478=FALSE),AG475,IF(AND($K475=FALSE,$K478=TRUE),AG478,IF(AND($K475=TRUE,$K478=TRUE),AG475+AG478,0)))</f>
        <v/>
      </c>
      <c r="AH479" s="2516">
        <f>IF(AND($R475=TRUE,$R478=FALSE),AH475,IF(AND($R475=FALSE,$R478=TRUE),AH478,IF(AND($R475=TRUE,$R478=TRUE),AH475+AH478,0)))</f>
        <v/>
      </c>
      <c r="AI479" s="2516">
        <f>IF(AND($U475=TRUE,$U478=FALSE),AI475,IF(AND($U475=FALSE,$U478=TRUE),AI478,IF(AND($U475=TRUE,$U478=TRUE),AI475+AI478,0)))</f>
        <v/>
      </c>
      <c r="AJ479" s="2516">
        <f>IF(AND($K475=TRUE,$K478=FALSE),AJ475,IF(AND($K475=FALSE,$K478=TRUE),AJ478,IF(AND($K475=TRUE,$K478=TRUE),AJ475+AJ478,MAX(AJ475,AJ478))))</f>
        <v/>
      </c>
      <c r="AK479" s="2516">
        <f>IF(AND($K475=TRUE,$K478=FALSE),AK475,IF(AND($K475=FALSE,$K478=TRUE),AK478,IF(AND($K475=TRUE,$K478=TRUE),AK475+AK478,MAX(AK475,AK478))))</f>
        <v/>
      </c>
      <c r="AL479" s="2516">
        <f>IF(AND($R475=TRUE,$R478=FALSE),AL475,IF(AND($R475=FALSE,$R478=TRUE),AL478,IF(AND($R475=TRUE,$R478=TRUE),AL475+AL478,MAX(AL475,AL478))))</f>
        <v/>
      </c>
      <c r="AM479" s="2516">
        <f>IF(AND($R475=TRUE,$R478=FALSE),AM475,IF(AND($R475=FALSE,$R478=TRUE),AM478,IF(AND($R475=TRUE,$R478=TRUE),AM475+AM478,MAX(AM475,AM478))))</f>
        <v/>
      </c>
      <c r="AN479" s="2516">
        <f>IF(AND($U475=TRUE,$U478=FALSE),AN475,IF(AND($U475=FALSE,$U478=TRUE),AN478,IF(AND($U475=TRUE,$U478=TRUE),AN475+AN478,MAX(AN475,AN478))))</f>
        <v/>
      </c>
      <c r="AO479" s="2516">
        <f>IF(AND($U475=TRUE,$U478=FALSE),AO475,IF(AND($U475=FALSE,$U478=TRUE),AO478,IF(AND($U475=TRUE,$U478=TRUE),AO475+AO478,MAX(AO475,AO478))))</f>
        <v/>
      </c>
      <c r="AV479" s="2469" t="n"/>
      <c r="AX479" s="2469" t="n"/>
      <c r="AY479" s="728" t="n"/>
      <c r="AZ479" s="728" t="n"/>
      <c r="BA479" s="87" t="n"/>
      <c r="BB479" s="438" t="n"/>
      <c r="BC479" s="89" t="n"/>
      <c r="BD479" s="442" t="n"/>
      <c r="BE479" s="442" t="n"/>
      <c r="BF479" s="89" t="n"/>
      <c r="BG479" s="443" t="n"/>
      <c r="BH479" s="443" t="n"/>
      <c r="BI479" s="439" t="n"/>
      <c r="BN479" s="2580" t="n"/>
      <c r="BP479" s="2469" t="n"/>
      <c r="BQ479" s="2469" t="n"/>
      <c r="BR479" s="2469" t="n"/>
      <c r="BS479" s="2469" t="n"/>
      <c r="BT479" s="2469" t="n"/>
      <c r="BU479" s="2469" t="n"/>
      <c r="BV479" s="2469" t="n"/>
      <c r="BW479" s="2469" t="n"/>
      <c r="BX479" s="2469" t="n"/>
      <c r="BY479" s="2469" t="n"/>
      <c r="BZ479" s="2469" t="n"/>
    </row>
    <row r="480" ht="34" customHeight="1" s="2456">
      <c r="A480">
        <f>IF(Test_Bible!B326="","F","O")</f>
        <v/>
      </c>
      <c r="B480" s="1686">
        <f>'Cpts AR +indép + Sommaire'!S73</f>
        <v/>
      </c>
      <c r="C480" s="287">
        <f>'Cpts AR +indép + Sommaire'!O73</f>
        <v/>
      </c>
      <c r="D480" s="258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inlineStr"/>
      <c r="X480" s="814" t="n"/>
      <c r="Y480" s="813" t="n"/>
      <c r="Z480" s="814" t="n"/>
      <c r="AA480" s="813" t="n"/>
      <c r="AB480" s="814" t="n"/>
      <c r="AD480" s="10" t="n"/>
      <c r="AE480" s="10" t="n"/>
      <c r="AF480" s="10" t="n"/>
      <c r="AG480" s="2588">
        <f>IF($K480=TRUE,H480,0)</f>
        <v/>
      </c>
      <c r="AH480" s="2588">
        <f>IF($R480=TRUE,H480,0)</f>
        <v/>
      </c>
      <c r="AI480" s="2588"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69" t="n"/>
      <c r="AX480" s="2469" t="n"/>
      <c r="AY480" s="728" t="n"/>
      <c r="AZ480" s="728" t="n"/>
      <c r="BA480" s="87" t="n"/>
      <c r="BB480" s="438" t="n"/>
      <c r="BC480" s="89" t="n"/>
      <c r="BD480" s="442" t="n"/>
      <c r="BE480" s="442" t="n"/>
      <c r="BF480" s="89" t="n"/>
      <c r="BG480" s="443" t="n"/>
      <c r="BH480" s="443" t="n"/>
      <c r="BI480" s="439" t="n"/>
      <c r="BN480" s="2580" t="n"/>
      <c r="BP480" s="2469" t="n"/>
      <c r="BQ480" s="2469" t="n"/>
      <c r="BR480" s="2469" t="n"/>
      <c r="BS480" s="2469" t="n"/>
      <c r="BT480" s="2469" t="n"/>
      <c r="BU480" s="2469" t="n"/>
      <c r="BV480" s="2469" t="n"/>
      <c r="BW480" s="2469" t="n"/>
      <c r="BX480" s="2469" t="n"/>
      <c r="BY480" s="2469" t="n"/>
      <c r="BZ480" s="2469" t="n"/>
    </row>
    <row r="481" ht="20" customHeight="1" s="2456" thickBot="1">
      <c r="B481" s="1686" t="n"/>
      <c r="C481" s="287" t="inlineStr">
        <is>
          <t>Enf</t>
        </is>
      </c>
      <c r="D481" s="258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88">
        <f>IF($K481=TRUE,H481,0)</f>
        <v/>
      </c>
      <c r="AH481" s="2588">
        <f>IF($R481=TRUE,H481,0)</f>
        <v/>
      </c>
      <c r="AI481" s="2588"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69" t="n"/>
      <c r="AX481" s="2469" t="n"/>
      <c r="AY481" s="728" t="n"/>
      <c r="AZ481" s="728" t="n"/>
      <c r="BA481" s="87" t="n"/>
      <c r="BB481" s="438" t="n"/>
      <c r="BC481" s="89" t="n"/>
      <c r="BD481" s="442" t="n"/>
      <c r="BE481" s="442" t="n"/>
      <c r="BF481" s="89" t="n"/>
      <c r="BG481" s="443" t="n"/>
      <c r="BH481" s="443" t="n"/>
      <c r="BI481" s="439" t="n"/>
      <c r="BN481" s="2580" t="n"/>
      <c r="BP481" s="2469" t="n"/>
      <c r="BQ481" s="2469" t="n"/>
      <c r="BR481" s="2469" t="n"/>
      <c r="BS481" s="2469" t="n"/>
      <c r="BT481" s="2469" t="n"/>
      <c r="BU481" s="2469" t="n"/>
      <c r="BV481" s="2469" t="n"/>
      <c r="BW481" s="2469" t="n"/>
      <c r="BX481" s="2469" t="n"/>
      <c r="BY481" s="2469" t="n"/>
      <c r="BZ481" s="2469" t="n"/>
    </row>
    <row r="482" ht="35" customHeight="1" s="2456"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56">
      <c r="B483" s="1686" t="n"/>
      <c r="D483" s="383" t="inlineStr">
        <is>
          <t>COMPARATIF Comportement PFA-Enf</t>
        </is>
      </c>
      <c r="E483" s="2576"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56">
      <c r="B484" s="1686" t="n"/>
      <c r="C484" t="inlineStr">
        <is>
          <t>PCR</t>
        </is>
      </c>
      <c r="I484" s="122" t="n"/>
      <c r="L484" s="2464" t="n"/>
      <c r="M484" s="2464" t="n"/>
      <c r="N484" s="2464" t="n"/>
      <c r="O484" s="1365" t="n"/>
      <c r="P484" s="122" t="n"/>
      <c r="R484" s="2567" t="n"/>
      <c r="S484" s="122" t="n"/>
      <c r="U484" s="2567" t="n"/>
      <c r="V484" s="2464" t="n"/>
      <c r="W484" s="813" t="n"/>
      <c r="X484" s="814" t="n"/>
      <c r="Y484" s="813" t="n"/>
      <c r="Z484" s="814" t="n"/>
      <c r="AA484" s="813" t="n"/>
      <c r="AB484" s="814" t="n"/>
      <c r="AD484" s="10" t="n"/>
      <c r="AE484" s="10" t="n"/>
      <c r="AF484" s="10" t="n"/>
      <c r="AG484" s="2588" t="n"/>
      <c r="AH484" s="2588" t="n"/>
      <c r="AI484" s="2588" t="n"/>
      <c r="AJ484" s="1476" t="n"/>
      <c r="AK484" s="1476" t="n"/>
      <c r="AL484" s="1476" t="n"/>
      <c r="AM484" s="1476" t="n"/>
      <c r="AN484" s="1476" t="n"/>
      <c r="AO484" s="1476" t="n"/>
    </row>
    <row r="485" ht="19" customHeight="1" s="2456">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64" t="n"/>
      <c r="W485" s="813" t="n"/>
      <c r="X485" s="814" t="n"/>
      <c r="Y485" s="813" t="n"/>
      <c r="Z485" s="814" t="n"/>
      <c r="AA485" s="813" t="n"/>
      <c r="AB485" s="814" t="n"/>
      <c r="AD485" s="10" t="n"/>
      <c r="AE485" s="10" t="n"/>
      <c r="AF485" s="10" t="n"/>
      <c r="AG485" s="2588">
        <f>IF($K485=TRUE,H485,0)</f>
        <v/>
      </c>
      <c r="AH485" s="2588">
        <f>IF($R485=TRUE,H485,0)</f>
        <v/>
      </c>
      <c r="AI485" s="2588">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56"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88">
        <f>IF($K486=TRUE,H486,0)</f>
        <v/>
      </c>
      <c r="AH486" s="2588">
        <f>IF($R486=TRUE,H486,0)</f>
        <v/>
      </c>
      <c r="AI486" s="2588">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56" thickBot="1">
      <c r="B487" s="1686" t="n"/>
      <c r="D487" s="2520" t="n"/>
      <c r="E487" s="2520"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56" thickBot="1">
      <c r="D488" s="2520" t="n"/>
      <c r="E488" s="2520" t="n"/>
      <c r="F488" s="67" t="n"/>
      <c r="G488" s="434" t="n"/>
      <c r="H488" s="434" t="n"/>
      <c r="I488" s="2465" t="n"/>
      <c r="J488" s="246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20" t="n"/>
      <c r="E489" s="2520" t="n"/>
      <c r="F489" s="67" t="n"/>
      <c r="G489" s="434" t="n"/>
      <c r="H489" s="434" t="n"/>
      <c r="I489" s="1330" t="n"/>
      <c r="J489" s="1331" t="n"/>
      <c r="K489" s="1332" t="n"/>
      <c r="L489" s="2568" t="n"/>
      <c r="M489" s="2541" t="n"/>
      <c r="N489" s="2541"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2" t="inlineStr">
        <is>
          <t>AP</t>
        </is>
      </c>
      <c r="L490" s="2570" t="inlineStr">
        <is>
          <t>Dynamique d'AP</t>
        </is>
      </c>
      <c r="O490" s="2567" t="n"/>
      <c r="P490" s="2566" t="inlineStr">
        <is>
          <t>CL</t>
        </is>
      </c>
      <c r="R490" s="2567" t="n"/>
      <c r="S490" s="2571" t="inlineStr">
        <is>
          <t>CSS</t>
        </is>
      </c>
      <c r="U490" s="2567"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69" t="inlineStr">
        <is>
          <t>AP</t>
        </is>
      </c>
      <c r="AL490" s="2569" t="inlineStr">
        <is>
          <t>CL</t>
        </is>
      </c>
      <c r="AN490" s="2569" t="inlineStr">
        <is>
          <t>CSS</t>
        </is>
      </c>
    </row>
    <row r="491" ht="34" customHeight="1" s="2456">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5"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56">
      <c r="A492">
        <f>IF(Test_Bible!B250="","F","O")</f>
        <v/>
      </c>
      <c r="B492" s="1686">
        <f>'Cpts AR +indép + Sommaire'!G75</f>
        <v/>
      </c>
      <c r="C492" s="376">
        <f>'Cpts AR +indép + Sommaire'!C75</f>
        <v/>
      </c>
      <c r="D492" s="258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88">
        <f>IF($K492=TRUE,H492,0)</f>
        <v/>
      </c>
      <c r="AH492" s="2588">
        <f>IF($R492=TRUE,H492,0)</f>
        <v/>
      </c>
      <c r="AI492" s="2588">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56">
      <c r="A493">
        <f>IF(Test_Bible!B234="","F","O")</f>
        <v/>
      </c>
      <c r="B493" s="1686">
        <f>'Cpts AR +indép + Sommaire'!G76</f>
        <v/>
      </c>
      <c r="C493" s="376">
        <f>'Cpts AR +indép + Sommaire'!C76</f>
        <v/>
      </c>
      <c r="D493" s="258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88">
        <f>IF($K493=TRUE,H493,0)</f>
        <v/>
      </c>
      <c r="AH493" s="2588">
        <f>IF($R493=TRUE,H493,0)</f>
        <v/>
      </c>
      <c r="AI493" s="2588">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56">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56">
      <c r="B495" s="1686" t="n"/>
      <c r="C495" s="38" t="inlineStr">
        <is>
          <t>NC</t>
        </is>
      </c>
      <c r="D495" s="258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88">
        <f>IF(K495=TRUE,H495,0)</f>
        <v/>
      </c>
      <c r="AH495" s="2588">
        <f>IF(R495=TRUE,H495,0)</f>
        <v/>
      </c>
      <c r="AI495" s="2588">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56">
      <c r="B496" s="1686" t="n"/>
      <c r="C496" s="38" t="inlineStr">
        <is>
          <t>NC</t>
        </is>
      </c>
      <c r="D496" s="258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88">
        <f>IF(K496=TRUE,H496,0)</f>
        <v/>
      </c>
      <c r="AH496" s="2588">
        <f>IF(R496=TRUE,H496,0)</f>
        <v/>
      </c>
      <c r="AI496" s="2588">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56"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56"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16">
        <f>IF(AND($K494=TRUE,$K497=FALSE),AG494,IF(AND($K494=FALSE,$K497=TRUE),AG497,IF(AND($K494=TRUE,$K497=TRUE),AG494+AG497,0)))</f>
        <v/>
      </c>
      <c r="AH498" s="2516">
        <f>IF(AND($R494=TRUE,$R497=FALSE),AH494,IF(AND($R494=FALSE,$R497=TRUE),AH497,IF(AND($R494=TRUE,$R497=TRUE),AH494+AH497,0)))</f>
        <v/>
      </c>
      <c r="AI498" s="2516">
        <f>IF(AND($U494=TRUE,$U497=FALSE),AI494,IF(AND($U494=FALSE,$U497=TRUE),AI497,IF(AND($U494=TRUE,$U497=TRUE),AI494+AI497,0)))</f>
        <v/>
      </c>
      <c r="AJ498" s="2516">
        <f>IF(AND($K494=TRUE,$K497=FALSE),AJ494,IF(AND($K494=FALSE,$K497=TRUE),AJ497,IF(AND($K494=TRUE,$K497=TRUE),AJ494+AJ497,MAX(AJ494,AJ497))))</f>
        <v/>
      </c>
      <c r="AK498" s="2516">
        <f>IF(AND($K494=TRUE,$K497=FALSE),AK494,IF(AND($K494=FALSE,$K497=TRUE),AK497,IF(AND($K494=TRUE,$K497=TRUE),AK494+AK497,MAX(AK494,AK497))))</f>
        <v/>
      </c>
      <c r="AL498" s="2516">
        <f>IF(AND($R494=TRUE,$R497=FALSE),AL494,IF(AND($R494=FALSE,$R497=TRUE),AL497,IF(AND($R494=TRUE,$R497=TRUE),AL494+AL497,MAX(AL494,AL497))))</f>
        <v/>
      </c>
      <c r="AM498" s="2516">
        <f>IF(AND($R494=TRUE,$R497=FALSE),AM494,IF(AND($R494=FALSE,$R497=TRUE),AM497,IF(AND($R494=TRUE,$R497=TRUE),AM494+AM497,MAX(AM494,AM497))))</f>
        <v/>
      </c>
      <c r="AN498" s="2516">
        <f>IF(AND($U494=TRUE,$U497=FALSE),AN494,IF(AND($U494=FALSE,$U497=TRUE),AN497,IF(AND($U494=TRUE,$U497=TRUE),AN494+AN497,MAX(AN494,AN497))))</f>
        <v/>
      </c>
      <c r="AO498" s="2516">
        <f>IF(AND($U494=TRUE,$U497=FALSE),AO494,IF(AND($U494=FALSE,$U497=TRUE),AO497,IF(AND($U494=TRUE,$U497=TRUE),AO494+AO497,MAX(AO494,AO497))))</f>
        <v/>
      </c>
    </row>
    <row r="499" ht="51" customHeight="1" s="2456">
      <c r="A499">
        <f>IF(Test_Bible!B324="","F","O")</f>
        <v/>
      </c>
      <c r="B499" s="1686">
        <f>'Cpts AR +indép + Sommaire'!S75</f>
        <v/>
      </c>
      <c r="C499" s="287">
        <f>'Cpts AR +indép + Sommaire'!O75</f>
        <v/>
      </c>
      <c r="D499" s="258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inlineStr"/>
      <c r="X499" s="814" t="n"/>
      <c r="Y499" s="813" t="n"/>
      <c r="Z499" s="814" t="n"/>
      <c r="AA499" s="813" t="n"/>
      <c r="AB499" s="814" t="n"/>
      <c r="AD499" s="10" t="n"/>
      <c r="AE499" s="10" t="n"/>
      <c r="AF499" s="10" t="n"/>
      <c r="AG499" s="2588">
        <f>IF($K499=TRUE,H499,0)</f>
        <v/>
      </c>
      <c r="AH499" s="2588">
        <f>IF($R499=TRUE,H499,0)</f>
        <v/>
      </c>
      <c r="AI499" s="2588"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56" thickBot="1">
      <c r="B500" s="1686" t="n"/>
      <c r="C500" s="287" t="inlineStr">
        <is>
          <t>Enf</t>
        </is>
      </c>
      <c r="D500" s="258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88">
        <f>IF($K500=TRUE,H500,0)</f>
        <v/>
      </c>
      <c r="AH500" s="2588">
        <f>IF($R500=TRUE,H500,0)</f>
        <v/>
      </c>
      <c r="AI500" s="2588"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56"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56">
      <c r="B502" s="1686" t="n"/>
      <c r="D502" s="383" t="inlineStr">
        <is>
          <t>COMPARATIF Comportement PFA-Enf</t>
        </is>
      </c>
      <c r="E502" s="2576"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56">
      <c r="B503" s="1686" t="n"/>
      <c r="C503" t="inlineStr">
        <is>
          <t>PCR</t>
        </is>
      </c>
      <c r="I503" s="122" t="n"/>
      <c r="L503" s="2464" t="n"/>
      <c r="M503" s="2464" t="n"/>
      <c r="N503" s="2464" t="n"/>
      <c r="O503" s="1365" t="n"/>
      <c r="P503" s="122" t="n"/>
      <c r="R503" s="2567" t="n"/>
      <c r="S503" s="122" t="n"/>
      <c r="U503" s="2567" t="n"/>
      <c r="V503" s="2464" t="n"/>
      <c r="W503" s="813" t="n"/>
      <c r="X503" s="814" t="n"/>
      <c r="Y503" s="813" t="n"/>
      <c r="Z503" s="814" t="n"/>
      <c r="AA503" s="813" t="n"/>
      <c r="AB503" s="814" t="n"/>
      <c r="AD503" s="10" t="n"/>
      <c r="AE503" s="10" t="n"/>
      <c r="AF503" s="10" t="n"/>
      <c r="AG503" s="2588" t="n"/>
      <c r="AH503" s="2588" t="n"/>
      <c r="AI503" s="2588" t="n"/>
      <c r="AJ503" s="1476" t="n"/>
      <c r="AK503" s="1476" t="n"/>
      <c r="AL503" s="1476" t="n"/>
      <c r="AM503" s="1476" t="n"/>
      <c r="AN503" s="1476" t="n"/>
      <c r="AO503" s="1476" t="n"/>
    </row>
    <row r="504" ht="19" customHeight="1" s="2456">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64" t="n"/>
      <c r="W504" s="813" t="n"/>
      <c r="X504" s="814" t="n"/>
      <c r="Y504" s="813" t="n"/>
      <c r="Z504" s="814" t="n"/>
      <c r="AA504" s="813" t="n"/>
      <c r="AB504" s="814" t="n"/>
      <c r="AD504" s="10" t="n"/>
      <c r="AE504" s="10" t="n"/>
      <c r="AF504" s="10" t="n"/>
      <c r="AG504" s="2588">
        <f>IF($K504=TRUE,H504,0)</f>
        <v/>
      </c>
      <c r="AH504" s="2588">
        <f>IF($R504=TRUE,H504,0)</f>
        <v/>
      </c>
      <c r="AI504" s="2588">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56"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88">
        <f>IF($K505=TRUE,H505,0)</f>
        <v/>
      </c>
      <c r="AH505" s="2588">
        <f>IF($R505=TRUE,H505,0)</f>
        <v/>
      </c>
      <c r="AI505" s="2588">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56" thickBot="1">
      <c r="D506" s="2520" t="n"/>
      <c r="E506" s="2520"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56" thickBot="1">
      <c r="D507" s="2520" t="n"/>
      <c r="E507" s="2520" t="n"/>
      <c r="F507" s="67" t="n"/>
      <c r="G507" s="434" t="n"/>
      <c r="H507" s="434" t="n"/>
      <c r="I507" s="2465" t="n"/>
      <c r="J507" s="246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68" t="n"/>
      <c r="M508" s="2541" t="n"/>
      <c r="N508" s="2541"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2" t="inlineStr">
        <is>
          <t>AP</t>
        </is>
      </c>
      <c r="L509" s="2570" t="inlineStr">
        <is>
          <t>Dynamique d'AP</t>
        </is>
      </c>
      <c r="O509" s="2567" t="n"/>
      <c r="P509" s="2566" t="inlineStr">
        <is>
          <t>CL</t>
        </is>
      </c>
      <c r="R509" s="2567" t="n"/>
      <c r="S509" s="2571" t="inlineStr">
        <is>
          <t>CSS</t>
        </is>
      </c>
      <c r="U509" s="2567"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69" t="inlineStr">
        <is>
          <t>AP</t>
        </is>
      </c>
      <c r="AL509" s="2569" t="inlineStr">
        <is>
          <t>CL</t>
        </is>
      </c>
      <c r="AN509" s="2569" t="inlineStr">
        <is>
          <t>CSS</t>
        </is>
      </c>
    </row>
    <row r="510" ht="36" customHeight="1" s="2456">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5"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56">
      <c r="A511">
        <f>IF(Test_Bible!B218="","F","O")</f>
        <v/>
      </c>
      <c r="B511" s="1686">
        <f>'Cpts AR +indép + Sommaire'!G78</f>
        <v/>
      </c>
      <c r="C511" s="376">
        <f>'Cpts AR +indép + Sommaire'!C78</f>
        <v/>
      </c>
      <c r="D511" s="258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88">
        <f>IF($K511=TRUE,H511,0)</f>
        <v/>
      </c>
      <c r="AH511" s="2588">
        <f>IF($R511=TRUE,H511,0)</f>
        <v/>
      </c>
      <c r="AI511" s="2588">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56">
      <c r="A512">
        <f>IF(Test_Bible!B219="","F","O")</f>
        <v/>
      </c>
      <c r="B512" s="1686">
        <f>'Cpts AR +indép + Sommaire'!G79</f>
        <v/>
      </c>
      <c r="C512" s="376">
        <f>'Cpts AR +indép + Sommaire'!C79</f>
        <v/>
      </c>
      <c r="D512" s="258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88">
        <f>IF($K512=TRUE,H512,0)</f>
        <v/>
      </c>
      <c r="AH512" s="2588">
        <f>IF($R512=TRUE,H512,0)</f>
        <v/>
      </c>
      <c r="AI512" s="2588">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56">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56">
      <c r="B514" s="1686" t="n"/>
      <c r="C514" s="38" t="inlineStr">
        <is>
          <t>NC</t>
        </is>
      </c>
      <c r="D514" s="258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88">
        <f>IF(K514=TRUE,H514,0)</f>
        <v/>
      </c>
      <c r="AH514" s="2588">
        <f>IF(R514=TRUE,H514,0)</f>
        <v/>
      </c>
      <c r="AI514" s="2588">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56">
      <c r="B515" s="1686" t="n"/>
      <c r="C515" s="38" t="inlineStr">
        <is>
          <t>NC</t>
        </is>
      </c>
      <c r="D515" s="258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88">
        <f>IF(K515=TRUE,H515,0)</f>
        <v/>
      </c>
      <c r="AH515" s="2588">
        <f>IF(R515=TRUE,H515,0)</f>
        <v/>
      </c>
      <c r="AI515" s="2588">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56"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56"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16">
        <f>IF(AND($K513=TRUE,$K516=FALSE),AG513,IF(AND($K513=FALSE,$K516=TRUE),AG516,IF(AND($K513=TRUE,$K516=TRUE),AG513+AG516,0)))</f>
        <v/>
      </c>
      <c r="AH517" s="2516">
        <f>IF(AND($R513=TRUE,$R516=FALSE),AH513,IF(AND($R513=FALSE,$R516=TRUE),AH516,IF(AND($R513=TRUE,$R516=TRUE),AH513+AH516,0)))</f>
        <v/>
      </c>
      <c r="AI517" s="2516">
        <f>IF(AND($U513=TRUE,$U516=FALSE),AI513,IF(AND($U513=FALSE,$U516=TRUE),AI516,IF(AND($U513=TRUE,$U516=TRUE),AI513+AI516,0)))</f>
        <v/>
      </c>
      <c r="AJ517" s="2516">
        <f>IF(AND($K513=TRUE,$K516=FALSE),AJ513,IF(AND($K513=FALSE,$K516=TRUE),AJ516,IF(AND($K513=TRUE,$K516=TRUE),AJ513+AJ516,MAX(AJ513,AJ516))))</f>
        <v/>
      </c>
      <c r="AK517" s="2516">
        <f>IF(AND($K513=TRUE,$K516=FALSE),AK513,IF(AND($K513=FALSE,$K516=TRUE),AK516,IF(AND($K513=TRUE,$K516=TRUE),AK513+AK516,MAX(AK513,AK516))))</f>
        <v/>
      </c>
      <c r="AL517" s="2516">
        <f>IF(AND($R513=TRUE,$R516=FALSE),AL513,IF(AND($R513=FALSE,$R516=TRUE),AL516,IF(AND($R513=TRUE,$R516=TRUE),AL513+AL516,MAX(AL513,AL516))))</f>
        <v/>
      </c>
      <c r="AM517" s="2516">
        <f>IF(AND($R513=TRUE,$R516=FALSE),AM513,IF(AND($R513=FALSE,$R516=TRUE),AM516,IF(AND($R513=TRUE,$R516=TRUE),AM513+AM516,MAX(AM513,AM516))))</f>
        <v/>
      </c>
      <c r="AN517" s="2516">
        <f>IF(AND($U513=TRUE,$U516=FALSE),AN513,IF(AND($U513=FALSE,$U516=TRUE),AN516,IF(AND($U513=TRUE,$U516=TRUE),AN513+AN516,MAX(AN513,AN516))))</f>
        <v/>
      </c>
      <c r="AO517" s="2516">
        <f>IF(AND($U513=TRUE,$U516=FALSE),AO513,IF(AND($U513=FALSE,$U516=TRUE),AO516,IF(AND($U513=TRUE,$U516=TRUE),AO513+AO516,MAX(AO513,AO516))))</f>
        <v/>
      </c>
    </row>
    <row r="518" ht="21" customHeight="1" s="2456">
      <c r="B518" s="1686" t="n"/>
      <c r="C518" s="287" t="n"/>
      <c r="D518" s="258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inlineStr"/>
      <c r="X518" s="814" t="n"/>
      <c r="Y518" s="813" t="n"/>
      <c r="Z518" s="814" t="n"/>
      <c r="AA518" s="813" t="n"/>
      <c r="AB518" s="814" t="n"/>
      <c r="AD518" s="10" t="n"/>
      <c r="AE518" s="10" t="n"/>
      <c r="AF518" s="10" t="n"/>
      <c r="AG518" s="2588">
        <f>IF($K518=TRUE,H518,0)</f>
        <v/>
      </c>
      <c r="AH518" s="2588">
        <f>IF($R518=TRUE,H518,0)</f>
        <v/>
      </c>
      <c r="AI518" s="2588"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56"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88">
        <f>IF($K519=TRUE,H519,0)</f>
        <v/>
      </c>
      <c r="AH519" s="2588">
        <f>IF($R519=TRUE,H519,0)</f>
        <v/>
      </c>
      <c r="AI519" s="2588"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56"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56">
      <c r="B521" s="1686" t="n"/>
      <c r="D521" s="383" t="inlineStr">
        <is>
          <t>COMPARATIF Comportement PFA-Enf</t>
        </is>
      </c>
      <c r="E521" s="2576"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56">
      <c r="B522" s="1686" t="n"/>
      <c r="C522" t="inlineStr">
        <is>
          <t>PCR</t>
        </is>
      </c>
      <c r="I522" s="122" t="n"/>
      <c r="L522" s="2464" t="n"/>
      <c r="M522" s="2464" t="n"/>
      <c r="N522" s="2464" t="n"/>
      <c r="O522" s="1365" t="n"/>
      <c r="P522" s="122" t="n"/>
      <c r="R522" s="2567" t="n"/>
      <c r="S522" s="122" t="n"/>
      <c r="U522" s="2567" t="n"/>
      <c r="V522" s="145" t="n"/>
      <c r="W522" s="813" t="n"/>
      <c r="X522" s="814" t="n"/>
      <c r="Y522" s="813" t="n"/>
      <c r="Z522" s="814" t="n"/>
      <c r="AA522" s="813" t="n"/>
      <c r="AB522" s="814" t="n"/>
      <c r="AD522" s="10" t="n"/>
      <c r="AE522" s="10" t="n"/>
      <c r="AF522" s="10" t="n"/>
      <c r="AG522" s="2588" t="n"/>
      <c r="AH522" s="2588" t="n"/>
      <c r="AI522" s="2588" t="n"/>
      <c r="AJ522" s="1476" t="n"/>
      <c r="AK522" s="1476" t="n"/>
      <c r="AL522" s="1476" t="n"/>
      <c r="AM522" s="1476" t="n"/>
      <c r="AN522" s="1476" t="n"/>
      <c r="AO522" s="1476" t="n"/>
    </row>
    <row r="523" ht="48" customHeight="1" s="2456">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64" t="n"/>
      <c r="W523" s="813" t="n"/>
      <c r="X523" s="814" t="n"/>
      <c r="Y523" s="813" t="n"/>
      <c r="Z523" s="814" t="n"/>
      <c r="AA523" s="813" t="n"/>
      <c r="AB523" s="814" t="n"/>
      <c r="AD523" s="10" t="n"/>
      <c r="AE523" s="10" t="n"/>
      <c r="AF523" s="10" t="n"/>
      <c r="AG523" s="2588">
        <f>IF($K523=TRUE,H523,0)</f>
        <v/>
      </c>
      <c r="AH523" s="2588">
        <f>IF($R523=TRUE,H523,0)</f>
        <v/>
      </c>
      <c r="AI523" s="2588">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56"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64" t="n"/>
      <c r="W524" s="813" t="n"/>
      <c r="X524" s="814" t="n"/>
      <c r="Y524" s="813" t="n"/>
      <c r="Z524" s="814" t="n"/>
      <c r="AA524" s="813" t="n"/>
      <c r="AB524" s="814" t="n"/>
      <c r="AD524" s="10" t="n"/>
      <c r="AE524" s="10" t="n"/>
      <c r="AF524" s="10" t="n"/>
      <c r="AG524" s="2588">
        <f>IF($K524=TRUE,H524,0)</f>
        <v/>
      </c>
      <c r="AH524" s="2588">
        <f>IF($R524=TRUE,H524,0)</f>
        <v/>
      </c>
      <c r="AI524" s="2588">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56"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2" t="inlineStr">
        <is>
          <t>AP</t>
        </is>
      </c>
      <c r="L528" s="2570" t="inlineStr">
        <is>
          <t>Dynamique d'AP</t>
        </is>
      </c>
      <c r="O528" s="2567" t="n"/>
      <c r="P528" s="2566" t="inlineStr">
        <is>
          <t>CL</t>
        </is>
      </c>
      <c r="R528" s="2567" t="n"/>
      <c r="S528" s="2571" t="inlineStr">
        <is>
          <t>CSS</t>
        </is>
      </c>
      <c r="U528" s="2567"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69" t="inlineStr">
        <is>
          <t>AP</t>
        </is>
      </c>
      <c r="AL528" s="2569" t="inlineStr">
        <is>
          <t>CL</t>
        </is>
      </c>
      <c r="AN528" s="2569" t="inlineStr">
        <is>
          <t>CSS</t>
        </is>
      </c>
    </row>
    <row r="529" ht="34" customHeight="1" s="2456">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5"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56">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88">
        <f>IF($K530=TRUE,H530,0)</f>
        <v/>
      </c>
      <c r="AH530" s="2588">
        <f>IF($R530=TRUE,H530,0)</f>
        <v/>
      </c>
      <c r="AI530" s="2588">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56">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88">
        <f>IF($K531=TRUE,H531,0)</f>
        <v/>
      </c>
      <c r="AH531" s="2588">
        <f>IF($R531=TRUE,H531,0)</f>
        <v/>
      </c>
      <c r="AI531" s="2588">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56">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56">
      <c r="A533">
        <f>IF(Test_Bible!B404="","F","O")</f>
        <v/>
      </c>
      <c r="B533" s="1686">
        <f>'Cpts AR +indép + Sommaire'!M81</f>
        <v/>
      </c>
      <c r="C533" s="38">
        <f>'Cpts AR +indép + Sommaire'!I81</f>
        <v/>
      </c>
      <c r="D533" s="258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88">
        <f>IF(K533=TRUE,H533,0)</f>
        <v/>
      </c>
      <c r="AH533" s="2588">
        <f>IF(R533=TRUE,H533,0)</f>
        <v/>
      </c>
      <c r="AI533" s="2588">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56">
      <c r="A534">
        <f>IF(Test_Bible!B405="","F","O")</f>
        <v/>
      </c>
      <c r="B534" s="1686">
        <f>'Cpts AR +indép + Sommaire'!M82</f>
        <v/>
      </c>
      <c r="C534" s="38">
        <f>'Cpts AR +indép + Sommaire'!I82</f>
        <v/>
      </c>
      <c r="D534" s="258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88">
        <f>IF(K534=TRUE,H534,0)</f>
        <v/>
      </c>
      <c r="AH534" s="2588">
        <f>IF(R534=TRUE,H534,0)</f>
        <v/>
      </c>
      <c r="AI534" s="2588">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56"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56"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16">
        <f>IF(AND($K532=TRUE,$K535=FALSE),AG532,IF(AND($K532=FALSE,$K535=TRUE),AG535,IF(AND($K532=TRUE,$K535=TRUE),AG532+AG535,0)))</f>
        <v/>
      </c>
      <c r="AH536" s="2516">
        <f>IF(AND($R532=TRUE,$R535=FALSE),AH532,IF(AND($R532=FALSE,$R535=TRUE),AH535,IF(AND($R532=TRUE,$R535=TRUE),AH532+AH535,0)))</f>
        <v/>
      </c>
      <c r="AI536" s="2516">
        <f>IF(AND($U532=TRUE,$U535=FALSE),AI532,IF(AND($U532=FALSE,$U535=TRUE),AI535,IF(AND($U532=TRUE,$U535=TRUE),AI532+AI535,0)))</f>
        <v/>
      </c>
      <c r="AJ536" s="2516">
        <f>IF(AND($K532=TRUE,$K535=FALSE),AJ532,IF(AND($K532=FALSE,$K535=TRUE),AJ535,IF(AND($K532=TRUE,$K535=TRUE),AJ532+AJ535,MAX(AJ532,AJ535))))</f>
        <v/>
      </c>
      <c r="AK536" s="2516">
        <f>IF(AND($K532=TRUE,$K535=FALSE),AK532,IF(AND($K532=FALSE,$K535=TRUE),AK535,IF(AND($K532=TRUE,$K535=TRUE),AK532+AK535,MAX(AK532,AK535))))</f>
        <v/>
      </c>
      <c r="AL536" s="2516">
        <f>IF(AND($R532=TRUE,$R535=FALSE),AL532,IF(AND($R532=FALSE,$R535=TRUE),AL535,IF(AND($R532=TRUE,$R535=TRUE),AL532+AL535,MAX(AL532,AL535))))</f>
        <v/>
      </c>
      <c r="AM536" s="2516">
        <f>IF(AND($R532=TRUE,$R535=FALSE),AM532,IF(AND($R532=FALSE,$R535=TRUE),AM535,IF(AND($R532=TRUE,$R535=TRUE),AM532+AM535,MAX(AM532,AM535))))</f>
        <v/>
      </c>
      <c r="AN536" s="2516">
        <f>IF(AND($U532=TRUE,$U535=FALSE),AN532,IF(AND($U532=FALSE,$U535=TRUE),AN535,IF(AND($U532=TRUE,$U535=TRUE),AN532+AN535,MAX(AN532,AN535))))</f>
        <v/>
      </c>
      <c r="AO536" s="2516">
        <f>IF(AND($U532=TRUE,$U535=FALSE),AO532,IF(AND($U532=FALSE,$U535=TRUE),AO535,IF(AND($U532=TRUE,$U535=TRUE),AO532+AO535,MAX(AO532,AO535))))</f>
        <v/>
      </c>
    </row>
    <row r="537" ht="34" customHeight="1" s="2456">
      <c r="A537">
        <f>IF(Test_Bible!B282="","F","O")</f>
        <v/>
      </c>
      <c r="B537" s="1686">
        <f>'Cpts AR +indép + Sommaire'!S81</f>
        <v/>
      </c>
      <c r="C537" s="287">
        <f>'Cpts AR +indép + Sommaire'!O81</f>
        <v/>
      </c>
      <c r="D537" s="258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inlineStr"/>
      <c r="X537" s="814" t="n"/>
      <c r="Y537" s="813" t="n"/>
      <c r="Z537" s="814" t="n"/>
      <c r="AA537" s="813" t="n"/>
      <c r="AB537" s="814" t="n"/>
      <c r="AD537" s="10" t="n"/>
      <c r="AE537" s="10" t="n"/>
      <c r="AF537" s="10" t="n"/>
      <c r="AG537" s="2588">
        <f>IF($K537=TRUE,H537,0)</f>
        <v/>
      </c>
      <c r="AH537" s="2588">
        <f>IF($R537=TRUE,H537,0)</f>
        <v/>
      </c>
      <c r="AI537" s="2588"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56">
      <c r="A538">
        <f>IF(Test_Bible!B307="","F","O")</f>
        <v/>
      </c>
      <c r="B538" s="1686">
        <f>'Cpts AR +indép + Sommaire'!S82</f>
        <v/>
      </c>
      <c r="C538" s="287">
        <f>'Cpts AR +indép + Sommaire'!O82</f>
        <v/>
      </c>
      <c r="D538" s="258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88">
        <f>IF($K538=TRUE,H538,0)</f>
        <v/>
      </c>
      <c r="AH538" s="2588">
        <f>IF($R538=TRUE,H538,0)</f>
        <v/>
      </c>
      <c r="AI538" s="2588"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56" thickBot="1">
      <c r="A539">
        <f>IF(Test_Bible!B309="","F","O")</f>
        <v/>
      </c>
      <c r="B539" s="1686">
        <f>'Cpts AR +indép + Sommaire'!S83</f>
        <v/>
      </c>
      <c r="C539" s="287">
        <f>'Cpts AR +indép + Sommaire'!O83</f>
        <v/>
      </c>
      <c r="D539" s="258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88">
        <f>IF($K539=TRUE,H539,0)</f>
        <v/>
      </c>
      <c r="AH539" s="2588">
        <f>IF($R539=TRUE,H539,0)</f>
        <v/>
      </c>
      <c r="AI539" s="2588"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56"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56">
      <c r="B541" s="1686" t="n"/>
      <c r="D541" s="383" t="inlineStr">
        <is>
          <t>COMPARATIF Comportement PFA-Enf</t>
        </is>
      </c>
      <c r="E541" s="2576"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56">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64" t="n"/>
      <c r="W542" s="813" t="n"/>
      <c r="X542" s="814" t="n"/>
      <c r="Y542" s="813" t="n"/>
      <c r="Z542" s="814" t="n"/>
      <c r="AA542" s="813" t="n"/>
      <c r="AB542" s="814" t="n"/>
      <c r="AD542" s="10" t="n"/>
      <c r="AE542" s="10" t="n"/>
      <c r="AF542" s="10" t="n"/>
      <c r="AG542" s="2588">
        <f>IF($K542=TRUE,H542,0)</f>
        <v/>
      </c>
      <c r="AH542" s="2588">
        <f>IF($R542=TRUE,H542,0)</f>
        <v/>
      </c>
      <c r="AI542" s="2588">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56"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64" t="n"/>
      <c r="W543" s="813" t="n"/>
      <c r="X543" s="814" t="n"/>
      <c r="Y543" s="813" t="n"/>
      <c r="Z543" s="814" t="n"/>
      <c r="AA543" s="813" t="n"/>
      <c r="AB543" s="814" t="n"/>
      <c r="AD543" s="10" t="n"/>
      <c r="AE543" s="10" t="n"/>
      <c r="AF543" s="10" t="n"/>
      <c r="AG543" s="2588">
        <f>IF($K543=TRUE,H543,0)</f>
        <v/>
      </c>
      <c r="AH543" s="2588">
        <f>IF($R543=TRUE,H543,0)</f>
        <v/>
      </c>
      <c r="AI543" s="2588">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56"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65" t="n"/>
      <c r="T546" s="2465" t="n"/>
      <c r="U546" s="801" t="n"/>
      <c r="W546" s="2465" t="n"/>
      <c r="X546" s="2465" t="n"/>
      <c r="Y546" s="2465" t="n"/>
      <c r="Z546" s="2465" t="n"/>
      <c r="AA546" s="2465" t="n"/>
      <c r="AB546" s="2465" t="n"/>
      <c r="AG546" s="2529" t="n"/>
      <c r="AH546" s="2529" t="n"/>
      <c r="AI546" s="2529" t="n"/>
      <c r="AJ546" s="2529" t="n"/>
      <c r="AK546" s="2529" t="n"/>
      <c r="AL546" s="2529" t="n"/>
      <c r="AM546" s="2529" t="n"/>
      <c r="AN546" s="2529" t="n"/>
      <c r="AO546" s="2529"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56">
      <c r="C549" s="429" t="inlineStr">
        <is>
          <t>MIROIR</t>
        </is>
      </c>
      <c r="AD549" s="10" t="n"/>
      <c r="AE549" s="10" t="n"/>
      <c r="AF549" s="10" t="n"/>
    </row>
    <row r="550">
      <c r="E550" s="85" t="inlineStr">
        <is>
          <t>Mots-clés</t>
        </is>
      </c>
      <c r="F550" s="2574" t="inlineStr">
        <is>
          <t>COMBINAISONS</t>
        </is>
      </c>
      <c r="K550" s="2574" t="n"/>
      <c r="L550" s="2573" t="n"/>
      <c r="O550" s="2574" t="n"/>
      <c r="P550" s="2574" t="n"/>
      <c r="Q550" s="2574" t="n"/>
      <c r="R550" s="2574" t="n"/>
      <c r="S550" s="2574" t="n"/>
      <c r="T550" s="2574" t="n"/>
      <c r="U550" s="2574" t="n"/>
      <c r="V550" s="73" t="n"/>
      <c r="AD550" s="10" t="n"/>
      <c r="AE550" s="10" t="n"/>
      <c r="AF550" s="10" t="n"/>
    </row>
    <row r="551">
      <c r="B551" s="1685" t="n">
        <v>1</v>
      </c>
      <c r="D551" s="437">
        <f>'Cpts AR +indép + Sommaire'!B85</f>
        <v/>
      </c>
      <c r="E551" s="84" t="n"/>
      <c r="F551" s="50" t="n"/>
      <c r="G551" s="18" t="n"/>
      <c r="H551" s="18" t="n"/>
      <c r="I551" s="2572" t="inlineStr">
        <is>
          <t>AP</t>
        </is>
      </c>
      <c r="L551" s="2570" t="inlineStr">
        <is>
          <t>Dynamique d'AP</t>
        </is>
      </c>
      <c r="O551" s="2567" t="n"/>
      <c r="P551" s="2566" t="inlineStr">
        <is>
          <t>CL</t>
        </is>
      </c>
      <c r="R551" s="2567" t="n"/>
      <c r="S551" s="2571" t="inlineStr">
        <is>
          <t>CSS</t>
        </is>
      </c>
      <c r="U551" s="2567"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69" t="inlineStr">
        <is>
          <t>AP</t>
        </is>
      </c>
      <c r="AL551" s="2569" t="inlineStr">
        <is>
          <t>CL</t>
        </is>
      </c>
      <c r="AN551" s="2569" t="inlineStr">
        <is>
          <t>CSS</t>
        </is>
      </c>
    </row>
    <row r="552" ht="34" customHeight="1" s="2456">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5"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56">
      <c r="A553">
        <f>IF(Test_Bible!B185="","F","O")</f>
        <v/>
      </c>
      <c r="B553" s="1686">
        <f>#REF!</f>
        <v/>
      </c>
      <c r="C553" s="376">
        <f>'Cpts AR +indép + Sommaire'!C85</f>
        <v/>
      </c>
      <c r="D553" s="258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88">
        <f>IF($K553=TRUE,H553,0)</f>
        <v/>
      </c>
      <c r="AH553" s="2588">
        <f>IF($R553=TRUE,H553,0)</f>
        <v/>
      </c>
      <c r="AI553" s="2588">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56">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88">
        <f>IF($K554=TRUE,H554,0)</f>
        <v/>
      </c>
      <c r="AH554" s="2588">
        <f>IF($R554=TRUE,H554,0)</f>
        <v/>
      </c>
      <c r="AI554" s="2588">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56">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56">
      <c r="B556" s="1686" t="n"/>
      <c r="C556" s="38" t="n"/>
      <c r="D556" s="258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88">
        <f>IF(K556=TRUE,H556,0)</f>
        <v/>
      </c>
      <c r="AH556" s="2588">
        <f>IF(R556=TRUE,H556,0)</f>
        <v/>
      </c>
      <c r="AI556" s="2588">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56">
      <c r="B557" s="1686" t="n"/>
      <c r="C557" s="38" t="n"/>
      <c r="D557" s="258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88">
        <f>IF(K557=TRUE,H557,0)</f>
        <v/>
      </c>
      <c r="AH557" s="2588">
        <f>IF(R557=TRUE,H557,0)</f>
        <v/>
      </c>
      <c r="AI557" s="2588">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56"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56"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16">
        <f>IF(AND($K555=TRUE,$K558=FALSE),AG555,IF(AND($K555=FALSE,$K558=TRUE),AG558,IF(AND($K555=TRUE,$K558=TRUE),AG555+AG558,0)))</f>
        <v/>
      </c>
      <c r="AH559" s="2516">
        <f>IF(AND($R555=TRUE,$R558=FALSE),AH555,IF(AND($R555=FALSE,$R558=TRUE),AH558,IF(AND($R555=TRUE,$R558=TRUE),AH555+AH558,0)))</f>
        <v/>
      </c>
      <c r="AI559" s="2516">
        <f>IF(AND($U555=TRUE,$U558=FALSE),AI555,IF(AND($U555=FALSE,$U558=TRUE),AI558,IF(AND($U555=TRUE,$U558=TRUE),AI555+AI558,0)))</f>
        <v/>
      </c>
      <c r="AJ559" s="2516">
        <f>IF(AND($K555=TRUE,$K558=FALSE),AJ555,IF(AND($K555=FALSE,$K558=TRUE),AJ558,IF(AND($K555=TRUE,$K558=TRUE),AJ555+AJ558,MAX(AJ555,AJ558))))</f>
        <v/>
      </c>
      <c r="AK559" s="2516">
        <f>IF(AND($K555=TRUE,$K558=FALSE),AK555,IF(AND($K555=FALSE,$K558=TRUE),AK558,IF(AND($K555=TRUE,$K558=TRUE),AK555+AK558,MAX(AK555,AK558))))</f>
        <v/>
      </c>
      <c r="AL559" s="2516">
        <f>IF(AND($R555=TRUE,$R558=FALSE),AL555,IF(AND($R555=FALSE,$R558=TRUE),AL558,IF(AND($R555=TRUE,$R558=TRUE),AL555+AL558,MAX(AL555,AL558))))</f>
        <v/>
      </c>
      <c r="AM559" s="2516">
        <f>IF(AND($R555=TRUE,$R558=FALSE),AM555,IF(AND($R555=FALSE,$R558=TRUE),AM558,IF(AND($R555=TRUE,$R558=TRUE),AM555+AM558,MAX(AM555,AM558))))</f>
        <v/>
      </c>
      <c r="AN559" s="2516">
        <f>IF(AND($U555=TRUE,$U558=FALSE),AN555,IF(AND($U555=FALSE,$U558=TRUE),AN558,IF(AND($U555=TRUE,$U558=TRUE),AN555+AN558,MAX(AN555,AN558))))</f>
        <v/>
      </c>
      <c r="AO559" s="2516">
        <f>IF(AND($U555=TRUE,$U558=FALSE),AO555,IF(AND($U555=FALSE,$U558=TRUE),AO558,IF(AND($U555=TRUE,$U558=TRUE),AO555+AO558,MAX(AO555,AO558))))</f>
        <v/>
      </c>
    </row>
    <row r="560" ht="21" customHeight="1" s="2456">
      <c r="B560" s="1686" t="n"/>
      <c r="C560" s="287">
        <f>'Cpts AR +indép + Sommaire'!O511</f>
        <v/>
      </c>
      <c r="D560" s="258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inlineStr"/>
      <c r="X560" s="814" t="n"/>
      <c r="Y560" s="813" t="n"/>
      <c r="Z560" s="814" t="n"/>
      <c r="AA560" s="813" t="n"/>
      <c r="AB560" s="814" t="n"/>
      <c r="AD560" s="10" t="n"/>
      <c r="AE560" s="10" t="n"/>
      <c r="AF560" s="10" t="n"/>
      <c r="AG560" s="2588">
        <f>IF($K560=TRUE,H560,0)</f>
        <v/>
      </c>
      <c r="AH560" s="2588">
        <f>IF($R560=TRUE,H560,0)</f>
        <v/>
      </c>
      <c r="AI560" s="2588"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56"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88">
        <f>IF($K561=TRUE,H561,0)</f>
        <v/>
      </c>
      <c r="AH561" s="2588">
        <f>IF($R561=TRUE,H561,0)</f>
        <v/>
      </c>
      <c r="AI561" s="2588"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56"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56">
      <c r="B563" s="1686" t="n"/>
      <c r="D563" s="383" t="inlineStr">
        <is>
          <t>COMPARATIF Comportement PFA-Enf</t>
        </is>
      </c>
      <c r="E563" s="2576"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56">
      <c r="B564" s="1686" t="n"/>
      <c r="C564" t="inlineStr">
        <is>
          <t>PCR</t>
        </is>
      </c>
      <c r="I564" s="122" t="n"/>
      <c r="L564" s="2464" t="n"/>
      <c r="M564" s="2464" t="n"/>
      <c r="N564" s="2464" t="n"/>
      <c r="O564" s="1365" t="n"/>
      <c r="P564" s="122" t="n"/>
      <c r="R564" s="2567" t="n"/>
      <c r="S564" s="122" t="n"/>
      <c r="U564" s="2567" t="n"/>
      <c r="V564" s="2464" t="n"/>
      <c r="W564" s="813" t="n"/>
      <c r="X564" s="814" t="n"/>
      <c r="Y564" s="813" t="n"/>
      <c r="Z564" s="814" t="n"/>
      <c r="AA564" s="813" t="n"/>
      <c r="AB564" s="814" t="n"/>
      <c r="AD564" s="10" t="n"/>
      <c r="AE564" s="10" t="n"/>
      <c r="AF564" s="10" t="n"/>
      <c r="AG564" s="2588" t="n"/>
      <c r="AH564" s="2588" t="n"/>
      <c r="AI564" s="2588" t="n"/>
      <c r="AJ564" s="1476" t="n"/>
      <c r="AK564" s="1476" t="n"/>
      <c r="AL564" s="1476" t="n"/>
      <c r="AM564" s="1476" t="n"/>
      <c r="AN564" s="1476" t="n"/>
      <c r="AO564" s="1476" t="n"/>
    </row>
    <row r="565" ht="34" customHeight="1" s="2456">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88">
        <f>IF($K565=TRUE,H565,0)</f>
        <v/>
      </c>
      <c r="AH565" s="2588">
        <f>IF($R565=TRUE,H565,0)</f>
        <v/>
      </c>
      <c r="AI565" s="2588">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56"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64" t="n"/>
      <c r="W566" s="813" t="n"/>
      <c r="X566" s="814" t="n"/>
      <c r="Y566" s="813" t="n"/>
      <c r="Z566" s="814" t="n"/>
      <c r="AA566" s="813" t="n"/>
      <c r="AB566" s="814" t="n"/>
      <c r="AD566" s="10" t="n"/>
      <c r="AE566" s="10" t="n"/>
      <c r="AF566" s="10" t="n"/>
      <c r="AG566" s="2588">
        <f>IF($K566=TRUE,H566,0)</f>
        <v/>
      </c>
      <c r="AH566" s="2588">
        <f>IF($R566=TRUE,H566,0)</f>
        <v/>
      </c>
      <c r="AI566" s="2588">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56"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56">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74" t="inlineStr">
        <is>
          <t>COMBINAISONS</t>
        </is>
      </c>
      <c r="K570" s="2574" t="n"/>
      <c r="L570" s="2573" t="n"/>
      <c r="O570" s="2574" t="n"/>
      <c r="P570" s="2574" t="n"/>
      <c r="Q570" s="2574" t="n"/>
      <c r="R570" s="2574" t="n"/>
      <c r="S570" s="2574" t="n"/>
      <c r="T570" s="2574" t="n"/>
      <c r="U570" s="2574" t="n"/>
      <c r="V570" s="73" t="n"/>
      <c r="AD570" s="10" t="n"/>
      <c r="AE570" s="10" t="n"/>
      <c r="AF570" s="10" t="n"/>
    </row>
    <row r="571">
      <c r="B571" s="1685" t="n">
        <v>2</v>
      </c>
      <c r="D571" s="437">
        <f>'Cpts AR +indép + Sommaire'!B87</f>
        <v/>
      </c>
      <c r="E571" s="84" t="n"/>
      <c r="F571" s="50" t="n"/>
      <c r="G571" s="18" t="n"/>
      <c r="H571" s="18" t="n"/>
      <c r="I571" s="2572" t="inlineStr">
        <is>
          <t>AP</t>
        </is>
      </c>
      <c r="L571" s="2570" t="inlineStr">
        <is>
          <t>Dynamique d'AP</t>
        </is>
      </c>
      <c r="O571" s="2567" t="n"/>
      <c r="P571" s="2566" t="inlineStr">
        <is>
          <t>CL</t>
        </is>
      </c>
      <c r="R571" s="2567" t="n"/>
      <c r="S571" s="2571" t="inlineStr">
        <is>
          <t>CSS</t>
        </is>
      </c>
      <c r="U571" s="2567"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69" t="inlineStr">
        <is>
          <t>AP</t>
        </is>
      </c>
      <c r="AL571" s="2569" t="inlineStr">
        <is>
          <t>CL</t>
        </is>
      </c>
      <c r="AN571" s="2569" t="inlineStr">
        <is>
          <t>CSS</t>
        </is>
      </c>
    </row>
    <row r="572" ht="34" customHeight="1" s="2456">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5"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56">
      <c r="A573">
        <f>IF(Test_Bible!B207="","F","O")</f>
        <v/>
      </c>
      <c r="B573" s="1686">
        <f>#REF!</f>
        <v/>
      </c>
      <c r="C573" s="376">
        <f>'Cpts AR +indép + Sommaire'!C87</f>
        <v/>
      </c>
      <c r="D573" s="258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88">
        <f>IF($K573=TRUE,H573,0)</f>
        <v/>
      </c>
      <c r="AH573" s="2588">
        <f>IF($R573=TRUE,H573,0)</f>
        <v/>
      </c>
      <c r="AI573" s="2588">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56">
      <c r="B574" s="1686" t="n"/>
      <c r="C574" s="376" t="n"/>
      <c r="D574" s="258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88">
        <f>IF($K574=TRUE,H574,0)</f>
        <v/>
      </c>
      <c r="AH574" s="2588">
        <f>IF($R574=TRUE,H574,0)</f>
        <v/>
      </c>
      <c r="AI574" s="2588">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56">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56">
      <c r="B576" s="1686" t="n"/>
      <c r="C576" s="38" t="n"/>
      <c r="D576" s="258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88">
        <f>IF(K576=TRUE,H576,0)</f>
        <v/>
      </c>
      <c r="AH576" s="2588">
        <f>IF(R576=TRUE,H576,0)</f>
        <v/>
      </c>
      <c r="AI576" s="2588">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56">
      <c r="B577" s="1686" t="n"/>
      <c r="C577" s="38" t="n"/>
      <c r="D577" s="258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88">
        <f>IF(K577=TRUE,H577,0)</f>
        <v/>
      </c>
      <c r="AH577" s="2588">
        <f>IF(R577=TRUE,H577,0)</f>
        <v/>
      </c>
      <c r="AI577" s="2588">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56"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56"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16">
        <f>IF(AND($K575=TRUE,$K578=FALSE),AG575,IF(AND($K575=FALSE,$K578=TRUE),AG578,IF(AND($K575=TRUE,$K578=TRUE),AG575+AG578,0)))</f>
        <v/>
      </c>
      <c r="AH579" s="2516">
        <f>IF(AND($R575=TRUE,$R578=FALSE),AH575,IF(AND($R575=FALSE,$R578=TRUE),AH578,IF(AND($R575=TRUE,$R578=TRUE),AH575+AH578,0)))</f>
        <v/>
      </c>
      <c r="AI579" s="2516">
        <f>IF(AND($U575=TRUE,$U578=FALSE),AI575,IF(AND($U575=FALSE,$U578=TRUE),AI578,IF(AND($U575=TRUE,$U578=TRUE),AI575+AI578,0)))</f>
        <v/>
      </c>
      <c r="AJ579" s="2516">
        <f>IF(AND($K575=TRUE,$K578=FALSE),AJ575,IF(AND($K575=FALSE,$K578=TRUE),AJ578,IF(AND($K575=TRUE,$K578=TRUE),AJ575+AJ578,MAX(AJ575,AJ578))))</f>
        <v/>
      </c>
      <c r="AK579" s="2516">
        <f>IF(AND($K575=TRUE,$K578=FALSE),AK575,IF(AND($K575=FALSE,$K578=TRUE),AK578,IF(AND($K575=TRUE,$K578=TRUE),AK575+AK578,MAX(AK575,AK578))))</f>
        <v/>
      </c>
      <c r="AL579" s="2516">
        <f>IF(AND($R575=TRUE,$R578=FALSE),AL575,IF(AND($R575=FALSE,$R578=TRUE),AL578,IF(AND($R575=TRUE,$R578=TRUE),AL575+AL578,MAX(AL575,AL578))))</f>
        <v/>
      </c>
      <c r="AM579" s="2516">
        <f>IF(AND($R575=TRUE,$R578=FALSE),AM575,IF(AND($R575=FALSE,$R578=TRUE),AM578,IF(AND($R575=TRUE,$R578=TRUE),AM575+AM578,MAX(AM575,AM578))))</f>
        <v/>
      </c>
      <c r="AN579" s="2516">
        <f>IF(AND($U575=TRUE,$U578=FALSE),AN575,IF(AND($U575=FALSE,$U578=TRUE),AN578,IF(AND($U575=TRUE,$U578=TRUE),AN575+AN578,MAX(AN575,AN578))))</f>
        <v/>
      </c>
      <c r="AO579" s="2516">
        <f>IF(AND($U575=TRUE,$U578=FALSE),AO575,IF(AND($U575=FALSE,$U578=TRUE),AO578,IF(AND($U575=TRUE,$U578=TRUE),AO575+AO578,MAX(AO575,AO578))))</f>
        <v/>
      </c>
    </row>
    <row r="580" ht="21" customHeight="1" s="2456">
      <c r="B580" s="1686" t="n"/>
      <c r="C580" s="287" t="n"/>
      <c r="D580" s="258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inlineStr"/>
      <c r="X580" s="814" t="n"/>
      <c r="Y580" s="813" t="n"/>
      <c r="Z580" s="814" t="n"/>
      <c r="AA580" s="813" t="n"/>
      <c r="AB580" s="814" t="n"/>
      <c r="AD580" s="10" t="n"/>
      <c r="AE580" s="10" t="n"/>
      <c r="AF580" s="10" t="n"/>
      <c r="AG580" s="2588">
        <f>IF($K580=TRUE,H580,0)</f>
        <v/>
      </c>
      <c r="AH580" s="2588">
        <f>IF($R580=TRUE,H580,0)</f>
        <v/>
      </c>
      <c r="AI580" s="2588"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56"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88">
        <f>IF($K581=TRUE,H581,0)</f>
        <v/>
      </c>
      <c r="AH581" s="2588">
        <f>IF($R581=TRUE,H581,0)</f>
        <v/>
      </c>
      <c r="AI581" s="2588"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56"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56">
      <c r="B583" s="1686" t="n"/>
      <c r="D583" s="383" t="inlineStr">
        <is>
          <t>COMPARATIF Comportement PFA-Enf</t>
        </is>
      </c>
      <c r="E583" s="2576"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56">
      <c r="B584" s="1686" t="n"/>
      <c r="C584" t="inlineStr">
        <is>
          <t>PCR</t>
        </is>
      </c>
      <c r="I584" s="122" t="n"/>
      <c r="L584" s="2464" t="n"/>
      <c r="M584" s="2464" t="n"/>
      <c r="N584" s="2464" t="n"/>
      <c r="O584" s="1365" t="n"/>
      <c r="P584" s="122" t="n"/>
      <c r="R584" s="2567" t="n"/>
      <c r="S584" s="122" t="n"/>
      <c r="U584" s="2567" t="n"/>
      <c r="V584" s="2464" t="n"/>
      <c r="W584" s="813" t="n"/>
      <c r="X584" s="814" t="n"/>
      <c r="Y584" s="813" t="n"/>
      <c r="Z584" s="814" t="n"/>
      <c r="AA584" s="813" t="n"/>
      <c r="AB584" s="814" t="n"/>
      <c r="AD584" s="10" t="n"/>
      <c r="AE584" s="10" t="n"/>
      <c r="AF584" s="10" t="n"/>
      <c r="AG584" s="2588" t="n"/>
      <c r="AH584" s="2588" t="n"/>
      <c r="AI584" s="2588" t="n"/>
      <c r="AJ584" s="1476" t="n"/>
      <c r="AK584" s="1476" t="n"/>
      <c r="AL584" s="1476" t="n"/>
      <c r="AM584" s="1476" t="n"/>
      <c r="AN584" s="1476" t="n"/>
      <c r="AO584" s="1476" t="n"/>
    </row>
    <row r="585" ht="51" customHeight="1" s="2456">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88">
        <f>IF($K585=TRUE,H585,0)</f>
        <v/>
      </c>
      <c r="AH585" s="2588">
        <f>IF($R585=TRUE,H585,0)</f>
        <v/>
      </c>
      <c r="AI585" s="2588">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56"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88">
        <f>IF($K586=TRUE,H586,0)</f>
        <v/>
      </c>
      <c r="AH586" s="2588">
        <f>IF($R586=TRUE,H586,0)</f>
        <v/>
      </c>
      <c r="AI586" s="2588">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56"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56">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56">
      <c r="B589" s="1686" t="n"/>
      <c r="W589" s="1373" t="n"/>
      <c r="X589" s="1374" t="n"/>
      <c r="Y589" s="1220" t="n"/>
      <c r="AD589" s="10" t="n"/>
      <c r="AE589" s="10" t="n"/>
      <c r="AF589" s="10" t="n"/>
    </row>
    <row r="590">
      <c r="E590" s="85" t="inlineStr">
        <is>
          <t>Mots-clés</t>
        </is>
      </c>
      <c r="F590" s="2574" t="inlineStr">
        <is>
          <t>COMBINAISONS</t>
        </is>
      </c>
      <c r="K590" s="2574" t="n"/>
      <c r="L590" s="2573" t="n"/>
      <c r="O590" s="2574" t="n"/>
      <c r="P590" s="2574" t="n"/>
      <c r="Q590" s="2574" t="n"/>
      <c r="R590" s="2574" t="n"/>
      <c r="S590" s="2574" t="n"/>
      <c r="T590" s="2574" t="n"/>
      <c r="U590" s="2574" t="n"/>
      <c r="V590" s="73" t="n"/>
      <c r="AD590" s="10" t="n"/>
      <c r="AE590" s="10" t="n"/>
      <c r="AF590" s="10" t="n"/>
    </row>
    <row r="591">
      <c r="B591" s="1685" t="n">
        <v>3</v>
      </c>
      <c r="D591" s="437">
        <f>'Cpts AR +indép + Sommaire'!B89</f>
        <v/>
      </c>
      <c r="E591" s="84" t="n"/>
      <c r="F591" s="50" t="n"/>
      <c r="G591" s="18" t="n"/>
      <c r="H591" s="18" t="n"/>
      <c r="I591" s="2572" t="inlineStr">
        <is>
          <t>AP</t>
        </is>
      </c>
      <c r="L591" s="2570" t="inlineStr">
        <is>
          <t>Dynamique d'AP</t>
        </is>
      </c>
      <c r="O591" s="2567" t="n"/>
      <c r="P591" s="2566" t="inlineStr">
        <is>
          <t>CL</t>
        </is>
      </c>
      <c r="R591" s="2567" t="n"/>
      <c r="S591" s="2571" t="inlineStr">
        <is>
          <t>CSS</t>
        </is>
      </c>
      <c r="U591" s="2567"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69" t="inlineStr">
        <is>
          <t>AP</t>
        </is>
      </c>
      <c r="AL591" s="2569" t="inlineStr">
        <is>
          <t>CL</t>
        </is>
      </c>
      <c r="AN591" s="2569" t="inlineStr">
        <is>
          <t>CSS</t>
        </is>
      </c>
    </row>
    <row r="592" ht="34" customHeight="1" s="2456">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5"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56">
      <c r="A593">
        <f>IF(Test_Bible!B205="","F","O")</f>
        <v/>
      </c>
      <c r="B593" s="1686">
        <f>#REF!</f>
        <v/>
      </c>
      <c r="C593" s="376">
        <f>'Cpts AR +indép + Sommaire'!C89</f>
        <v/>
      </c>
      <c r="D593" s="258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88">
        <f>IF($K593=TRUE,H593,0)</f>
        <v/>
      </c>
      <c r="AH593" s="2588">
        <f>IF($R593=TRUE,H593,0)</f>
        <v/>
      </c>
      <c r="AI593" s="2588">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56">
      <c r="B594" s="1686" t="n"/>
      <c r="C594" s="376" t="n"/>
      <c r="D594" s="258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88">
        <f>IF($K594=TRUE,H594,0)</f>
        <v/>
      </c>
      <c r="AH594" s="2588">
        <f>IF($R594=TRUE,H594,0)</f>
        <v/>
      </c>
      <c r="AI594" s="2588">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56">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56">
      <c r="B596" s="1686" t="n"/>
      <c r="C596" s="38" t="n"/>
      <c r="D596" s="258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88">
        <f>IF(K596=TRUE,H596,0)</f>
        <v/>
      </c>
      <c r="AH596" s="2588">
        <f>IF(R596=TRUE,H596,0)</f>
        <v/>
      </c>
      <c r="AI596" s="2588">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56">
      <c r="B597" s="1686" t="n"/>
      <c r="C597" s="38" t="n"/>
      <c r="D597" s="258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88">
        <f>IF(K597=TRUE,H597,0)</f>
        <v/>
      </c>
      <c r="AH597" s="2588">
        <f>IF(R597=TRUE,H597,0)</f>
        <v/>
      </c>
      <c r="AI597" s="2588">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56"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56"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16">
        <f>IF(AND($K595=TRUE,$K598=FALSE),AG595,IF(AND($K595=FALSE,$K598=TRUE),AG598,IF(AND($K595=TRUE,$K598=TRUE),AG595+AG598,0)))</f>
        <v/>
      </c>
      <c r="AH599" s="2516">
        <f>IF(AND($R595=TRUE,$R598=FALSE),AH595,IF(AND($R595=FALSE,$R598=TRUE),AH598,IF(AND($R595=TRUE,$R598=TRUE),AH595+AH598,0)))</f>
        <v/>
      </c>
      <c r="AI599" s="2516">
        <f>IF(AND($U595=TRUE,$U598=FALSE),AI595,IF(AND($U595=FALSE,$U598=TRUE),AI598,IF(AND($U595=TRUE,$U598=TRUE),AI595+AI598,0)))</f>
        <v/>
      </c>
      <c r="AJ599" s="2516">
        <f>IF(AND($K595=TRUE,$K598=FALSE),AJ595,IF(AND($K595=FALSE,$K598=TRUE),AJ598,IF(AND($K595=TRUE,$K598=TRUE),AJ595+AJ598,MAX(AJ595,AJ598))))</f>
        <v/>
      </c>
      <c r="AK599" s="2516">
        <f>IF(AND($K595=TRUE,$K598=FALSE),AK595,IF(AND($K595=FALSE,$K598=TRUE),AK598,IF(AND($K595=TRUE,$K598=TRUE),AK595+AK598,MAX(AK595,AK598))))</f>
        <v/>
      </c>
      <c r="AL599" s="2516">
        <f>IF(AND($R595=TRUE,$R598=FALSE),AL595,IF(AND($R595=FALSE,$R598=TRUE),AL598,IF(AND($R595=TRUE,$R598=TRUE),AL595+AL598,MAX(AL595,AL598))))</f>
        <v/>
      </c>
      <c r="AM599" s="2516">
        <f>IF(AND($R595=TRUE,$R598=FALSE),AM595,IF(AND($R595=FALSE,$R598=TRUE),AM598,IF(AND($R595=TRUE,$R598=TRUE),AM595+AM598,MAX(AM595,AM598))))</f>
        <v/>
      </c>
      <c r="AN599" s="2516">
        <f>IF(AND($U595=TRUE,$U598=FALSE),AN595,IF(AND($U595=FALSE,$U598=TRUE),AN598,IF(AND($U595=TRUE,$U598=TRUE),AN595+AN598,MAX(AN595,AN598))))</f>
        <v/>
      </c>
      <c r="AO599" s="2516">
        <f>IF(AND($U595=TRUE,$U598=FALSE),AO595,IF(AND($U595=FALSE,$U598=TRUE),AO598,IF(AND($U595=TRUE,$U598=TRUE),AO595+AO598,MAX(AO595,AO598))))</f>
        <v/>
      </c>
    </row>
    <row r="600" ht="21" customHeight="1" s="2456">
      <c r="B600" s="1686" t="n"/>
      <c r="C600" s="287" t="n"/>
      <c r="D600" s="258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inlineStr"/>
      <c r="X600" s="814" t="n"/>
      <c r="Y600" s="813" t="n"/>
      <c r="Z600" s="814" t="n"/>
      <c r="AA600" s="813" t="n"/>
      <c r="AB600" s="814" t="n"/>
      <c r="AD600" s="10" t="n"/>
      <c r="AE600" s="10" t="n"/>
      <c r="AF600" s="10" t="n"/>
      <c r="AG600" s="2588">
        <f>IF($K600=TRUE,H600,0)</f>
        <v/>
      </c>
      <c r="AH600" s="2588">
        <f>IF($R600=TRUE,H600,0)</f>
        <v/>
      </c>
      <c r="AI600" s="2588"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56"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88">
        <f>IF($K601=TRUE,H601,0)</f>
        <v/>
      </c>
      <c r="AH601" s="2588">
        <f>IF($R601=TRUE,H601,0)</f>
        <v/>
      </c>
      <c r="AI601" s="2588"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56"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56">
      <c r="B603" s="1686" t="n"/>
      <c r="D603" s="383" t="inlineStr">
        <is>
          <t>COMPARATIF Comportement PFA-Enf</t>
        </is>
      </c>
      <c r="E603" s="2576"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56">
      <c r="B604" s="1686" t="n"/>
      <c r="C604" t="inlineStr">
        <is>
          <t>PCR</t>
        </is>
      </c>
      <c r="I604" s="122" t="n"/>
      <c r="L604" s="2464" t="n"/>
      <c r="M604" s="2464" t="n"/>
      <c r="N604" s="2464" t="n"/>
      <c r="O604" s="1365" t="n"/>
      <c r="P604" s="122" t="n"/>
      <c r="R604" s="2567" t="n"/>
      <c r="S604" s="122" t="n"/>
      <c r="U604" s="2567" t="n"/>
      <c r="V604" s="2464" t="n"/>
      <c r="W604" s="813" t="n"/>
      <c r="X604" s="814" t="n"/>
      <c r="Y604" s="813" t="n"/>
      <c r="Z604" s="814" t="n"/>
      <c r="AA604" s="813" t="n"/>
      <c r="AB604" s="814" t="n"/>
      <c r="AD604" s="10" t="n"/>
      <c r="AE604" s="10" t="n"/>
      <c r="AF604" s="10" t="n"/>
      <c r="AG604" s="2588" t="n"/>
      <c r="AH604" s="2588" t="n"/>
      <c r="AI604" s="2588" t="n"/>
      <c r="AJ604" s="1476" t="n"/>
      <c r="AK604" s="1476" t="n"/>
      <c r="AL604" s="1476" t="n"/>
      <c r="AM604" s="1476" t="n"/>
      <c r="AN604" s="1476" t="n"/>
      <c r="AO604" s="1476" t="n"/>
    </row>
    <row r="605" ht="34" customHeight="1" s="2456">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88">
        <f>IF($K605=TRUE,H605,0)</f>
        <v/>
      </c>
      <c r="AH605" s="2588">
        <f>IF($R605=TRUE,H605,0)</f>
        <v/>
      </c>
      <c r="AI605" s="2588">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56"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88">
        <f>IF($K606=TRUE,H606,0)</f>
        <v/>
      </c>
      <c r="AH606" s="2588">
        <f>IF($R606=TRUE,H606,0)</f>
        <v/>
      </c>
      <c r="AI606" s="2588">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56"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56">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56">
      <c r="B609" s="1686" t="n"/>
      <c r="W609" s="1373" t="n"/>
      <c r="X609" s="1374" t="n"/>
      <c r="Y609" s="1220" t="n"/>
      <c r="AD609" s="10" t="n"/>
      <c r="AE609" s="10" t="n"/>
      <c r="AF609" s="10" t="n"/>
    </row>
    <row r="610">
      <c r="E610" s="85" t="inlineStr">
        <is>
          <t>Mots-clés</t>
        </is>
      </c>
      <c r="F610" s="2574" t="inlineStr">
        <is>
          <t>COMBINAISONS</t>
        </is>
      </c>
      <c r="K610" s="2574" t="n"/>
      <c r="L610" s="2573" t="n"/>
      <c r="O610" s="2574" t="n"/>
      <c r="P610" s="2574" t="n"/>
      <c r="Q610" s="2574" t="n"/>
      <c r="R610" s="2574" t="n"/>
      <c r="S610" s="2574" t="n"/>
      <c r="T610" s="2574" t="n"/>
      <c r="U610" s="2574" t="n"/>
      <c r="V610" s="73" t="n"/>
      <c r="AD610" s="10" t="n"/>
      <c r="AE610" s="10" t="n"/>
      <c r="AF610" s="10" t="n"/>
    </row>
    <row r="611">
      <c r="B611" s="1685" t="n">
        <v>4</v>
      </c>
      <c r="D611" s="437">
        <f>'Cpts AR +indép + Sommaire'!B91</f>
        <v/>
      </c>
      <c r="E611" s="84" t="n"/>
      <c r="F611" s="50" t="n"/>
      <c r="G611" s="18" t="n"/>
      <c r="H611" s="18" t="n"/>
      <c r="I611" s="2572" t="inlineStr">
        <is>
          <t>AP</t>
        </is>
      </c>
      <c r="L611" s="2570" t="inlineStr">
        <is>
          <t>Dynamique d'AP</t>
        </is>
      </c>
      <c r="O611" s="2567" t="n"/>
      <c r="P611" s="2566" t="inlineStr">
        <is>
          <t>CL</t>
        </is>
      </c>
      <c r="R611" s="2567" t="n"/>
      <c r="S611" s="2571" t="inlineStr">
        <is>
          <t>CSS</t>
        </is>
      </c>
      <c r="U611" s="2567"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69" t="inlineStr">
        <is>
          <t>AP</t>
        </is>
      </c>
      <c r="AL611" s="2569" t="inlineStr">
        <is>
          <t>CL</t>
        </is>
      </c>
      <c r="AN611" s="2569" t="inlineStr">
        <is>
          <t>CSS</t>
        </is>
      </c>
    </row>
    <row r="612" ht="34" customHeight="1" s="2456">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5"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56">
      <c r="A613">
        <f>IF(Test_Bible!B221="","F","O")</f>
        <v/>
      </c>
      <c r="B613" s="1686" t="n"/>
      <c r="C613" s="376">
        <f>'Cpts AR +indép + Sommaire'!C91</f>
        <v/>
      </c>
      <c r="D613" s="258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88">
        <f>IF($K613=TRUE,H613,0)</f>
        <v/>
      </c>
      <c r="AH613" s="2588">
        <f>IF($R613=TRUE,H613,0)</f>
        <v/>
      </c>
      <c r="AI613" s="2588">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56">
      <c r="B614" s="1686" t="n"/>
      <c r="C614" s="376" t="n"/>
      <c r="D614" s="258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88">
        <f>IF($K614=TRUE,H614,0)</f>
        <v/>
      </c>
      <c r="AH614" s="2588">
        <f>IF($R614=TRUE,H614,0)</f>
        <v/>
      </c>
      <c r="AI614" s="2588">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56">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56">
      <c r="B616" s="1686" t="n"/>
      <c r="C616" s="38" t="n"/>
      <c r="D616" s="258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88">
        <f>IF(K616=TRUE,H616,0)</f>
        <v/>
      </c>
      <c r="AH616" s="2588">
        <f>IF(R616=TRUE,H616,0)</f>
        <v/>
      </c>
      <c r="AI616" s="2588">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56">
      <c r="B617" s="1686" t="n"/>
      <c r="C617" s="38" t="n"/>
      <c r="D617" s="258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88">
        <f>IF(K617=TRUE,H617,0)</f>
        <v/>
      </c>
      <c r="AH617" s="2588">
        <f>IF(R617=TRUE,H617,0)</f>
        <v/>
      </c>
      <c r="AI617" s="2588">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56"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56"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16">
        <f>IF(AND($K615=TRUE,$K618=FALSE),AG615,IF(AND($K615=FALSE,$K618=TRUE),AG618,IF(AND($K615=TRUE,$K618=TRUE),AG615+AG618,0)))</f>
        <v/>
      </c>
      <c r="AH619" s="2516">
        <f>IF(AND($R615=TRUE,$R618=FALSE),AH615,IF(AND($R615=FALSE,$R618=TRUE),AH618,IF(AND($R615=TRUE,$R618=TRUE),AH615+AH618,0)))</f>
        <v/>
      </c>
      <c r="AI619" s="2516">
        <f>IF(AND($U615=TRUE,$U618=FALSE),AI615,IF(AND($U615=FALSE,$U618=TRUE),AI618,IF(AND($U615=TRUE,$U618=TRUE),AI615+AI618,0)))</f>
        <v/>
      </c>
      <c r="AJ619" s="2516">
        <f>IF(AND($K615=TRUE,$K618=FALSE),AJ615,IF(AND($K615=FALSE,$K618=TRUE),AJ618,IF(AND($K615=TRUE,$K618=TRUE),AJ615+AJ618,MAX(AJ615,AJ618))))</f>
        <v/>
      </c>
      <c r="AK619" s="2516">
        <f>IF(AND($K615=TRUE,$K618=FALSE),AK615,IF(AND($K615=FALSE,$K618=TRUE),AK618,IF(AND($K615=TRUE,$K618=TRUE),AK615+AK618,MAX(AK615,AK618))))</f>
        <v/>
      </c>
      <c r="AL619" s="2516">
        <f>IF(AND($R615=TRUE,$R618=FALSE),AL615,IF(AND($R615=FALSE,$R618=TRUE),AL618,IF(AND($R615=TRUE,$R618=TRUE),AL615+AL618,MAX(AL615,AL618))))</f>
        <v/>
      </c>
      <c r="AM619" s="2516">
        <f>IF(AND($R615=TRUE,$R618=FALSE),AM615,IF(AND($R615=FALSE,$R618=TRUE),AM618,IF(AND($R615=TRUE,$R618=TRUE),AM615+AM618,MAX(AM615,AM618))))</f>
        <v/>
      </c>
      <c r="AN619" s="2516">
        <f>IF(AND($U615=TRUE,$U618=FALSE),AN615,IF(AND($U615=FALSE,$U618=TRUE),AN618,IF(AND($U615=TRUE,$U618=TRUE),AN615+AN618,MAX(AN615,AN618))))</f>
        <v/>
      </c>
      <c r="AO619" s="2516">
        <f>IF(AND($U615=TRUE,$U618=FALSE),AO615,IF(AND($U615=FALSE,$U618=TRUE),AO618,IF(AND($U615=TRUE,$U618=TRUE),AO615+AO618,MAX(AO615,AO618))))</f>
        <v/>
      </c>
    </row>
    <row r="620" ht="21" customHeight="1" s="2456">
      <c r="B620" s="1686" t="n"/>
      <c r="C620" s="287" t="n"/>
      <c r="D620" s="2580" t="n"/>
      <c r="E620" s="2580" t="n"/>
      <c r="F620" s="67" t="n"/>
      <c r="G620" s="2520"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inlineStr"/>
      <c r="X620" s="814" t="n"/>
      <c r="Y620" s="813" t="n"/>
      <c r="Z620" s="814" t="n"/>
      <c r="AA620" s="813" t="n"/>
      <c r="AB620" s="814" t="n"/>
      <c r="AD620" s="10" t="n"/>
      <c r="AE620" s="10" t="n"/>
      <c r="AF620" s="10" t="n"/>
      <c r="AG620" s="2588">
        <f>IF($K620=TRUE,H620,0)</f>
        <v/>
      </c>
      <c r="AH620" s="2588">
        <f>IF($R620=TRUE,H620,0)</f>
        <v/>
      </c>
      <c r="AI620" s="2588"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56" thickBot="1">
      <c r="B621" s="1686" t="n"/>
      <c r="C621" s="287" t="n"/>
      <c r="D621" s="2580" t="n"/>
      <c r="E621" s="2580" t="n"/>
      <c r="F621" s="67" t="n"/>
      <c r="G621" s="2520"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88">
        <f>IF($K621=TRUE,H621,0)</f>
        <v/>
      </c>
      <c r="AH621" s="2588">
        <f>IF($R621=TRUE,H621,0)</f>
        <v/>
      </c>
      <c r="AI621" s="2588"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56"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56">
      <c r="B623" s="1686" t="n"/>
      <c r="D623" s="383" t="inlineStr">
        <is>
          <t>COMPARATIF Comportement PFA-Enf</t>
        </is>
      </c>
      <c r="E623" s="2576"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56">
      <c r="B624" s="1686" t="n"/>
      <c r="C624" t="inlineStr">
        <is>
          <t>PCR</t>
        </is>
      </c>
      <c r="I624" s="122" t="n"/>
      <c r="L624" s="2464" t="n"/>
      <c r="M624" s="2464" t="n"/>
      <c r="N624" s="2464" t="n"/>
      <c r="O624" s="1365" t="n"/>
      <c r="P624" s="122" t="n"/>
      <c r="R624" s="2567" t="n"/>
      <c r="S624" s="122" t="n"/>
      <c r="U624" s="2567" t="n"/>
      <c r="V624" s="2464" t="n"/>
      <c r="W624" s="813" t="n"/>
      <c r="X624" s="814" t="n"/>
      <c r="Y624" s="813" t="n"/>
      <c r="Z624" s="814" t="n"/>
      <c r="AA624" s="813" t="n"/>
      <c r="AB624" s="814" t="n"/>
      <c r="AD624" s="10" t="n"/>
      <c r="AE624" s="10" t="n"/>
      <c r="AF624" s="10" t="n"/>
      <c r="AG624" s="2588" t="n"/>
      <c r="AH624" s="2588" t="n"/>
      <c r="AI624" s="2588" t="n"/>
      <c r="AJ624" s="1476" t="n"/>
      <c r="AK624" s="1476" t="n"/>
      <c r="AL624" s="1476" t="n"/>
      <c r="AM624" s="1476" t="n"/>
      <c r="AN624" s="1476" t="n"/>
      <c r="AO624" s="1476" t="n"/>
    </row>
    <row r="625" ht="21" customHeight="1" s="2456">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88">
        <f>IF($K625=TRUE,H625,0)</f>
        <v/>
      </c>
      <c r="AH625" s="2588">
        <f>IF($R625=TRUE,H625,0)</f>
        <v/>
      </c>
      <c r="AI625" s="2588">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56"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88">
        <f>IF($K626=TRUE,H626,0)</f>
        <v/>
      </c>
      <c r="AH626" s="2588">
        <f>IF($R626=TRUE,H626,0)</f>
        <v/>
      </c>
      <c r="AI626" s="2588">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56"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56">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56">
      <c r="B629" s="1686" t="n"/>
      <c r="W629" s="2020" t="n"/>
      <c r="X629" s="2020" t="n"/>
      <c r="Y629" s="2020" t="n"/>
      <c r="Z629" s="2020" t="n"/>
      <c r="AA629" s="2020" t="n"/>
      <c r="AB629" s="2020" t="n"/>
      <c r="AG629" s="2457" t="n"/>
      <c r="AH629" s="2457" t="n"/>
      <c r="AI629" s="2457" t="n"/>
    </row>
    <row r="630">
      <c r="E630" s="85" t="inlineStr">
        <is>
          <t>Mots-clés</t>
        </is>
      </c>
      <c r="F630" s="2574" t="inlineStr">
        <is>
          <t>COMBINAISONS</t>
        </is>
      </c>
      <c r="K630" s="2574" t="n"/>
      <c r="L630" s="2573" t="n"/>
      <c r="O630" s="2574" t="n"/>
      <c r="P630" s="2574" t="n"/>
      <c r="Q630" s="2574" t="n"/>
      <c r="R630" s="2574" t="n"/>
      <c r="S630" s="2574" t="n"/>
      <c r="T630" s="2574" t="n"/>
      <c r="U630" s="2574" t="n"/>
      <c r="V630" s="73" t="n"/>
      <c r="AD630" s="10" t="n"/>
      <c r="AE630" s="10" t="n"/>
      <c r="AF630" s="10" t="n"/>
    </row>
    <row r="631">
      <c r="B631" s="1685" t="n">
        <v>5</v>
      </c>
      <c r="D631" s="437">
        <f>'Cpts AR +indép + Sommaire'!B93</f>
        <v/>
      </c>
      <c r="E631" s="84" t="n"/>
      <c r="F631" s="50" t="n"/>
      <c r="G631" s="18" t="n"/>
      <c r="H631" s="18" t="n"/>
      <c r="I631" s="2572" t="inlineStr">
        <is>
          <t>AP</t>
        </is>
      </c>
      <c r="L631" s="2570" t="inlineStr">
        <is>
          <t>Dynamique d'AP</t>
        </is>
      </c>
      <c r="O631" s="2567" t="n"/>
      <c r="P631" s="2566" t="inlineStr">
        <is>
          <t>CL</t>
        </is>
      </c>
      <c r="R631" s="2567" t="n"/>
      <c r="S631" s="2571" t="inlineStr">
        <is>
          <t>CSS</t>
        </is>
      </c>
      <c r="U631" s="2567"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69" t="inlineStr">
        <is>
          <t>AP</t>
        </is>
      </c>
      <c r="AL631" s="2569" t="inlineStr">
        <is>
          <t>CL</t>
        </is>
      </c>
      <c r="AN631" s="2569" t="inlineStr">
        <is>
          <t>CSS</t>
        </is>
      </c>
    </row>
    <row r="632" ht="34" customHeight="1" s="2456">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5"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56">
      <c r="A633">
        <f>IF(Test_Bible!B163="","F","O")</f>
        <v/>
      </c>
      <c r="B633" s="2133" t="inlineStr">
        <is>
          <t>Condition AP, CL et CSS à faire</t>
        </is>
      </c>
      <c r="C633" s="376">
        <f>'Cpts AR +indép + Sommaire'!C93</f>
        <v/>
      </c>
      <c r="D633" s="258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88">
        <f>IF($K633=TRUE,H633,0)</f>
        <v/>
      </c>
      <c r="AH633" s="2588">
        <f>IF($R633=TRUE,H633,0)</f>
        <v/>
      </c>
      <c r="AI633" s="2588">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56">
      <c r="B634" s="1686" t="n"/>
      <c r="C634" s="376" t="n"/>
      <c r="D634" s="258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88">
        <f>IF($K634=TRUE,H634,0)</f>
        <v/>
      </c>
      <c r="AH634" s="2588">
        <f>IF($R634=TRUE,H634,0)</f>
        <v/>
      </c>
      <c r="AI634" s="2588">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56">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56">
      <c r="B636" s="1686" t="n"/>
      <c r="C636" s="38" t="n"/>
      <c r="D636" s="258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88">
        <f>IF(K636=TRUE,H636,0)</f>
        <v/>
      </c>
      <c r="AH636" s="2588">
        <f>IF(R636=TRUE,H636,0)</f>
        <v/>
      </c>
      <c r="AI636" s="2588">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56">
      <c r="B637" s="1686" t="n"/>
      <c r="C637" s="38" t="n"/>
      <c r="D637" s="258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88">
        <f>IF(K637=TRUE,H637,0)</f>
        <v/>
      </c>
      <c r="AH637" s="2588">
        <f>IF(R637=TRUE,H637,0)</f>
        <v/>
      </c>
      <c r="AI637" s="2588">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56"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56"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16">
        <f>IF(AND($K635=TRUE,$K638=FALSE),AG635,IF(AND($K635=FALSE,$K638=TRUE),AG638,IF(AND($K635=TRUE,$K638=TRUE),AG635+AG638,0)))</f>
        <v/>
      </c>
      <c r="AH639" s="2516">
        <f>IF(AND($R635=TRUE,$R638=FALSE),AH635,IF(AND($R635=FALSE,$R638=TRUE),AH638,IF(AND($R635=TRUE,$R638=TRUE),AH635+AH638,0)))</f>
        <v/>
      </c>
      <c r="AI639" s="2516">
        <f>IF(AND($U635=TRUE,$U638=FALSE),AI635,IF(AND($U635=FALSE,$U638=TRUE),AI638,IF(AND($U635=TRUE,$U638=TRUE),AI635+AI638,0)))</f>
        <v/>
      </c>
      <c r="AJ639" s="2516">
        <f>IF(AND($K635=TRUE,$K638=FALSE),AJ635,IF(AND($K635=FALSE,$K638=TRUE),AJ638,IF(AND($K635=TRUE,$K638=TRUE),AJ635+AJ638,MAX(AJ635,AJ638))))</f>
        <v/>
      </c>
      <c r="AK639" s="2516">
        <f>IF(AND($K635=TRUE,$K638=FALSE),AK635,IF(AND($K635=FALSE,$K638=TRUE),AK638,IF(AND($K635=TRUE,$K638=TRUE),AK635+AK638,MAX(AK635,AK638))))</f>
        <v/>
      </c>
      <c r="AL639" s="2516">
        <f>IF(AND($R635=TRUE,$R638=FALSE),AL635,IF(AND($R635=FALSE,$R638=TRUE),AL638,IF(AND($R635=TRUE,$R638=TRUE),AL635+AL638,MAX(AL635,AL638))))</f>
        <v/>
      </c>
      <c r="AM639" s="2516">
        <f>IF(AND($R635=TRUE,$R638=FALSE),AM635,IF(AND($R635=FALSE,$R638=TRUE),AM638,IF(AND($R635=TRUE,$R638=TRUE),AM635+AM638,MAX(AM635,AM638))))</f>
        <v/>
      </c>
      <c r="AN639" s="2516">
        <f>IF(AND($U635=TRUE,$U638=FALSE),AN635,IF(AND($U635=FALSE,$U638=TRUE),AN638,IF(AND($U635=TRUE,$U638=TRUE),AN635+AN638,MAX(AN635,AN638))))</f>
        <v/>
      </c>
      <c r="AO639" s="2516">
        <f>IF(AND($U635=TRUE,$U638=FALSE),AO635,IF(AND($U635=FALSE,$U638=TRUE),AO638,IF(AND($U635=TRUE,$U638=TRUE),AO635+AO638,MAX(AO635,AO638))))</f>
        <v/>
      </c>
    </row>
    <row r="640" ht="21" customHeight="1" s="2456">
      <c r="B640" s="1686" t="n"/>
      <c r="C640" s="287" t="n"/>
      <c r="D640" s="258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inlineStr"/>
      <c r="X640" s="814" t="n"/>
      <c r="Y640" s="813" t="n"/>
      <c r="Z640" s="814" t="n"/>
      <c r="AA640" s="813" t="n"/>
      <c r="AB640" s="814" t="n"/>
      <c r="AD640" s="10" t="n"/>
      <c r="AE640" s="10" t="n"/>
      <c r="AF640" s="10" t="n"/>
      <c r="AG640" s="2588">
        <f>IF($K640=TRUE,H640,0)</f>
        <v/>
      </c>
      <c r="AH640" s="2588">
        <f>IF($R640=TRUE,H640,0)</f>
        <v/>
      </c>
      <c r="AI640" s="2588"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56"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88">
        <f>IF($K641=TRUE,H641,0)</f>
        <v/>
      </c>
      <c r="AH641" s="2588">
        <f>IF($R641=TRUE,H641,0)</f>
        <v/>
      </c>
      <c r="AI641" s="2588"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56"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56">
      <c r="B643" s="1686" t="n"/>
      <c r="D643" s="383" t="inlineStr">
        <is>
          <t>COMPARATIF Comportement PFA-Enf</t>
        </is>
      </c>
      <c r="E643" s="2576"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56">
      <c r="B644" s="1686" t="n"/>
      <c r="C644" t="inlineStr">
        <is>
          <t>PCR</t>
        </is>
      </c>
      <c r="I644" s="122" t="n"/>
      <c r="L644" s="2464" t="n"/>
      <c r="M644" s="2464" t="n"/>
      <c r="N644" s="2464" t="n"/>
      <c r="O644" s="1365" t="n"/>
      <c r="P644" s="122" t="n"/>
      <c r="R644" s="2567" t="n"/>
      <c r="S644" s="122" t="n"/>
      <c r="U644" s="2567" t="n"/>
      <c r="V644" s="2464" t="n"/>
      <c r="W644" s="813" t="n"/>
      <c r="X644" s="814" t="n"/>
      <c r="Y644" s="813" t="n"/>
      <c r="Z644" s="814" t="n"/>
      <c r="AA644" s="813" t="n"/>
      <c r="AB644" s="814" t="n"/>
      <c r="AD644" s="10" t="n"/>
      <c r="AE644" s="10" t="n"/>
      <c r="AF644" s="10" t="n"/>
      <c r="AG644" s="2588" t="n"/>
      <c r="AH644" s="2588" t="n"/>
      <c r="AI644" s="2588" t="n"/>
      <c r="AJ644" s="1476" t="n"/>
      <c r="AK644" s="1476" t="n"/>
      <c r="AL644" s="1476" t="n"/>
      <c r="AM644" s="1476" t="n"/>
      <c r="AN644" s="1476" t="n"/>
      <c r="AO644" s="1476" t="n"/>
    </row>
    <row r="645" ht="40" customHeight="1" s="2456">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64" t="n"/>
      <c r="W645" s="813" t="n"/>
      <c r="X645" s="814" t="n"/>
      <c r="Y645" s="813" t="n"/>
      <c r="Z645" s="814" t="n"/>
      <c r="AA645" s="813" t="n"/>
      <c r="AB645" s="814" t="n"/>
      <c r="AD645" s="10" t="n"/>
      <c r="AE645" s="10" t="n"/>
      <c r="AF645" s="10" t="n"/>
      <c r="AG645" s="2588">
        <f>IF($K645=TRUE,H645,0)</f>
        <v/>
      </c>
      <c r="AH645" s="2588">
        <f>IF($R645=TRUE,H645,0)</f>
        <v/>
      </c>
      <c r="AI645" s="2588">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56"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88">
        <f>IF($K646=TRUE,H646,0)</f>
        <v/>
      </c>
      <c r="AH646" s="2588">
        <f>IF($R646=TRUE,H646,0)</f>
        <v/>
      </c>
      <c r="AI646" s="2588">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56"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56">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56">
      <c r="B649" s="1686" t="n"/>
      <c r="W649" s="2020" t="n"/>
      <c r="X649" s="2020" t="n"/>
      <c r="Y649" s="2020" t="n"/>
      <c r="Z649" s="2020" t="n"/>
      <c r="AA649" s="2020" t="n"/>
      <c r="AB649" s="2020" t="n"/>
      <c r="AG649" s="2457" t="n"/>
      <c r="AH649" s="2457" t="n"/>
      <c r="AI649" s="2457" t="n"/>
    </row>
    <row r="650" ht="16" customHeight="1" s="2456">
      <c r="B650" s="1686" t="n"/>
      <c r="W650" s="1373" t="n"/>
      <c r="X650" s="1374" t="n"/>
      <c r="Y650" s="1220" t="n"/>
      <c r="AD650" s="10" t="n"/>
      <c r="AE650" s="10" t="n"/>
      <c r="AF650" s="10" t="n"/>
    </row>
    <row r="651">
      <c r="E651" s="85" t="inlineStr">
        <is>
          <t>Mots-clés</t>
        </is>
      </c>
      <c r="F651" s="2574" t="inlineStr">
        <is>
          <t>COMBINAISONS</t>
        </is>
      </c>
      <c r="K651" s="2574" t="n"/>
      <c r="L651" s="2573" t="n"/>
      <c r="O651" s="2574" t="n"/>
      <c r="P651" s="2574" t="n"/>
      <c r="Q651" s="2574" t="n"/>
      <c r="R651" s="2574" t="n"/>
      <c r="S651" s="2574" t="n"/>
      <c r="T651" s="2574" t="n"/>
      <c r="U651" s="2574" t="n"/>
      <c r="V651" s="73" t="n"/>
      <c r="AD651" s="10" t="n"/>
      <c r="AE651" s="10" t="n"/>
      <c r="AF651" s="10" t="n"/>
    </row>
    <row r="652">
      <c r="B652" s="1685" t="n">
        <v>6</v>
      </c>
      <c r="D652" s="437">
        <f>'Cpts AR +indép + Sommaire'!B95</f>
        <v/>
      </c>
      <c r="E652" s="84" t="n"/>
      <c r="F652" s="50" t="n"/>
      <c r="G652" s="18" t="n"/>
      <c r="H652" s="18" t="n"/>
      <c r="I652" s="2572" t="inlineStr">
        <is>
          <t>AP</t>
        </is>
      </c>
      <c r="L652" s="2570" t="inlineStr">
        <is>
          <t>Dynamique d'AP</t>
        </is>
      </c>
      <c r="O652" s="2567" t="n"/>
      <c r="P652" s="2566" t="inlineStr">
        <is>
          <t>CL</t>
        </is>
      </c>
      <c r="R652" s="2567" t="n"/>
      <c r="S652" s="2571" t="inlineStr">
        <is>
          <t>CSS</t>
        </is>
      </c>
      <c r="U652" s="2567"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69" t="inlineStr">
        <is>
          <t>AP</t>
        </is>
      </c>
      <c r="AL652" s="2569" t="inlineStr">
        <is>
          <t>CL</t>
        </is>
      </c>
      <c r="AN652" s="2569" t="inlineStr">
        <is>
          <t>CSS</t>
        </is>
      </c>
    </row>
    <row r="653" ht="34" customHeight="1" s="2456">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5"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56">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88">
        <f>IF($K654=TRUE,H654,0)</f>
        <v/>
      </c>
      <c r="AH654" s="2588">
        <f>IF($R654=TRUE,H654,0)</f>
        <v/>
      </c>
      <c r="AI654" s="2588">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56">
      <c r="B655" s="1686" t="n"/>
      <c r="C655" s="376" t="n"/>
      <c r="D655" s="258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88">
        <f>IF($K655=TRUE,H655,0)</f>
        <v/>
      </c>
      <c r="AH655" s="2588">
        <f>IF($R655=TRUE,H655,0)</f>
        <v/>
      </c>
      <c r="AI655" s="2588">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56">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56">
      <c r="B657" s="1686" t="n"/>
      <c r="C657" s="38" t="n"/>
      <c r="D657" s="258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88">
        <f>IF(K657=TRUE,H657,0)</f>
        <v/>
      </c>
      <c r="AH657" s="2588">
        <f>IF(R657=TRUE,H657,0)</f>
        <v/>
      </c>
      <c r="AI657" s="2588">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56">
      <c r="B658" s="1686" t="n"/>
      <c r="C658" s="38" t="n"/>
      <c r="D658" s="258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88">
        <f>IF(K658=TRUE,H658,0)</f>
        <v/>
      </c>
      <c r="AH658" s="2588">
        <f>IF(R658=TRUE,H658,0)</f>
        <v/>
      </c>
      <c r="AI658" s="2588">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56"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56"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16">
        <f>IF(AND($K656=TRUE,$K659=FALSE),AG656,IF(AND($K656=FALSE,$K659=TRUE),AG659,IF(AND($K656=TRUE,$K659=TRUE),AG656+AG659,0)))</f>
        <v/>
      </c>
      <c r="AH660" s="2516">
        <f>IF(AND($R656=TRUE,$R659=FALSE),AH656,IF(AND($R656=FALSE,$R659=TRUE),AH659,IF(AND($R656=TRUE,$R659=TRUE),AH656+AH659,0)))</f>
        <v/>
      </c>
      <c r="AI660" s="2516">
        <f>IF(AND($U656=TRUE,$U659=FALSE),AI656,IF(AND($U656=FALSE,$U659=TRUE),AI659,IF(AND($U656=TRUE,$U659=TRUE),AI656+AI659,0)))</f>
        <v/>
      </c>
      <c r="AJ660" s="2516">
        <f>IF(AND($K656=TRUE,$K659=FALSE),AJ656,IF(AND($K656=FALSE,$K659=TRUE),AJ659,IF(AND($K656=TRUE,$K659=TRUE),AJ656+AJ659,MAX(AJ656,AJ659))))</f>
        <v/>
      </c>
      <c r="AK660" s="2516">
        <f>IF(AND($K656=TRUE,$K659=FALSE),AK656,IF(AND($K656=FALSE,$K659=TRUE),AK659,IF(AND($K656=TRUE,$K659=TRUE),AK656+AK659,MAX(AK656,AK659))))</f>
        <v/>
      </c>
      <c r="AL660" s="2516">
        <f>IF(AND($R656=TRUE,$R659=FALSE),AL656,IF(AND($R656=FALSE,$R659=TRUE),AL659,IF(AND($R656=TRUE,$R659=TRUE),AL656+AL659,MAX(AL656,AL659))))</f>
        <v/>
      </c>
      <c r="AM660" s="2516">
        <f>IF(AND($R656=TRUE,$R659=FALSE),AM656,IF(AND($R656=FALSE,$R659=TRUE),AM659,IF(AND($R656=TRUE,$R659=TRUE),AM656+AM659,MAX(AM656,AM659))))</f>
        <v/>
      </c>
      <c r="AN660" s="2516">
        <f>IF(AND($U656=TRUE,$U659=FALSE),AN656,IF(AND($U656=FALSE,$U659=TRUE),AN659,IF(AND($U656=TRUE,$U659=TRUE),AN656+AN659,MAX(AN656,AN659))))</f>
        <v/>
      </c>
      <c r="AO660" s="2516">
        <f>IF(AND($U656=TRUE,$U659=FALSE),AO656,IF(AND($U656=FALSE,$U659=TRUE),AO659,IF(AND($U656=TRUE,$U659=TRUE),AO656+AO659,MAX(AO656,AO659))))</f>
        <v/>
      </c>
    </row>
    <row r="661" ht="21" customHeight="1" s="2456">
      <c r="B661" s="1686" t="n"/>
      <c r="C661" s="287" t="n"/>
      <c r="D661" s="258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inlineStr"/>
      <c r="X661" s="814" t="n"/>
      <c r="Y661" s="813" t="n"/>
      <c r="Z661" s="814" t="n"/>
      <c r="AA661" s="813" t="n"/>
      <c r="AB661" s="814" t="n"/>
      <c r="AD661" s="10" t="n"/>
      <c r="AE661" s="10" t="n"/>
      <c r="AF661" s="10" t="n"/>
      <c r="AG661" s="2588">
        <f>IF($K661=TRUE,H661,0)</f>
        <v/>
      </c>
      <c r="AH661" s="2588">
        <f>IF($R661=TRUE,H661,0)</f>
        <v/>
      </c>
      <c r="AI661" s="2588"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56"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88">
        <f>IF($K662=TRUE,H662,0)</f>
        <v/>
      </c>
      <c r="AH662" s="2588">
        <f>IF($R662=TRUE,H662,0)</f>
        <v/>
      </c>
      <c r="AI662" s="2588"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56"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56">
      <c r="B664" s="1686" t="n"/>
      <c r="D664" s="383" t="inlineStr">
        <is>
          <t>COMPARATIF Comportement PFA-Enf</t>
        </is>
      </c>
      <c r="E664" s="2576"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56">
      <c r="B665" s="1686" t="n"/>
      <c r="C665" t="inlineStr">
        <is>
          <t>PCR</t>
        </is>
      </c>
      <c r="I665" s="122" t="n"/>
      <c r="L665" s="2464" t="n"/>
      <c r="M665" s="2464" t="n"/>
      <c r="N665" s="2464" t="n"/>
      <c r="O665" s="1365" t="n"/>
      <c r="P665" s="122" t="n"/>
      <c r="R665" s="2567" t="n"/>
      <c r="S665" s="122" t="n"/>
      <c r="U665" s="2567" t="n"/>
      <c r="V665" s="2464" t="n"/>
      <c r="W665" s="813" t="n"/>
      <c r="X665" s="814" t="n"/>
      <c r="Y665" s="813" t="n"/>
      <c r="Z665" s="814" t="n"/>
      <c r="AA665" s="813" t="n"/>
      <c r="AB665" s="814" t="n"/>
      <c r="AD665" s="10" t="n"/>
      <c r="AE665" s="10" t="n"/>
      <c r="AF665" s="10" t="n"/>
      <c r="AG665" s="2588" t="n"/>
      <c r="AH665" s="2588" t="n"/>
      <c r="AI665" s="2588" t="n"/>
      <c r="AJ665" s="1476" t="n"/>
      <c r="AK665" s="1476" t="n"/>
      <c r="AL665" s="1476" t="n"/>
      <c r="AM665" s="1476" t="n"/>
      <c r="AN665" s="1476" t="n"/>
      <c r="AO665" s="1476" t="n"/>
    </row>
    <row r="666" ht="21" customHeight="1" s="2456">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64" t="n"/>
      <c r="W666" s="813" t="n"/>
      <c r="X666" s="814" t="n"/>
      <c r="Y666" s="813" t="n"/>
      <c r="Z666" s="814" t="n"/>
      <c r="AA666" s="813" t="n"/>
      <c r="AB666" s="814" t="n"/>
      <c r="AD666" s="10" t="n"/>
      <c r="AE666" s="10" t="n"/>
      <c r="AF666" s="10" t="n"/>
      <c r="AG666" s="2588">
        <f>IF($K666=TRUE,H666,0)</f>
        <v/>
      </c>
      <c r="AH666" s="2588">
        <f>IF($R666=TRUE,H666,0)</f>
        <v/>
      </c>
      <c r="AI666" s="2588">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56"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88">
        <f>IF($K667=TRUE,H667,0)</f>
        <v/>
      </c>
      <c r="AH667" s="2588">
        <f>IF($R667=TRUE,H667,0)</f>
        <v/>
      </c>
      <c r="AI667" s="2588">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56"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56">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56">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56">
      <c r="C672" s="429" t="inlineStr">
        <is>
          <t>INDÉPENDANTS</t>
        </is>
      </c>
      <c r="AD672" s="10" t="n"/>
      <c r="AE672" s="10" t="n"/>
      <c r="AF672" s="10" t="n"/>
    </row>
    <row r="673" ht="16" customHeight="1" s="2456">
      <c r="B673" s="1686" t="n"/>
      <c r="W673" s="1373" t="n"/>
      <c r="X673" s="1374" t="n"/>
      <c r="Y673" s="1220" t="n"/>
    </row>
    <row r="674">
      <c r="E674" s="85" t="inlineStr">
        <is>
          <t>Mots-clés</t>
        </is>
      </c>
      <c r="F674" s="2574" t="inlineStr">
        <is>
          <t>COMBINAISONS</t>
        </is>
      </c>
      <c r="K674" s="2574" t="n"/>
      <c r="L674" s="2573" t="n"/>
      <c r="O674" s="2574" t="n"/>
      <c r="P674" s="2574" t="n"/>
      <c r="Q674" s="2574" t="n"/>
      <c r="R674" s="2574" t="n"/>
      <c r="S674" s="2574" t="n"/>
      <c r="T674" s="2574" t="n"/>
      <c r="U674" s="2574" t="n"/>
      <c r="V674" s="73" t="n"/>
      <c r="AD674" s="10" t="n"/>
      <c r="AE674" s="10" t="n"/>
      <c r="AF674" s="10" t="n"/>
    </row>
    <row r="675">
      <c r="B675" s="1685" t="n"/>
      <c r="D675" s="437">
        <f>'Cpts AR +indép + Sommaire'!B98</f>
        <v/>
      </c>
      <c r="E675" s="84" t="n"/>
      <c r="F675" s="50" t="n"/>
      <c r="G675" s="18" t="n"/>
      <c r="H675" s="18" t="n"/>
      <c r="I675" s="2572" t="inlineStr">
        <is>
          <t>AP</t>
        </is>
      </c>
      <c r="L675" s="2570" t="inlineStr">
        <is>
          <t>Dynamique d'AP</t>
        </is>
      </c>
      <c r="O675" s="2567" t="n"/>
      <c r="P675" s="2566" t="inlineStr">
        <is>
          <t>CL</t>
        </is>
      </c>
      <c r="R675" s="2567" t="n"/>
      <c r="S675" s="2571" t="inlineStr">
        <is>
          <t>CSS</t>
        </is>
      </c>
      <c r="U675" s="2567"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69" t="inlineStr">
        <is>
          <t>AP</t>
        </is>
      </c>
      <c r="AL675" s="2569" t="inlineStr">
        <is>
          <t>CL</t>
        </is>
      </c>
      <c r="AN675" s="2569" t="inlineStr">
        <is>
          <t>CSS</t>
        </is>
      </c>
      <c r="AY675" s="728" t="n"/>
      <c r="AZ675" s="728" t="n"/>
      <c r="BA675" s="87" t="n"/>
      <c r="BB675" s="438" t="n"/>
      <c r="BC675" s="89" t="n"/>
      <c r="BD675" s="442" t="n"/>
      <c r="BE675" s="442" t="n"/>
      <c r="BF675" s="89" t="n"/>
      <c r="BG675" s="443" t="n"/>
      <c r="BH675" s="443" t="n"/>
      <c r="BI675" s="439" t="n"/>
    </row>
    <row r="676" ht="34" customHeight="1" s="2456">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5"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56">
      <c r="A677">
        <f>IF(Test_Bible!B206="","F","O")</f>
        <v/>
      </c>
      <c r="B677" s="2133" t="inlineStr">
        <is>
          <t>Condition AP, CL et CSS à faire</t>
        </is>
      </c>
      <c r="C677" s="376">
        <f>'Cpts AR +indép + Sommaire'!C98</f>
        <v/>
      </c>
      <c r="D677" s="258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88">
        <f>IF($K677=TRUE,H677,0)</f>
        <v/>
      </c>
      <c r="AH677" s="2588">
        <f>IF($R677=TRUE,H677,0)</f>
        <v/>
      </c>
      <c r="AI677" s="2588">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56">
      <c r="B678" s="1686" t="n"/>
      <c r="C678" s="376" t="n"/>
      <c r="D678" s="258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88">
        <f>IF($K678=TRUE,H678,0)</f>
        <v/>
      </c>
      <c r="AH678" s="2588">
        <f>IF($R678=TRUE,H678,0)</f>
        <v/>
      </c>
      <c r="AI678" s="2588">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56">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56">
      <c r="B680" s="1686" t="n"/>
      <c r="C680" s="38" t="n"/>
      <c r="D680" s="258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88">
        <f>IF(K680=TRUE,H680,0)</f>
        <v/>
      </c>
      <c r="AH680" s="2588">
        <f>IF(R680=TRUE,H680,0)</f>
        <v/>
      </c>
      <c r="AI680" s="2588">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56">
      <c r="B681" s="1686" t="n"/>
      <c r="C681" s="38" t="n"/>
      <c r="D681" s="258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88">
        <f>IF(K681=TRUE,H681,0)</f>
        <v/>
      </c>
      <c r="AH681" s="2588">
        <f>IF(R681=TRUE,H681,0)</f>
        <v/>
      </c>
      <c r="AI681" s="2588">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69" t="n"/>
      <c r="AX681" s="2469" t="n"/>
      <c r="AY681" s="728" t="n"/>
      <c r="AZ681" s="728" t="n"/>
      <c r="BA681" s="87" t="n"/>
      <c r="BB681" s="438" t="n"/>
      <c r="BC681" s="89" t="n"/>
      <c r="BD681" s="442" t="n"/>
      <c r="BE681" s="442" t="n"/>
      <c r="BF681" s="89" t="n"/>
      <c r="BG681" s="443" t="n"/>
      <c r="BH681" s="443" t="n"/>
      <c r="BI681" s="439" t="n"/>
      <c r="BN681" s="2580" t="n"/>
      <c r="BP681" s="2469" t="n"/>
      <c r="BQ681" s="2469" t="n"/>
      <c r="BR681" s="2469" t="n"/>
      <c r="BS681" s="2469" t="n"/>
      <c r="BT681" s="2469" t="n"/>
      <c r="BU681" s="2469" t="n"/>
      <c r="BV681" s="2469" t="n"/>
      <c r="BW681" s="2469" t="n"/>
      <c r="BX681" s="2469" t="n"/>
      <c r="BY681" s="2469" t="n"/>
      <c r="BZ681" s="2469" t="n"/>
    </row>
    <row r="682" ht="20" customHeight="1" s="2456"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69" t="n"/>
      <c r="AX682" s="2469" t="n"/>
      <c r="AY682" s="728" t="n"/>
      <c r="AZ682" s="728" t="n"/>
      <c r="BA682" s="87" t="n"/>
      <c r="BB682" s="438" t="n"/>
      <c r="BC682" s="89" t="n"/>
      <c r="BD682" s="442" t="n"/>
      <c r="BE682" s="442" t="n"/>
      <c r="BF682" s="89" t="n"/>
      <c r="BG682" s="443" t="n"/>
      <c r="BH682" s="443" t="n"/>
      <c r="BI682" s="439" t="n"/>
      <c r="BN682" s="2580" t="n"/>
      <c r="BP682" s="2469" t="n"/>
      <c r="BQ682" s="2469" t="n"/>
      <c r="BR682" s="2469" t="n"/>
      <c r="BS682" s="2469" t="n"/>
      <c r="BT682" s="2469" t="n"/>
      <c r="BU682" s="2469" t="n"/>
      <c r="BV682" s="2469" t="n"/>
      <c r="BW682" s="2469" t="n"/>
      <c r="BX682" s="2469" t="n"/>
      <c r="BY682" s="2469" t="n"/>
      <c r="BZ682" s="2469" t="n"/>
    </row>
    <row r="683" ht="35" customHeight="1" s="2456"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16">
        <f>IF(AND($K679=TRUE,$K682=FALSE),AG679,IF(AND($K679=FALSE,$K682=TRUE),AG682,IF(AND($K679=TRUE,$K682=TRUE),AG679+AG682,0)))</f>
        <v/>
      </c>
      <c r="AH683" s="2516">
        <f>IF(AND($R679=TRUE,$R682=FALSE),AH679,IF(AND($R679=FALSE,$R682=TRUE),AH682,IF(AND($R679=TRUE,$R682=TRUE),AH679+AH682,0)))</f>
        <v/>
      </c>
      <c r="AI683" s="2516">
        <f>IF(AND($U679=TRUE,$U682=FALSE),AI679,IF(AND($U679=FALSE,$U682=TRUE),AI682,IF(AND($U679=TRUE,$U682=TRUE),AI679+AI682,0)))</f>
        <v/>
      </c>
      <c r="AJ683" s="2516">
        <f>IF(AND($K679=TRUE,$K682=FALSE),AJ679,IF(AND($K679=FALSE,$K682=TRUE),AJ682,IF(AND($K679=TRUE,$K682=TRUE),AJ679+AJ682,MAX(AJ679,AJ682))))</f>
        <v/>
      </c>
      <c r="AK683" s="2516">
        <f>IF(AND($K679=TRUE,$K682=FALSE),AK679,IF(AND($K679=FALSE,$K682=TRUE),AK682,IF(AND($K679=TRUE,$K682=TRUE),AK679+AK682,MAX(AK679,AK682))))</f>
        <v/>
      </c>
      <c r="AL683" s="2516">
        <f>IF(AND($R679=TRUE,$R682=FALSE),AL679,IF(AND($R679=FALSE,$R682=TRUE),AL682,IF(AND($R679=TRUE,$R682=TRUE),AL679+AL682,MAX(AL679,AL682))))</f>
        <v/>
      </c>
      <c r="AM683" s="2516">
        <f>IF(AND($R679=TRUE,$R682=FALSE),AM679,IF(AND($R679=FALSE,$R682=TRUE),AM682,IF(AND($R679=TRUE,$R682=TRUE),AM679+AM682,MAX(AM679,AM682))))</f>
        <v/>
      </c>
      <c r="AN683" s="2516">
        <f>IF(AND($U679=TRUE,$U682=FALSE),AN679,IF(AND($U679=FALSE,$U682=TRUE),AN682,IF(AND($U679=TRUE,$U682=TRUE),AN679+AN682,MAX(AN679,AN682))))</f>
        <v/>
      </c>
      <c r="AO683" s="2516">
        <f>IF(AND($U679=TRUE,$U682=FALSE),AO679,IF(AND($U679=FALSE,$U682=TRUE),AO682,IF(AND($U679=TRUE,$U682=TRUE),AO679+AO682,MAX(AO679,AO682))))</f>
        <v/>
      </c>
      <c r="AV683" s="2469" t="n"/>
      <c r="AX683" s="2469" t="n"/>
      <c r="AY683" s="728" t="n"/>
      <c r="AZ683" s="728" t="n"/>
      <c r="BA683" s="87" t="n"/>
      <c r="BB683" s="438" t="n"/>
      <c r="BC683" s="89" t="n"/>
      <c r="BD683" s="442" t="n"/>
      <c r="BE683" s="442" t="n"/>
      <c r="BF683" s="89" t="n"/>
      <c r="BG683" s="443" t="n"/>
      <c r="BH683" s="443" t="n"/>
      <c r="BI683" s="439" t="n"/>
      <c r="BN683" s="2580" t="n"/>
      <c r="BP683" s="2469" t="n"/>
      <c r="BQ683" s="2469" t="n"/>
      <c r="BR683" s="2469" t="n"/>
      <c r="BS683" s="2469" t="n"/>
      <c r="BT683" s="2469" t="n"/>
      <c r="BU683" s="2469" t="n"/>
      <c r="BV683" s="2469" t="n"/>
      <c r="BW683" s="2469" t="n"/>
      <c r="BX683" s="2469" t="n"/>
      <c r="BY683" s="2469" t="n"/>
      <c r="BZ683" s="2469" t="n"/>
    </row>
    <row r="684" ht="21" customHeight="1" s="2456">
      <c r="B684" s="1686" t="n"/>
      <c r="C684" s="287" t="n"/>
      <c r="D684" s="258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inlineStr"/>
      <c r="X684" s="814" t="n"/>
      <c r="Y684" s="813" t="n"/>
      <c r="Z684" s="814" t="n"/>
      <c r="AA684" s="813" t="n"/>
      <c r="AB684" s="814" t="n"/>
      <c r="AD684" s="10" t="n"/>
      <c r="AE684" s="10" t="n"/>
      <c r="AF684" s="10" t="n"/>
      <c r="AG684" s="2588">
        <f>IF($K684=TRUE,H684,0)</f>
        <v/>
      </c>
      <c r="AH684" s="2588">
        <f>IF($R684=TRUE,H684,0)</f>
        <v/>
      </c>
      <c r="AI684" s="2588"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69" t="n"/>
      <c r="AX684" s="2469" t="n"/>
      <c r="AY684" s="728" t="n"/>
      <c r="AZ684" s="728" t="n"/>
      <c r="BA684" s="87" t="n"/>
      <c r="BB684" s="438" t="n"/>
      <c r="BC684" s="89" t="n"/>
      <c r="BD684" s="442" t="n"/>
      <c r="BE684" s="442" t="n"/>
      <c r="BF684" s="89" t="n"/>
      <c r="BG684" s="443" t="n"/>
      <c r="BH684" s="443" t="n"/>
      <c r="BI684" s="439" t="n"/>
      <c r="BN684" s="2580" t="n"/>
      <c r="BP684" s="2469" t="n"/>
      <c r="BQ684" s="2469" t="n"/>
      <c r="BR684" s="2469" t="n"/>
      <c r="BS684" s="2469" t="n"/>
      <c r="BT684" s="2469" t="n"/>
      <c r="BU684" s="2469" t="n"/>
      <c r="BV684" s="2469" t="n"/>
      <c r="BW684" s="2469" t="n"/>
      <c r="BX684" s="2469" t="n"/>
      <c r="BY684" s="2469" t="n"/>
      <c r="BZ684" s="2469" t="n"/>
    </row>
    <row r="685" ht="20" customHeight="1" s="2456"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88">
        <f>IF($K685=TRUE,H685,0)</f>
        <v/>
      </c>
      <c r="AH685" s="2588">
        <f>IF($R685=TRUE,H685,0)</f>
        <v/>
      </c>
      <c r="AI685" s="2588"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69" t="n"/>
      <c r="AX685" s="2469" t="n"/>
      <c r="AY685" s="728" t="n"/>
      <c r="AZ685" s="728" t="n"/>
      <c r="BA685" s="87" t="n"/>
      <c r="BB685" s="438" t="n"/>
      <c r="BC685" s="89" t="n"/>
      <c r="BD685" s="442" t="n"/>
      <c r="BE685" s="442" t="n"/>
      <c r="BF685" s="89" t="n"/>
      <c r="BG685" s="443" t="n"/>
      <c r="BH685" s="443" t="n"/>
      <c r="BI685" s="439" t="n"/>
      <c r="BN685" s="2580" t="n"/>
      <c r="BP685" s="2469" t="n"/>
      <c r="BQ685" s="2469" t="n"/>
      <c r="BR685" s="2469" t="n"/>
      <c r="BS685" s="2469" t="n"/>
      <c r="BT685" s="2469" t="n"/>
      <c r="BU685" s="2469" t="n"/>
      <c r="BV685" s="2469" t="n"/>
      <c r="BW685" s="2469" t="n"/>
      <c r="BX685" s="2469" t="n"/>
      <c r="BY685" s="2469" t="n"/>
      <c r="BZ685" s="2469" t="n"/>
    </row>
    <row r="686" ht="17" customHeight="1" s="2456"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56">
      <c r="B687" s="1686" t="n"/>
      <c r="D687" s="383" t="inlineStr">
        <is>
          <t>COMPARATIF Comportement PFA-Enf</t>
        </is>
      </c>
      <c r="E687" s="2576"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56">
      <c r="B688" s="1686" t="n"/>
      <c r="C688" t="inlineStr">
        <is>
          <t>PCR</t>
        </is>
      </c>
      <c r="I688" s="122" t="n"/>
      <c r="L688" s="2464" t="n"/>
      <c r="M688" s="2464" t="n"/>
      <c r="N688" s="2464" t="n"/>
      <c r="O688" s="1365" t="n"/>
      <c r="P688" s="122" t="n"/>
      <c r="R688" s="2567" t="n"/>
      <c r="S688" s="122" t="n"/>
      <c r="U688" s="2567" t="n"/>
      <c r="V688" s="2464" t="n"/>
      <c r="W688" s="813" t="n"/>
      <c r="X688" s="814" t="n"/>
      <c r="Y688" s="813" t="n"/>
      <c r="Z688" s="814" t="n"/>
      <c r="AA688" s="813" t="n"/>
      <c r="AB688" s="814" t="n"/>
      <c r="AD688" s="10" t="n"/>
      <c r="AE688" s="10" t="n"/>
      <c r="AF688" s="10" t="n"/>
      <c r="AG688" s="2588" t="n"/>
      <c r="AH688" s="2588" t="n"/>
      <c r="AI688" s="2588" t="n"/>
      <c r="AJ688" s="1476" t="n"/>
      <c r="AK688" s="1476" t="n"/>
      <c r="AL688" s="1476" t="n"/>
      <c r="AM688" s="1476" t="n"/>
      <c r="AN688" s="1476" t="n"/>
      <c r="AO688" s="1476" t="n"/>
    </row>
    <row r="689" ht="16" customHeight="1" s="2456">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64" t="n"/>
      <c r="W689" s="813" t="n"/>
      <c r="X689" s="814" t="n"/>
      <c r="Y689" s="813" t="n"/>
      <c r="Z689" s="814" t="n"/>
      <c r="AA689" s="813" t="n"/>
      <c r="AB689" s="814" t="n"/>
      <c r="AD689" s="10" t="n"/>
      <c r="AE689" s="10" t="n"/>
      <c r="AF689" s="10" t="n"/>
      <c r="AG689" s="2588">
        <f>IF($K689=TRUE,H689,0)</f>
        <v/>
      </c>
      <c r="AH689" s="2588">
        <f>IF($R689=TRUE,H689,0)</f>
        <v/>
      </c>
      <c r="AI689" s="2588">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56"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88">
        <f>IF($K690=TRUE,H690,0)</f>
        <v/>
      </c>
      <c r="AH690" s="2588">
        <f>IF($R690=TRUE,H690,0)</f>
        <v/>
      </c>
      <c r="AI690" s="2588">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56"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56">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65" t="n"/>
      <c r="T693" s="2465" t="n"/>
      <c r="U693" s="801" t="n"/>
      <c r="V693" s="73" t="n"/>
      <c r="W693" s="2465" t="n"/>
      <c r="X693" s="2465" t="n"/>
      <c r="Y693" s="2465" t="n"/>
      <c r="Z693" s="2465" t="n"/>
      <c r="AA693" s="2465" t="n"/>
      <c r="AB693" s="2465" t="n"/>
      <c r="AG693" s="2529" t="n"/>
      <c r="AH693" s="2529" t="n"/>
      <c r="AI693" s="2529" t="n"/>
      <c r="AJ693" s="2529" t="n"/>
      <c r="AK693" s="2529" t="n"/>
      <c r="AL693" s="2529" t="n"/>
      <c r="AM693" s="2529" t="n"/>
      <c r="AN693" s="2529" t="n"/>
      <c r="AO693" s="2529" t="n"/>
    </row>
    <row r="694">
      <c r="B694" s="1685" t="n">
        <v>27</v>
      </c>
      <c r="D694" s="437">
        <f>'Cpts AR +indép + Sommaire'!B100</f>
        <v/>
      </c>
      <c r="E694" s="84" t="n"/>
      <c r="F694" s="50" t="n"/>
      <c r="G694" s="18" t="n"/>
      <c r="H694" s="18" t="n"/>
      <c r="I694" s="2572" t="inlineStr">
        <is>
          <t>AP</t>
        </is>
      </c>
      <c r="L694" s="2570" t="inlineStr">
        <is>
          <t>Dynamique d'AP</t>
        </is>
      </c>
      <c r="O694" s="2567" t="n"/>
      <c r="P694" s="2566" t="inlineStr">
        <is>
          <t>CL</t>
        </is>
      </c>
      <c r="R694" s="2567" t="n"/>
      <c r="S694" s="2571" t="inlineStr">
        <is>
          <t>CSS</t>
        </is>
      </c>
      <c r="U694" s="2567"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69" t="inlineStr">
        <is>
          <t>AP</t>
        </is>
      </c>
      <c r="AL694" s="2569" t="inlineStr">
        <is>
          <t>CL</t>
        </is>
      </c>
      <c r="AN694" s="2569" t="inlineStr">
        <is>
          <t>CSS</t>
        </is>
      </c>
    </row>
    <row r="695" ht="34" customHeight="1" s="2456">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5"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56">
      <c r="B696" s="1686">
        <f>'Cpts AR +indép + Sommaire'!G276</f>
        <v/>
      </c>
      <c r="C696" s="376">
        <f>'Cpts AR +indép + Sommaire'!C276</f>
        <v/>
      </c>
      <c r="D696" s="258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88">
        <f>IF($K696=TRUE,H696,0)</f>
        <v/>
      </c>
      <c r="AH696" s="2588">
        <f>IF($R696=TRUE,H696,0)</f>
        <v/>
      </c>
      <c r="AI696" s="2588">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56">
      <c r="B697" s="1686">
        <f>'Cpts AR +indép + Sommaire'!G277</f>
        <v/>
      </c>
      <c r="C697" s="376">
        <f>'Cpts AR +indép + Sommaire'!C277</f>
        <v/>
      </c>
      <c r="D697" s="258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88">
        <f>IF($K697=TRUE,H697,0)</f>
        <v/>
      </c>
      <c r="AH697" s="2588">
        <f>IF($R697=TRUE,H697,0)</f>
        <v/>
      </c>
      <c r="AI697" s="2588">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56">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56">
      <c r="B699" s="1686" t="n"/>
      <c r="C699" s="38" t="inlineStr">
        <is>
          <t>NC</t>
        </is>
      </c>
      <c r="D699" s="258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88">
        <f>IF(K699=TRUE,H699,0)</f>
        <v/>
      </c>
      <c r="AH699" s="2588">
        <f>IF(R699=TRUE,H699,0)</f>
        <v/>
      </c>
      <c r="AI699" s="2588">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56">
      <c r="B700" s="1686" t="n"/>
      <c r="C700" s="38" t="inlineStr">
        <is>
          <t>NC</t>
        </is>
      </c>
      <c r="D700" s="258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88">
        <f>IF(K700=TRUE,H700,0)</f>
        <v/>
      </c>
      <c r="AH700" s="2588">
        <f>IF(R700=TRUE,H700,0)</f>
        <v/>
      </c>
      <c r="AI700" s="2588">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56"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56"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16">
        <f>IF(AND($K698=TRUE,$K701=FALSE),AG698,IF(AND($K698=FALSE,$K701=TRUE),AG701,IF(AND($K698=TRUE,$K701=TRUE),AG698+AG701,0)))</f>
        <v/>
      </c>
      <c r="AH702" s="2516">
        <f>IF(AND($R698=TRUE,$R701=FALSE),AH698,IF(AND($R698=FALSE,$R701=TRUE),AH701,IF(AND($R698=TRUE,$R701=TRUE),AH698+AH701,0)))</f>
        <v/>
      </c>
      <c r="AI702" s="2516">
        <f>IF(AND($U698=TRUE,$U701=FALSE),AI698,IF(AND($U698=FALSE,$U701=TRUE),AI701,IF(AND($U698=TRUE,$U701=TRUE),AI698+AI701,0)))</f>
        <v/>
      </c>
      <c r="AJ702" s="2516">
        <f>IF(AND($K698=TRUE,$K701=FALSE),AJ698,IF(AND($K698=FALSE,$K701=TRUE),AJ701,IF(AND($K698=TRUE,$K701=TRUE),AJ698+AJ701,MAX(AJ698,AJ701))))</f>
        <v/>
      </c>
      <c r="AK702" s="2516">
        <f>IF(AND($K698=TRUE,$K701=FALSE),AK698,IF(AND($K698=FALSE,$K701=TRUE),AK701,IF(AND($K698=TRUE,$K701=TRUE),AK698+AK701,MAX(AK698,AK701))))</f>
        <v/>
      </c>
      <c r="AL702" s="2516">
        <f>IF(AND($R698=TRUE,$R701=FALSE),AL698,IF(AND($R698=FALSE,$R701=TRUE),AL701,IF(AND($R698=TRUE,$R701=TRUE),AL698+AL701,MAX(AL698,AL701))))</f>
        <v/>
      </c>
      <c r="AM702" s="2516">
        <f>IF(AND($R698=TRUE,$R701=FALSE),AM698,IF(AND($R698=FALSE,$R701=TRUE),AM701,IF(AND($R698=TRUE,$R701=TRUE),AM698+AM701,MAX(AM698,AM701))))</f>
        <v/>
      </c>
      <c r="AN702" s="2516">
        <f>IF(AND($U698=TRUE,$U701=FALSE),AN698,IF(AND($U698=FALSE,$U701=TRUE),AN701,IF(AND($U698=TRUE,$U701=TRUE),AN698+AN701,MAX(AN698,AN701))))</f>
        <v/>
      </c>
      <c r="AO702" s="2516">
        <f>IF(AND($U698=TRUE,$U701=FALSE),AO698,IF(AND($U698=FALSE,$U701=TRUE),AO701,IF(AND($U698=TRUE,$U701=TRUE),AO698+AO701,MAX(AO698,AO701))))</f>
        <v/>
      </c>
    </row>
    <row r="703" ht="34" customHeight="1" s="2456">
      <c r="A703">
        <f>IF(Test_Bible!B283="","F","O")</f>
        <v/>
      </c>
      <c r="B703" s="2133" t="inlineStr">
        <is>
          <t>Condition AP, CL et CSS à faire</t>
        </is>
      </c>
      <c r="C703" s="287">
        <f>'Cpts AR +indép + Sommaire'!O100</f>
        <v/>
      </c>
      <c r="D703" s="258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inlineStr"/>
      <c r="X703" s="814" t="n"/>
      <c r="Y703" s="813" t="n"/>
      <c r="Z703" s="814" t="n"/>
      <c r="AA703" s="813" t="n"/>
      <c r="AB703" s="814" t="n"/>
      <c r="AD703" s="10" t="n"/>
      <c r="AE703" s="10" t="n"/>
      <c r="AF703" s="10" t="n"/>
      <c r="AG703" s="2588">
        <f>IF($K703=TRUE,H703,0)</f>
        <v/>
      </c>
      <c r="AH703" s="2588">
        <f>IF($R703=TRUE,H703,0)</f>
        <v/>
      </c>
      <c r="AI703" s="2588"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56" thickBot="1">
      <c r="B704" s="1686" t="n"/>
      <c r="C704" s="287" t="inlineStr">
        <is>
          <t>Enf</t>
        </is>
      </c>
      <c r="D704" s="258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88">
        <f>IF($K704=TRUE,H704,0)</f>
        <v/>
      </c>
      <c r="AH704" s="2588">
        <f>IF($R704=TRUE,H704,0)</f>
        <v/>
      </c>
      <c r="AI704" s="2588"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56"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56">
      <c r="B706" s="1686" t="n"/>
      <c r="D706" s="383" t="inlineStr">
        <is>
          <t>COMPARATIF Comportement PFA-Enf</t>
        </is>
      </c>
      <c r="E706" s="2576"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56">
      <c r="B707" s="1686" t="n"/>
      <c r="C707" t="inlineStr">
        <is>
          <t>PCR</t>
        </is>
      </c>
      <c r="I707" s="122" t="n"/>
      <c r="L707" s="2464" t="n"/>
      <c r="M707" s="2464" t="n"/>
      <c r="N707" s="2464" t="n"/>
      <c r="O707" s="1365" t="n"/>
      <c r="P707" s="122" t="n"/>
      <c r="R707" s="2567" t="n"/>
      <c r="S707" s="122" t="n"/>
      <c r="U707" s="2567" t="n"/>
      <c r="V707" s="2464" t="n"/>
      <c r="W707" s="813" t="n"/>
      <c r="X707" s="814" t="n"/>
      <c r="Y707" s="813" t="n"/>
      <c r="Z707" s="814" t="n"/>
      <c r="AA707" s="813" t="n"/>
      <c r="AB707" s="814" t="n"/>
      <c r="AD707" s="10" t="n"/>
      <c r="AE707" s="10" t="n"/>
      <c r="AF707" s="10" t="n"/>
      <c r="AG707" s="2588" t="n"/>
      <c r="AH707" s="2588" t="n"/>
      <c r="AI707" s="2588" t="n"/>
      <c r="AJ707" s="1476" t="n"/>
      <c r="AK707" s="1476" t="n"/>
      <c r="AL707" s="1476" t="n"/>
      <c r="AM707" s="1476" t="n"/>
      <c r="AN707" s="1476" t="n"/>
      <c r="AO707" s="1476" t="n"/>
    </row>
    <row r="708" ht="19" customHeight="1" s="2456">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64" t="n"/>
      <c r="W708" s="813" t="n"/>
      <c r="X708" s="814" t="n"/>
      <c r="Y708" s="813" t="n"/>
      <c r="Z708" s="814" t="n"/>
      <c r="AA708" s="813" t="n"/>
      <c r="AB708" s="814" t="n"/>
      <c r="AD708" s="10" t="n"/>
      <c r="AE708" s="10" t="n"/>
      <c r="AF708" s="10" t="n"/>
      <c r="AG708" s="2588">
        <f>IF($K708=TRUE,H708,0)</f>
        <v/>
      </c>
      <c r="AH708" s="2588">
        <f>IF($R708=TRUE,H708,0)</f>
        <v/>
      </c>
      <c r="AI708" s="2588">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56"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88">
        <f>IF($K709=TRUE,H709,0)</f>
        <v/>
      </c>
      <c r="AH709" s="2588">
        <f>IF($R709=TRUE,H709,0)</f>
        <v/>
      </c>
      <c r="AI709" s="2588">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56" thickBot="1">
      <c r="D710" s="2520" t="n"/>
      <c r="E710" s="2520"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56">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56">
      <c r="B712" s="1686" t="n"/>
      <c r="W712" s="1373" t="n"/>
      <c r="X712" s="1374" t="n"/>
      <c r="Y712" s="1220" t="n"/>
    </row>
    <row r="713">
      <c r="B713" s="1685" t="n">
        <v>28</v>
      </c>
      <c r="D713" s="437">
        <f>'Cpts AR +indép + Sommaire'!B102</f>
        <v/>
      </c>
      <c r="E713" s="84" t="n"/>
      <c r="F713" s="50" t="n"/>
      <c r="G713" s="18" t="n"/>
      <c r="H713" s="18" t="n"/>
      <c r="I713" s="2572" t="inlineStr">
        <is>
          <t>AP</t>
        </is>
      </c>
      <c r="L713" s="2570" t="inlineStr">
        <is>
          <t>Dynamique d'AP</t>
        </is>
      </c>
      <c r="O713" s="2567" t="n"/>
      <c r="P713" s="2566" t="inlineStr">
        <is>
          <t>CL</t>
        </is>
      </c>
      <c r="R713" s="2567" t="n"/>
      <c r="S713" s="2571" t="inlineStr">
        <is>
          <t>CSS</t>
        </is>
      </c>
      <c r="U713" s="2567"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69" t="inlineStr">
        <is>
          <t>AP</t>
        </is>
      </c>
      <c r="AL713" s="2569" t="inlineStr">
        <is>
          <t>CL</t>
        </is>
      </c>
      <c r="AN713" s="2569" t="inlineStr">
        <is>
          <t>CSS</t>
        </is>
      </c>
    </row>
    <row r="714" ht="34" customHeight="1" s="2456">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5"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56">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88">
        <f>IF($K715=TRUE,H715,0)</f>
        <v/>
      </c>
      <c r="AH715" s="2588">
        <f>IF($R715=TRUE,H715,0)</f>
        <v/>
      </c>
      <c r="AI715" s="2588">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56">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88">
        <f>IF($K716=TRUE,H716,0)</f>
        <v/>
      </c>
      <c r="AH716" s="2588">
        <f>IF($R716=TRUE,H716,0)</f>
        <v/>
      </c>
      <c r="AI716" s="2588">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56">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56">
      <c r="A718" s="2582" t="n"/>
      <c r="B718" s="1686">
        <f>'Cpts AR +indép + Sommaire'!M245</f>
        <v/>
      </c>
      <c r="C718" s="38">
        <f>'Cpts AR +indép + Sommaire'!I245</f>
        <v/>
      </c>
      <c r="D718" s="258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88">
        <f>IF(K718=TRUE,H718,0)</f>
        <v/>
      </c>
      <c r="AH718" s="2588">
        <f>IF(R718=TRUE,H718,0)</f>
        <v/>
      </c>
      <c r="AI718" s="2588">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56">
      <c r="B719" s="1686">
        <f>'Cpts AR +indép + Sommaire'!M246</f>
        <v/>
      </c>
      <c r="C719" s="38">
        <f>'Cpts AR +indép + Sommaire'!I246</f>
        <v/>
      </c>
      <c r="D719" s="258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88">
        <f>IF(K719=TRUE,H719,0)</f>
        <v/>
      </c>
      <c r="AH719" s="2588">
        <f>IF(R719=TRUE,H719,0)</f>
        <v/>
      </c>
      <c r="AI719" s="2588">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56"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69" t="n"/>
      <c r="AX720" s="2469" t="n"/>
      <c r="AY720" s="728" t="n"/>
      <c r="AZ720" s="728" t="n"/>
      <c r="BA720" s="87" t="n"/>
      <c r="BB720" s="438" t="n"/>
      <c r="BC720" s="89" t="n"/>
      <c r="BD720" s="442" t="n"/>
      <c r="BE720" s="442" t="n"/>
      <c r="BF720" s="89" t="n"/>
      <c r="BG720" s="443" t="n"/>
      <c r="BH720" s="443" t="n"/>
      <c r="BI720" s="439" t="n"/>
      <c r="BN720" s="2580" t="n"/>
      <c r="BP720" s="2469" t="n"/>
      <c r="BQ720" s="2469" t="n"/>
      <c r="BR720" s="2469" t="n"/>
      <c r="BS720" s="2469" t="n"/>
      <c r="BT720" s="2469" t="n"/>
      <c r="BU720" s="2469" t="n"/>
      <c r="BV720" s="2469" t="n"/>
      <c r="BW720" s="2469" t="n"/>
      <c r="BX720" s="2469" t="n"/>
      <c r="BY720" s="2469" t="n"/>
      <c r="BZ720" s="2469" t="n"/>
    </row>
    <row r="721" ht="35" customHeight="1" s="2456"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16">
        <f>IF(AND($K717=TRUE,$K720=FALSE),AG717,IF(AND($K717=FALSE,$K720=TRUE),AG720,IF(AND($K717=TRUE,$K720=TRUE),AG717+AG720,0)))</f>
        <v/>
      </c>
      <c r="AH721" s="2516">
        <f>IF(AND($R717=TRUE,$R720=FALSE),AH717,IF(AND($R717=FALSE,$R720=TRUE),AH720,IF(AND($R717=TRUE,$R720=TRUE),AH717+AH720,0)))</f>
        <v/>
      </c>
      <c r="AI721" s="2516">
        <f>IF(AND($U717=TRUE,$U720=FALSE),AI717,IF(AND($U717=FALSE,$U720=TRUE),AI720,IF(AND($U717=TRUE,$U720=TRUE),AI717+AI720,0)))</f>
        <v/>
      </c>
      <c r="AJ721" s="2516">
        <f>IF(AND($K717=TRUE,$K720=FALSE),AJ717,IF(AND($K717=FALSE,$K720=TRUE),AJ720,IF(AND($K717=TRUE,$K720=TRUE),AJ717+AJ720,MAX(AJ717,AJ720))))</f>
        <v/>
      </c>
      <c r="AK721" s="2516">
        <f>IF(AND($K717=TRUE,$K720=FALSE),AK717,IF(AND($K717=FALSE,$K720=TRUE),AK720,IF(AND($K717=TRUE,$K720=TRUE),AK717+AK720,MAX(AK717,AK720))))</f>
        <v/>
      </c>
      <c r="AL721" s="2516">
        <f>IF(AND($R717=TRUE,$R720=FALSE),AL717,IF(AND($R717=FALSE,$R720=TRUE),AL720,IF(AND($R717=TRUE,$R720=TRUE),AL717+AL720,MAX(AL717,AL720))))</f>
        <v/>
      </c>
      <c r="AM721" s="2516">
        <f>IF(AND($R717=TRUE,$R720=FALSE),AM717,IF(AND($R717=FALSE,$R720=TRUE),AM720,IF(AND($R717=TRUE,$R720=TRUE),AM717+AM720,MAX(AM717,AM720))))</f>
        <v/>
      </c>
      <c r="AN721" s="2516">
        <f>IF(AND($U717=TRUE,$U720=FALSE),AN717,IF(AND($U717=FALSE,$U720=TRUE),AN720,IF(AND($U717=TRUE,$U720=TRUE),AN717+AN720,MAX(AN717,AN720))))</f>
        <v/>
      </c>
      <c r="AO721" s="2516">
        <f>IF(AND($U717=TRUE,$U720=FALSE),AO717,IF(AND($U717=FALSE,$U720=TRUE),AO720,IF(AND($U717=TRUE,$U720=TRUE),AO717+AO720,MAX(AO717,AO720))))</f>
        <v/>
      </c>
      <c r="AV721" s="2469" t="n"/>
      <c r="AX721" s="2469" t="n"/>
      <c r="AY721" s="728" t="n"/>
      <c r="AZ721" s="728" t="n"/>
      <c r="BA721" s="87" t="n"/>
      <c r="BB721" s="438" t="n"/>
      <c r="BC721" s="89" t="n"/>
      <c r="BD721" s="442" t="n"/>
      <c r="BE721" s="442" t="n"/>
      <c r="BF721" s="89" t="n"/>
      <c r="BG721" s="443" t="n"/>
      <c r="BH721" s="443" t="n"/>
      <c r="BI721" s="439" t="n"/>
      <c r="BN721" s="2580" t="n"/>
      <c r="BP721" s="2469" t="n"/>
      <c r="BQ721" s="2469" t="n"/>
      <c r="BR721" s="2469" t="n"/>
      <c r="BS721" s="2469" t="n"/>
      <c r="BT721" s="2469" t="n"/>
      <c r="BU721" s="2469" t="n"/>
      <c r="BV721" s="2469" t="n"/>
      <c r="BW721" s="2469" t="n"/>
      <c r="BX721" s="2469" t="n"/>
      <c r="BY721" s="2469" t="n"/>
      <c r="BZ721" s="2469" t="n"/>
    </row>
    <row r="722" ht="34" customHeight="1" s="2456">
      <c r="A722">
        <f>IF(Test_Bible!B269="","F","O")</f>
        <v/>
      </c>
      <c r="B722" s="2133" t="inlineStr">
        <is>
          <t>Condition AP, CL et CSS à faire</t>
        </is>
      </c>
      <c r="C722" s="287">
        <f>'Cpts AR +indép + Sommaire'!O102</f>
        <v/>
      </c>
      <c r="D722" s="258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inlineStr"/>
      <c r="X722" s="814" t="n"/>
      <c r="Y722" s="813" t="n"/>
      <c r="Z722" s="814" t="n"/>
      <c r="AA722" s="813" t="n"/>
      <c r="AB722" s="814" t="n"/>
      <c r="AD722" s="10" t="n"/>
      <c r="AE722" s="10" t="n"/>
      <c r="AF722" s="10" t="n"/>
      <c r="AG722" s="2588">
        <f>IF($K722=TRUE,H722,0)</f>
        <v/>
      </c>
      <c r="AH722" s="2588">
        <f>IF($R722=TRUE,H722,0)</f>
        <v/>
      </c>
      <c r="AI722" s="2588"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69" t="n"/>
      <c r="AX722" s="2469" t="n"/>
      <c r="AY722" s="728" t="n"/>
      <c r="AZ722" s="728" t="n"/>
      <c r="BA722" s="87" t="n"/>
      <c r="BB722" s="438" t="n"/>
      <c r="BC722" s="89" t="n"/>
      <c r="BD722" s="442" t="n"/>
      <c r="BE722" s="442" t="n"/>
      <c r="BF722" s="89" t="n"/>
      <c r="BG722" s="443" t="n"/>
      <c r="BH722" s="443" t="n"/>
      <c r="BI722" s="439" t="n"/>
      <c r="BN722" s="2580" t="n"/>
      <c r="BP722" s="2469" t="n"/>
      <c r="BQ722" s="2469" t="n"/>
      <c r="BR722" s="2469" t="n"/>
      <c r="BS722" s="2469" t="n"/>
      <c r="BT722" s="2469" t="n"/>
      <c r="BU722" s="2469" t="n"/>
      <c r="BV722" s="2469" t="n"/>
      <c r="BW722" s="2469" t="n"/>
      <c r="BX722" s="2469" t="n"/>
      <c r="BY722" s="2469" t="n"/>
      <c r="BZ722" s="2469" t="n"/>
    </row>
    <row r="723" ht="51" customHeight="1" s="2456">
      <c r="A723">
        <f>IF(Test_Bible!B270="","F","O")</f>
        <v/>
      </c>
      <c r="B723" s="2133" t="inlineStr">
        <is>
          <t>Condition AP, CL et CSS à faire</t>
        </is>
      </c>
      <c r="C723" s="287">
        <f>'Cpts AR +indép + Sommaire'!O103</f>
        <v/>
      </c>
      <c r="D723" s="258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88">
        <f>IF($K723=TRUE,H723,0)</f>
        <v/>
      </c>
      <c r="AH723" s="2588">
        <f>IF($R723=TRUE,H723,0)</f>
        <v/>
      </c>
      <c r="AI723" s="2588"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69" t="n"/>
      <c r="AX723" s="2469" t="n"/>
      <c r="AY723" s="728" t="n"/>
      <c r="AZ723" s="728" t="n"/>
      <c r="BA723" s="87" t="n"/>
      <c r="BB723" s="438" t="n"/>
      <c r="BC723" s="89" t="n"/>
      <c r="BD723" s="442" t="n"/>
      <c r="BE723" s="442" t="n"/>
      <c r="BF723" s="89" t="n"/>
      <c r="BG723" s="443" t="n"/>
      <c r="BH723" s="443" t="n"/>
      <c r="BI723" s="439" t="n"/>
      <c r="BN723" s="2580" t="n"/>
      <c r="BP723" s="2469" t="n"/>
      <c r="BQ723" s="2469" t="n"/>
      <c r="BR723" s="2469" t="n"/>
      <c r="BS723" s="2469" t="n"/>
      <c r="BT723" s="2469" t="n"/>
      <c r="BU723" s="2469" t="n"/>
      <c r="BV723" s="2469" t="n"/>
      <c r="BW723" s="2469" t="n"/>
      <c r="BX723" s="2469" t="n"/>
      <c r="BY723" s="2469" t="n"/>
      <c r="BZ723" s="2469" t="n"/>
    </row>
    <row r="724" ht="35" customHeight="1" s="2456" thickBot="1">
      <c r="A724">
        <f>IF(Test_Bible!B271="","F","O")</f>
        <v/>
      </c>
      <c r="B724" s="2133" t="inlineStr">
        <is>
          <t>Condition AP, CL et CSS à faire</t>
        </is>
      </c>
      <c r="C724" s="287">
        <f>'Cpts AR +indép + Sommaire'!O104</f>
        <v/>
      </c>
      <c r="D724" s="258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88">
        <f>IF($K724=TRUE,H724,0)</f>
        <v/>
      </c>
      <c r="AH724" s="2588">
        <f>IF($R724=TRUE,H724,0)</f>
        <v/>
      </c>
      <c r="AI724" s="2588"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69" t="n"/>
      <c r="AX724" s="2469" t="n"/>
      <c r="AY724" s="728" t="n"/>
      <c r="AZ724" s="728" t="n"/>
      <c r="BA724" s="87" t="n"/>
      <c r="BB724" s="438" t="n"/>
      <c r="BC724" s="89" t="n"/>
      <c r="BD724" s="442" t="n"/>
      <c r="BE724" s="442" t="n"/>
      <c r="BF724" s="89" t="n"/>
      <c r="BG724" s="443" t="n"/>
      <c r="BH724" s="443" t="n"/>
      <c r="BI724" s="439" t="n"/>
      <c r="BN724" s="2580" t="n"/>
      <c r="BP724" s="2469" t="n"/>
      <c r="BQ724" s="2469" t="n"/>
      <c r="BR724" s="2469" t="n"/>
      <c r="BS724" s="2469" t="n"/>
      <c r="BT724" s="2469" t="n"/>
      <c r="BU724" s="2469" t="n"/>
      <c r="BV724" s="2469" t="n"/>
      <c r="BW724" s="2469" t="n"/>
      <c r="BX724" s="2469" t="n"/>
      <c r="BY724" s="2469" t="n"/>
      <c r="BZ724" s="2469" t="n"/>
    </row>
    <row r="725" ht="35" customHeight="1" s="2456"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56">
      <c r="B726" s="1686" t="n"/>
      <c r="D726" s="383" t="inlineStr">
        <is>
          <t>COMPARATIF Comportement PFA-Enf</t>
        </is>
      </c>
      <c r="E726" s="2576"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56">
      <c r="B727" s="1686" t="n"/>
      <c r="C727" t="inlineStr">
        <is>
          <t>PCR</t>
        </is>
      </c>
      <c r="I727" s="122" t="n"/>
      <c r="L727" s="2464" t="n"/>
      <c r="M727" s="2464" t="n"/>
      <c r="N727" s="2464" t="n"/>
      <c r="O727" s="1365" t="n"/>
      <c r="P727" s="122" t="n"/>
      <c r="R727" s="2567" t="n"/>
      <c r="S727" s="122" t="n"/>
      <c r="U727" s="2567" t="n"/>
      <c r="V727" s="145" t="n"/>
      <c r="W727" s="813" t="n"/>
      <c r="X727" s="814" t="n"/>
      <c r="Y727" s="813" t="n"/>
      <c r="Z727" s="814" t="n"/>
      <c r="AA727" s="813" t="n"/>
      <c r="AB727" s="814" t="n"/>
      <c r="AD727" s="10" t="n"/>
      <c r="AE727" s="10" t="n"/>
      <c r="AF727" s="10" t="n"/>
      <c r="AG727" s="2588" t="n"/>
      <c r="AH727" s="2588" t="n"/>
      <c r="AI727" s="2588" t="n"/>
      <c r="AJ727" s="1476" t="n"/>
      <c r="AK727" s="1476" t="n"/>
      <c r="AL727" s="1476" t="n"/>
      <c r="AM727" s="1476" t="n"/>
      <c r="AN727" s="1476" t="n"/>
      <c r="AO727" s="1476" t="n"/>
    </row>
    <row r="728" ht="16" customHeight="1" s="2456">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64" t="n"/>
      <c r="W728" s="813" t="n"/>
      <c r="X728" s="814" t="n"/>
      <c r="Y728" s="813" t="n"/>
      <c r="Z728" s="814" t="n"/>
      <c r="AA728" s="813" t="n"/>
      <c r="AB728" s="814" t="n"/>
      <c r="AD728" s="10" t="n"/>
      <c r="AE728" s="10" t="n"/>
      <c r="AF728" s="10" t="n"/>
      <c r="AG728" s="2588">
        <f>IF($K728=TRUE,H728,0)</f>
        <v/>
      </c>
      <c r="AH728" s="2588">
        <f>IF($R728=TRUE,H728,0)</f>
        <v/>
      </c>
      <c r="AI728" s="2588">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56"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64" t="n"/>
      <c r="W729" s="813" t="n"/>
      <c r="X729" s="814" t="n"/>
      <c r="Y729" s="813" t="n"/>
      <c r="Z729" s="814" t="n"/>
      <c r="AA729" s="813" t="n"/>
      <c r="AB729" s="814" t="n"/>
      <c r="AD729" s="10" t="n"/>
      <c r="AE729" s="10" t="n"/>
      <c r="AF729" s="10" t="n"/>
      <c r="AG729" s="2588">
        <f>IF($K729=TRUE,H729,0)</f>
        <v/>
      </c>
      <c r="AH729" s="2588">
        <f>IF($R729=TRUE,H729,0)</f>
        <v/>
      </c>
      <c r="AI729" s="2588">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56"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56">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56">
      <c r="B732" s="1686" t="n"/>
      <c r="W732" s="2020" t="n"/>
      <c r="X732" s="2020" t="n"/>
      <c r="Y732" s="2020" t="n"/>
      <c r="Z732" s="2020" t="n"/>
      <c r="AA732" s="2020" t="n"/>
      <c r="AB732" s="2020" t="n"/>
      <c r="AG732" s="2457" t="n"/>
      <c r="AH732" s="2457" t="n"/>
      <c r="AI732" s="2457" t="n"/>
    </row>
    <row r="733">
      <c r="B733" s="1685" t="n">
        <v>29</v>
      </c>
      <c r="D733" s="437">
        <f>'Cpts AR +indép + Sommaire'!B106</f>
        <v/>
      </c>
      <c r="E733" s="84" t="n"/>
      <c r="F733" s="50" t="n"/>
      <c r="G733" s="18" t="n"/>
      <c r="H733" s="18" t="n"/>
      <c r="I733" s="2572" t="inlineStr">
        <is>
          <t>AP</t>
        </is>
      </c>
      <c r="L733" s="2570" t="inlineStr">
        <is>
          <t>Dynamique d'AP</t>
        </is>
      </c>
      <c r="O733" s="2567" t="n"/>
      <c r="P733" s="2566" t="inlineStr">
        <is>
          <t>CL</t>
        </is>
      </c>
      <c r="R733" s="2567" t="n"/>
      <c r="S733" s="2571" t="inlineStr">
        <is>
          <t>CSS</t>
        </is>
      </c>
      <c r="U733" s="2567"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69" t="inlineStr">
        <is>
          <t>AP</t>
        </is>
      </c>
      <c r="AL733" s="2569" t="inlineStr">
        <is>
          <t>CL</t>
        </is>
      </c>
      <c r="AN733" s="2569" t="inlineStr">
        <is>
          <t>CSS</t>
        </is>
      </c>
      <c r="AY733" s="728" t="n"/>
      <c r="AZ733" s="728" t="n"/>
      <c r="BA733" s="87" t="n"/>
      <c r="BB733" s="438" t="n"/>
      <c r="BC733" s="89" t="n"/>
      <c r="BD733" s="442" t="n"/>
      <c r="BE733" s="442" t="n"/>
      <c r="BF733" s="89" t="n"/>
      <c r="BG733" s="443" t="n"/>
      <c r="BH733" s="443" t="n"/>
      <c r="BI733" s="439" t="n"/>
    </row>
    <row r="734" ht="34" customHeight="1" s="2456">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5"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56">
      <c r="B735" s="1686">
        <f>'Cpts AR +indép + Sommaire'!G314</f>
        <v/>
      </c>
      <c r="C735" s="376">
        <f>'Cpts AR +indép + Sommaire'!C314</f>
        <v/>
      </c>
      <c r="D735" s="258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88">
        <f>IF($K735=TRUE,H735,0)</f>
        <v/>
      </c>
      <c r="AH735" s="2588">
        <f>IF($R735=TRUE,H735,0)</f>
        <v/>
      </c>
      <c r="AI735" s="2588">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56">
      <c r="B736" s="1686">
        <f>'Cpts AR +indép + Sommaire'!G315</f>
        <v/>
      </c>
      <c r="C736" s="376">
        <f>'Cpts AR +indép + Sommaire'!C315</f>
        <v/>
      </c>
      <c r="D736" s="258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88">
        <f>IF($K736=TRUE,H736,0)</f>
        <v/>
      </c>
      <c r="AH736" s="2588">
        <f>IF($R736=TRUE,H736,0)</f>
        <v/>
      </c>
      <c r="AI736" s="2588">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56">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56">
      <c r="B738" s="1686" t="n"/>
      <c r="C738" s="38" t="inlineStr">
        <is>
          <t>NC</t>
        </is>
      </c>
      <c r="D738" s="258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88">
        <f>IF(K738=TRUE,H738,0)</f>
        <v/>
      </c>
      <c r="AH738" s="2588">
        <f>IF(R738=TRUE,H738,0)</f>
        <v/>
      </c>
      <c r="AI738" s="2588">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56">
      <c r="B739" s="1686" t="n"/>
      <c r="C739" s="38" t="inlineStr">
        <is>
          <t>NC</t>
        </is>
      </c>
      <c r="D739" s="258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88">
        <f>IF(K739=TRUE,H739,0)</f>
        <v/>
      </c>
      <c r="AH739" s="2588">
        <f>IF(R739=TRUE,H739,0)</f>
        <v/>
      </c>
      <c r="AI739" s="2588">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69" t="n"/>
      <c r="AX739" s="2469" t="n"/>
      <c r="AY739" s="728" t="n"/>
      <c r="AZ739" s="728" t="n"/>
      <c r="BA739" s="87" t="n"/>
      <c r="BB739" s="438" t="n"/>
      <c r="BC739" s="89" t="n"/>
      <c r="BD739" s="442" t="n"/>
      <c r="BE739" s="442" t="n"/>
      <c r="BF739" s="89" t="n"/>
      <c r="BG739" s="443" t="n"/>
      <c r="BH739" s="443" t="n"/>
      <c r="BI739" s="439" t="n"/>
      <c r="BN739" s="2580" t="n"/>
      <c r="BP739" s="2469" t="n"/>
      <c r="BQ739" s="2469" t="n"/>
      <c r="BR739" s="2469" t="n"/>
      <c r="BS739" s="2469" t="n"/>
      <c r="BT739" s="2469" t="n"/>
      <c r="BU739" s="2469" t="n"/>
      <c r="BV739" s="2469" t="n"/>
      <c r="BW739" s="2469" t="n"/>
      <c r="BX739" s="2469" t="n"/>
      <c r="BY739" s="2469" t="n"/>
      <c r="BZ739" s="2469" t="n"/>
    </row>
    <row r="740" ht="20" customHeight="1" s="2456"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69" t="n"/>
      <c r="AX740" s="2469" t="n"/>
      <c r="AY740" s="728" t="n"/>
      <c r="AZ740" s="728" t="n"/>
      <c r="BA740" s="87" t="n"/>
      <c r="BB740" s="438" t="n"/>
      <c r="BC740" s="89" t="n"/>
      <c r="BD740" s="442" t="n"/>
      <c r="BE740" s="442" t="n"/>
      <c r="BF740" s="89" t="n"/>
      <c r="BG740" s="443" t="n"/>
      <c r="BH740" s="443" t="n"/>
      <c r="BI740" s="439" t="n"/>
      <c r="BN740" s="2580" t="n"/>
      <c r="BP740" s="2469" t="n"/>
      <c r="BQ740" s="2469" t="n"/>
      <c r="BR740" s="2469" t="n"/>
      <c r="BS740" s="2469" t="n"/>
      <c r="BT740" s="2469" t="n"/>
      <c r="BU740" s="2469" t="n"/>
      <c r="BV740" s="2469" t="n"/>
      <c r="BW740" s="2469" t="n"/>
      <c r="BX740" s="2469" t="n"/>
      <c r="BY740" s="2469" t="n"/>
      <c r="BZ740" s="2469" t="n"/>
    </row>
    <row r="741" ht="35" customHeight="1" s="2456"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16">
        <f>IF(AND($K737=TRUE,$K740=FALSE),AG737,IF(AND($K737=FALSE,$K740=TRUE),AG740,IF(AND($K737=TRUE,$K740=TRUE),AG737+AG740,0)))</f>
        <v/>
      </c>
      <c r="AH741" s="2516">
        <f>IF(AND($R737=TRUE,$R740=FALSE),AH737,IF(AND($R737=FALSE,$R740=TRUE),AH740,IF(AND($R737=TRUE,$R740=TRUE),AH737+AH740,0)))</f>
        <v/>
      </c>
      <c r="AI741" s="2516">
        <f>IF(AND($U737=TRUE,$U740=FALSE),AI737,IF(AND($U737=FALSE,$U740=TRUE),AI740,IF(AND($U737=TRUE,$U740=TRUE),AI737+AI740,0)))</f>
        <v/>
      </c>
      <c r="AJ741" s="2516">
        <f>IF(AND($K737=TRUE,$K740=FALSE),AJ737,IF(AND($K737=FALSE,$K740=TRUE),AJ740,IF(AND($K737=TRUE,$K740=TRUE),AJ737+AJ740,MAX(AJ737,AJ740))))</f>
        <v/>
      </c>
      <c r="AK741" s="2516">
        <f>IF(AND($K737=TRUE,$K740=FALSE),AK737,IF(AND($K737=FALSE,$K740=TRUE),AK740,IF(AND($K737=TRUE,$K740=TRUE),AK737+AK740,MAX(AK737,AK740))))</f>
        <v/>
      </c>
      <c r="AL741" s="2516">
        <f>IF(AND($R737=TRUE,$R740=FALSE),AL737,IF(AND($R737=FALSE,$R740=TRUE),AL740,IF(AND($R737=TRUE,$R740=TRUE),AL737+AL740,MAX(AL737,AL740))))</f>
        <v/>
      </c>
      <c r="AM741" s="2516">
        <f>IF(AND($R737=TRUE,$R740=FALSE),AM737,IF(AND($R737=FALSE,$R740=TRUE),AM740,IF(AND($R737=TRUE,$R740=TRUE),AM737+AM740,MAX(AM737,AM740))))</f>
        <v/>
      </c>
      <c r="AN741" s="2516">
        <f>IF(AND($U737=TRUE,$U740=FALSE),AN737,IF(AND($U737=FALSE,$U740=TRUE),AN740,IF(AND($U737=TRUE,$U740=TRUE),AN737+AN740,MAX(AN737,AN740))))</f>
        <v/>
      </c>
      <c r="AO741" s="2516">
        <f>IF(AND($U737=TRUE,$U740=FALSE),AO737,IF(AND($U737=FALSE,$U740=TRUE),AO740,IF(AND($U737=TRUE,$U740=TRUE),AO737+AO740,MAX(AO737,AO740))))</f>
        <v/>
      </c>
      <c r="AV741" s="2469" t="n"/>
      <c r="AX741" s="2469" t="n"/>
      <c r="AY741" s="728" t="n"/>
      <c r="AZ741" s="728" t="n"/>
      <c r="BA741" s="87" t="n"/>
      <c r="BB741" s="438" t="n"/>
      <c r="BC741" s="89" t="n"/>
      <c r="BD741" s="442" t="n"/>
      <c r="BE741" s="442" t="n"/>
      <c r="BF741" s="89" t="n"/>
      <c r="BG741" s="443" t="n"/>
      <c r="BH741" s="443" t="n"/>
      <c r="BI741" s="439" t="n"/>
      <c r="BN741" s="2580" t="n"/>
      <c r="BP741" s="2469" t="n"/>
      <c r="BQ741" s="2469" t="n"/>
      <c r="BR741" s="2469" t="n"/>
      <c r="BS741" s="2469" t="n"/>
      <c r="BT741" s="2469" t="n"/>
      <c r="BU741" s="2469" t="n"/>
      <c r="BV741" s="2469" t="n"/>
      <c r="BW741" s="2469" t="n"/>
      <c r="BX741" s="2469" t="n"/>
      <c r="BY741" s="2469" t="n"/>
      <c r="BZ741" s="2469" t="n"/>
    </row>
    <row r="742" ht="34" customHeight="1" s="2456">
      <c r="A742">
        <f>IF(Test_Bible!B272="","F","O")</f>
        <v/>
      </c>
      <c r="B742" s="2133" t="inlineStr">
        <is>
          <t>Condition AP, CL et CSS à faire</t>
        </is>
      </c>
      <c r="C742" s="287">
        <f>'Cpts AR +indép + Sommaire'!O106</f>
        <v/>
      </c>
      <c r="D742" s="258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inlineStr"/>
      <c r="X742" s="814" t="n"/>
      <c r="Y742" s="813" t="n"/>
      <c r="Z742" s="814" t="n"/>
      <c r="AA742" s="813" t="n"/>
      <c r="AB742" s="814" t="n"/>
      <c r="AD742" s="10" t="n"/>
      <c r="AE742" s="10" t="n"/>
      <c r="AF742" s="10" t="n"/>
      <c r="AG742" s="2588">
        <f>IF($K742=TRUE,H742,0)</f>
        <v/>
      </c>
      <c r="AH742" s="2588">
        <f>IF($R742=TRUE,H742,0)</f>
        <v/>
      </c>
      <c r="AI742" s="2588"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69" t="n"/>
      <c r="AX742" s="2469" t="n"/>
      <c r="AY742" s="728" t="n"/>
      <c r="AZ742" s="728" t="n"/>
      <c r="BA742" s="87" t="n"/>
      <c r="BB742" s="438" t="n"/>
      <c r="BC742" s="89" t="n"/>
      <c r="BD742" s="442" t="n"/>
      <c r="BE742" s="442" t="n"/>
      <c r="BF742" s="89" t="n"/>
      <c r="BG742" s="443" t="n"/>
      <c r="BH742" s="443" t="n"/>
      <c r="BI742" s="439" t="n"/>
      <c r="BN742" s="2580" t="n"/>
      <c r="BP742" s="2469" t="n"/>
      <c r="BQ742" s="2469" t="n"/>
      <c r="BR742" s="2469" t="n"/>
      <c r="BS742" s="2469" t="n"/>
      <c r="BT742" s="2469" t="n"/>
      <c r="BU742" s="2469" t="n"/>
      <c r="BV742" s="2469" t="n"/>
      <c r="BW742" s="2469" t="n"/>
      <c r="BX742" s="2469" t="n"/>
      <c r="BY742" s="2469" t="n"/>
      <c r="BZ742" s="2469" t="n"/>
    </row>
    <row r="743" ht="20" customHeight="1" s="2456" thickBot="1">
      <c r="B743" s="1686" t="n"/>
      <c r="C743" s="287" t="inlineStr">
        <is>
          <t>Enf</t>
        </is>
      </c>
      <c r="D743" s="258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88">
        <f>IF($K743=TRUE,H743,0)</f>
        <v/>
      </c>
      <c r="AH743" s="2588">
        <f>IF($R743=TRUE,H743,0)</f>
        <v/>
      </c>
      <c r="AI743" s="2588"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69" t="n"/>
      <c r="AX743" s="2469" t="n"/>
      <c r="AY743" s="728" t="n"/>
      <c r="AZ743" s="728" t="n"/>
      <c r="BA743" s="87" t="n"/>
      <c r="BB743" s="438" t="n"/>
      <c r="BC743" s="89" t="n"/>
      <c r="BD743" s="442" t="n"/>
      <c r="BE743" s="442" t="n"/>
      <c r="BF743" s="89" t="n"/>
      <c r="BG743" s="443" t="n"/>
      <c r="BH743" s="443" t="n"/>
      <c r="BI743" s="439" t="n"/>
      <c r="BN743" s="2580" t="n"/>
      <c r="BP743" s="2469" t="n"/>
      <c r="BQ743" s="2469" t="n"/>
      <c r="BR743" s="2469" t="n"/>
      <c r="BS743" s="2469" t="n"/>
      <c r="BT743" s="2469" t="n"/>
      <c r="BU743" s="2469" t="n"/>
      <c r="BV743" s="2469" t="n"/>
      <c r="BW743" s="2469" t="n"/>
      <c r="BX743" s="2469" t="n"/>
      <c r="BY743" s="2469" t="n"/>
      <c r="BZ743" s="2469" t="n"/>
    </row>
    <row r="744" ht="35" customHeight="1" s="2456"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56">
      <c r="B745" s="1686" t="n"/>
      <c r="D745" s="383" t="inlineStr">
        <is>
          <t>COMPARATIF Comportement PFA-Enf</t>
        </is>
      </c>
      <c r="E745" s="2576"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56">
      <c r="B746" s="1686" t="n"/>
      <c r="C746" t="inlineStr">
        <is>
          <t>PCR</t>
        </is>
      </c>
      <c r="I746" s="122" t="n"/>
      <c r="L746" s="2464" t="n"/>
      <c r="M746" s="2464" t="n"/>
      <c r="N746" s="2464" t="n"/>
      <c r="O746" s="1365" t="n"/>
      <c r="P746" s="122" t="n"/>
      <c r="R746" s="2567" t="n"/>
      <c r="S746" s="122" t="n"/>
      <c r="U746" s="2567" t="n"/>
      <c r="V746" s="2464" t="n"/>
      <c r="W746" s="813" t="n"/>
      <c r="X746" s="814" t="n"/>
      <c r="Y746" s="813" t="n"/>
      <c r="Z746" s="814" t="n"/>
      <c r="AA746" s="813" t="n"/>
      <c r="AB746" s="814" t="n"/>
      <c r="AD746" s="10" t="n"/>
      <c r="AE746" s="10" t="n"/>
      <c r="AF746" s="10" t="n"/>
      <c r="AG746" s="2588" t="n"/>
      <c r="AH746" s="2588" t="n"/>
      <c r="AI746" s="2588" t="n"/>
      <c r="AJ746" s="1476" t="n"/>
      <c r="AK746" s="1476" t="n"/>
      <c r="AL746" s="1476" t="n"/>
      <c r="AM746" s="1476" t="n"/>
      <c r="AN746" s="1476" t="n"/>
      <c r="AO746" s="1476" t="n"/>
    </row>
    <row r="747" ht="19" customHeight="1" s="2456">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64" t="n"/>
      <c r="W747" s="813" t="n"/>
      <c r="X747" s="814" t="n"/>
      <c r="Y747" s="813" t="n"/>
      <c r="Z747" s="814" t="n"/>
      <c r="AA747" s="813" t="n"/>
      <c r="AB747" s="814" t="n"/>
      <c r="AD747" s="10" t="n"/>
      <c r="AE747" s="10" t="n"/>
      <c r="AF747" s="10" t="n"/>
      <c r="AG747" s="2588">
        <f>IF($K747=TRUE,H747,0)</f>
        <v/>
      </c>
      <c r="AH747" s="2588">
        <f>IF($R747=TRUE,H747,0)</f>
        <v/>
      </c>
      <c r="AI747" s="2588">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56"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88">
        <f>IF($K748=TRUE,H748,0)</f>
        <v/>
      </c>
      <c r="AH748" s="2588">
        <f>IF($R748=TRUE,H748,0)</f>
        <v/>
      </c>
      <c r="AI748" s="2588">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56" thickBot="1">
      <c r="D749" s="2520" t="n"/>
      <c r="E749" s="2520"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56">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56">
      <c r="B751" s="1686" t="n"/>
      <c r="W751" s="2020" t="n"/>
      <c r="X751" s="2020" t="n"/>
      <c r="Y751" s="2020" t="n"/>
      <c r="Z751" s="2020" t="n"/>
      <c r="AA751" s="2020" t="n"/>
      <c r="AB751" s="2020" t="n"/>
      <c r="AG751" s="2457" t="n"/>
      <c r="AH751" s="2457" t="n"/>
      <c r="AI751" s="2457" t="n"/>
    </row>
    <row r="752">
      <c r="B752" s="1685" t="n">
        <v>30</v>
      </c>
      <c r="D752" s="437">
        <f>'Cpts AR +indép + Sommaire'!B108</f>
        <v/>
      </c>
      <c r="E752" s="84" t="n"/>
      <c r="F752" s="50" t="n"/>
      <c r="G752" s="18" t="n"/>
      <c r="H752" s="18" t="n"/>
      <c r="I752" s="2572" t="inlineStr">
        <is>
          <t>AP</t>
        </is>
      </c>
      <c r="L752" s="2570" t="inlineStr">
        <is>
          <t>Dynamique d'AP</t>
        </is>
      </c>
      <c r="O752" s="2567" t="n"/>
      <c r="P752" s="2566" t="inlineStr">
        <is>
          <t>CL</t>
        </is>
      </c>
      <c r="R752" s="2567" t="n"/>
      <c r="S752" s="2571" t="inlineStr">
        <is>
          <t>CSS</t>
        </is>
      </c>
      <c r="U752" s="2567"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69" t="inlineStr">
        <is>
          <t>AP</t>
        </is>
      </c>
      <c r="AL752" s="2569" t="inlineStr">
        <is>
          <t>CL</t>
        </is>
      </c>
      <c r="AN752" s="2569" t="inlineStr">
        <is>
          <t>CSS</t>
        </is>
      </c>
    </row>
    <row r="753" ht="34" customHeight="1" s="2456">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5"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56">
      <c r="B754" s="1686" t="n"/>
      <c r="C754" s="376">
        <f>'Cpts AR +indép + Sommaire'!C332</f>
        <v/>
      </c>
      <c r="D754" s="258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88">
        <f>IF($K754=TRUE,H754,0)</f>
        <v/>
      </c>
      <c r="AH754" s="2588">
        <f>IF($R754=TRUE,H754,0)</f>
        <v/>
      </c>
      <c r="AI754" s="2588">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56">
      <c r="B755" s="1686" t="n"/>
      <c r="C755" s="376">
        <f>'Cpts AR +indép + Sommaire'!C333</f>
        <v/>
      </c>
      <c r="D755" s="258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88">
        <f>IF($K755=TRUE,H755,0)</f>
        <v/>
      </c>
      <c r="AH755" s="2588">
        <f>IF($R755=TRUE,H755,0)</f>
        <v/>
      </c>
      <c r="AI755" s="2588">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56">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56">
      <c r="B757" s="1686" t="n"/>
      <c r="C757" s="38" t="inlineStr">
        <is>
          <t>NC</t>
        </is>
      </c>
      <c r="D757" s="258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88">
        <f>IF(K757=TRUE,H757,0)</f>
        <v/>
      </c>
      <c r="AH757" s="2588">
        <f>IF(R757=TRUE,H757,0)</f>
        <v/>
      </c>
      <c r="AI757" s="2588">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56">
      <c r="B758" s="1686" t="n"/>
      <c r="C758" s="38" t="inlineStr">
        <is>
          <t>NC</t>
        </is>
      </c>
      <c r="D758" s="258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88">
        <f>IF(K758=TRUE,H758,0)</f>
        <v/>
      </c>
      <c r="AH758" s="2588">
        <f>IF(R758=TRUE,H758,0)</f>
        <v/>
      </c>
      <c r="AI758" s="2588">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56"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56"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16">
        <f>IF(AND($K756=TRUE,$K759=FALSE),AG756,IF(AND($K756=FALSE,$K759=TRUE),AG759,IF(AND($K756=TRUE,$K759=TRUE),AG756+AG759,0)))</f>
        <v/>
      </c>
      <c r="AH760" s="2516">
        <f>IF(AND($R756=TRUE,$R759=FALSE),AH756,IF(AND($R756=FALSE,$R759=TRUE),AH759,IF(AND($R756=TRUE,$R759=TRUE),AH756+AH759,0)))</f>
        <v/>
      </c>
      <c r="AI760" s="2516">
        <f>IF(AND($U756=TRUE,$U759=FALSE),AI756,IF(AND($U756=FALSE,$U759=TRUE),AI759,IF(AND($U756=TRUE,$U759=TRUE),AI756+AI759,0)))</f>
        <v/>
      </c>
      <c r="AJ760" s="2516">
        <f>IF(AND($K756=TRUE,$K759=FALSE),AJ756,IF(AND($K756=FALSE,$K759=TRUE),AJ759,IF(AND($K756=TRUE,$K759=TRUE),AJ756+AJ759,MAX(AJ756,AJ759))))</f>
        <v/>
      </c>
      <c r="AK760" s="2516">
        <f>IF(AND($K756=TRUE,$K759=FALSE),AK756,IF(AND($K756=FALSE,$K759=TRUE),AK759,IF(AND($K756=TRUE,$K759=TRUE),AK756+AK759,MAX(AK756,AK759))))</f>
        <v/>
      </c>
      <c r="AL760" s="2516">
        <f>IF(AND($R756=TRUE,$R759=FALSE),AL756,IF(AND($R756=FALSE,$R759=TRUE),AL759,IF(AND($R756=TRUE,$R759=TRUE),AL756+AL759,MAX(AL756,AL759))))</f>
        <v/>
      </c>
      <c r="AM760" s="2516">
        <f>IF(AND($R756=TRUE,$R759=FALSE),AM756,IF(AND($R756=FALSE,$R759=TRUE),AM759,IF(AND($R756=TRUE,$R759=TRUE),AM756+AM759,MAX(AM756,AM759))))</f>
        <v/>
      </c>
      <c r="AN760" s="2516">
        <f>IF(AND($U756=TRUE,$U759=FALSE),AN756,IF(AND($U756=FALSE,$U759=TRUE),AN759,IF(AND($U756=TRUE,$U759=TRUE),AN756+AN759,MAX(AN756,AN759))))</f>
        <v/>
      </c>
      <c r="AO760" s="2516">
        <f>IF(AND($U756=TRUE,$U759=FALSE),AO756,IF(AND($U756=FALSE,$U759=TRUE),AO759,IF(AND($U756=TRUE,$U759=TRUE),AO756+AO759,MAX(AO756,AO759))))</f>
        <v/>
      </c>
    </row>
    <row r="761" ht="34" customHeight="1" s="2456">
      <c r="A761">
        <f>IF(Test_Bible!B322="","F","O")</f>
        <v/>
      </c>
      <c r="B761" s="2133" t="inlineStr">
        <is>
          <t>Condition AP, CL et CSS à faire</t>
        </is>
      </c>
      <c r="C761" s="287">
        <f>'Cpts AR +indép + Sommaire'!O108</f>
        <v/>
      </c>
      <c r="D761" s="258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inlineStr"/>
      <c r="X761" s="814" t="n"/>
      <c r="Y761" s="813" t="n"/>
      <c r="Z761" s="814" t="n"/>
      <c r="AA761" s="813" t="n"/>
      <c r="AB761" s="814" t="n"/>
      <c r="AD761" s="10" t="n"/>
      <c r="AE761" s="10" t="n"/>
      <c r="AF761" s="10" t="n"/>
      <c r="AG761" s="2588">
        <f>IF($K761=TRUE,H761,0)</f>
        <v/>
      </c>
      <c r="AH761" s="2588">
        <f>IF($R761=TRUE,H761,0)</f>
        <v/>
      </c>
      <c r="AI761" s="2588"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56" thickBot="1">
      <c r="A762">
        <f>IF(Test_Bible!B323="","F","O")</f>
        <v/>
      </c>
      <c r="B762" s="2133" t="inlineStr">
        <is>
          <t>Condition AP, CL et CSS à faire</t>
        </is>
      </c>
      <c r="C762" s="287">
        <f>'Cpts AR +indép + Sommaire'!O109</f>
        <v/>
      </c>
      <c r="D762" s="258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88">
        <f>IF($K762=TRUE,H762,0)</f>
        <v/>
      </c>
      <c r="AH762" s="2588">
        <f>IF($R762=TRUE,H762,0)</f>
        <v/>
      </c>
      <c r="AI762" s="2588"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56"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56">
      <c r="B764" s="1686" t="n"/>
      <c r="D764" s="383" t="inlineStr">
        <is>
          <t>COMPARATIF Comportement PFA-Enf</t>
        </is>
      </c>
      <c r="E764" s="2576"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56">
      <c r="B765" s="1686" t="n"/>
      <c r="C765" t="inlineStr">
        <is>
          <t>PCR</t>
        </is>
      </c>
      <c r="I765" s="122" t="n"/>
      <c r="L765" s="2464" t="n"/>
      <c r="M765" s="2464" t="n"/>
      <c r="N765" s="2464" t="n"/>
      <c r="O765" s="1365" t="n"/>
      <c r="P765" s="122" t="n"/>
      <c r="R765" s="2567" t="n"/>
      <c r="S765" s="122" t="n"/>
      <c r="U765" s="2567" t="n"/>
      <c r="V765" s="2464" t="n"/>
      <c r="W765" s="813" t="n"/>
      <c r="X765" s="814" t="n"/>
      <c r="Y765" s="813" t="n"/>
      <c r="Z765" s="814" t="n"/>
      <c r="AA765" s="813" t="n"/>
      <c r="AB765" s="814" t="n"/>
      <c r="AD765" s="10" t="n"/>
      <c r="AE765" s="10" t="n"/>
      <c r="AF765" s="10" t="n"/>
      <c r="AG765" s="2588" t="n"/>
      <c r="AH765" s="2588" t="n"/>
      <c r="AI765" s="2588" t="n"/>
      <c r="AJ765" s="1476" t="n"/>
      <c r="AK765" s="1476" t="n"/>
      <c r="AL765" s="1476" t="n"/>
      <c r="AM765" s="1476" t="n"/>
      <c r="AN765" s="1476" t="n"/>
      <c r="AO765" s="1476" t="n"/>
    </row>
    <row r="766" ht="19" customHeight="1" s="2456">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64" t="n"/>
      <c r="W766" s="813" t="n"/>
      <c r="X766" s="814" t="n"/>
      <c r="Y766" s="813" t="n"/>
      <c r="Z766" s="814" t="n"/>
      <c r="AA766" s="813" t="n"/>
      <c r="AB766" s="814" t="n"/>
      <c r="AD766" s="10" t="n"/>
      <c r="AE766" s="10" t="n"/>
      <c r="AF766" s="10" t="n"/>
      <c r="AG766" s="2588">
        <f>IF($K766=TRUE,H766,0)</f>
        <v/>
      </c>
      <c r="AH766" s="2588">
        <f>IF($R766=TRUE,H766,0)</f>
        <v/>
      </c>
      <c r="AI766" s="2588">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56"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88">
        <f>IF($K767=TRUE,H767,0)</f>
        <v/>
      </c>
      <c r="AH767" s="2588">
        <f>IF($R767=TRUE,H767,0)</f>
        <v/>
      </c>
      <c r="AI767" s="2588">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56" thickBot="1">
      <c r="D768" s="2520" t="n"/>
      <c r="E768" s="2520"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56">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56">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56">
      <c r="B771" s="1686" t="n"/>
      <c r="W771" s="1373" t="n"/>
    </row>
    <row r="772" ht="16" customHeight="1" s="2456">
      <c r="A772" s="751" t="n"/>
      <c r="B772" s="1686" t="n"/>
      <c r="C772" s="751" t="n"/>
      <c r="D772" s="751" t="n"/>
      <c r="E772" s="751" t="n"/>
      <c r="F772" s="751" t="n"/>
      <c r="G772" s="751" t="n"/>
      <c r="H772" s="751" t="n"/>
      <c r="I772" s="751" t="n"/>
      <c r="J772" s="751" t="n"/>
      <c r="K772" s="751" t="n"/>
    </row>
    <row r="773" ht="16" customHeight="1" s="2456">
      <c r="A773" s="751" t="n"/>
      <c r="B773" s="1686" t="n"/>
      <c r="C773" s="751" t="n"/>
      <c r="D773" s="751" t="n"/>
      <c r="E773" s="751" t="n"/>
      <c r="F773" s="751" t="n"/>
      <c r="G773" s="751" t="n"/>
      <c r="H773" s="751" t="n"/>
      <c r="I773" s="751" t="n"/>
      <c r="J773" s="751" t="n"/>
      <c r="K773" s="751" t="n"/>
    </row>
    <row r="774" ht="16" customHeight="1" s="2456">
      <c r="A774" s="751" t="n"/>
      <c r="B774" s="1686" t="n"/>
      <c r="C774" s="751" t="n"/>
      <c r="D774" s="751" t="n"/>
      <c r="E774" s="751" t="n"/>
      <c r="F774" s="751" t="n"/>
      <c r="G774" s="751" t="n"/>
      <c r="H774" s="751" t="n"/>
      <c r="I774" s="751" t="n"/>
      <c r="J774" s="751" t="n"/>
      <c r="K774" s="751" t="n"/>
    </row>
    <row r="775" ht="16" customHeight="1" s="2456">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62" t="n"/>
      <c r="G1" s="9" t="inlineStr">
        <is>
          <t>Ce n'est pas un baromètre en soi, mais intégré "pour le moment" dans le sommaire!!!</t>
        </is>
      </c>
    </row>
    <row r="2" ht="31" customHeight="1" s="2456">
      <c r="B2" s="407" t="inlineStr">
        <is>
          <t>Présentation du baromètre (À propos)</t>
        </is>
      </c>
      <c r="D2" s="2162" t="n"/>
    </row>
    <row r="3" ht="31" customHeight="1" s="2456"/>
    <row r="4" ht="30" customHeight="1" s="2456">
      <c r="C4" s="413" t="inlineStr">
        <is>
          <t>Évaluation de comportements de violence conjugale du PFA</t>
        </is>
      </c>
      <c r="D4" s="413" t="n"/>
      <c r="E4" s="413" t="n"/>
    </row>
    <row r="5" ht="30" customHeight="1" s="2456">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56">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56">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56">
      <c r="C8" s="2127" t="n"/>
      <c r="D8" s="2127" t="n"/>
      <c r="E8" s="2127" t="n"/>
      <c r="F8" s="80" t="n"/>
      <c r="G8" s="80" t="n"/>
      <c r="H8" s="80" t="n"/>
      <c r="I8" s="80" t="n"/>
      <c r="J8" s="80" t="n"/>
      <c r="K8" s="2469" t="n"/>
      <c r="L8" s="521" t="n"/>
      <c r="M8" s="80" t="n"/>
      <c r="N8" s="80" t="n"/>
      <c r="O8" s="80" t="n"/>
      <c r="P8" s="80" t="n"/>
    </row>
    <row r="9" ht="25" customHeight="1" s="2456">
      <c r="C9" s="2127" t="n"/>
      <c r="D9" s="2127" t="n"/>
      <c r="E9" s="2127" t="n"/>
      <c r="F9" s="80" t="n"/>
      <c r="G9" s="80" t="n"/>
      <c r="H9" s="80" t="n"/>
      <c r="I9" s="80" t="n"/>
      <c r="J9" s="80" t="n"/>
      <c r="K9" s="2469" t="n"/>
      <c r="L9" s="521" t="n"/>
      <c r="M9" s="80" t="n"/>
      <c r="N9" s="80" t="n"/>
      <c r="O9" s="80" t="n"/>
      <c r="P9" s="80" t="n"/>
    </row>
    <row r="10" ht="25" customHeight="1" s="2456" thickBot="1">
      <c r="C10" s="2127" t="n"/>
      <c r="D10" s="2127" t="n"/>
      <c r="E10" s="2127" t="n"/>
      <c r="F10" s="80" t="n"/>
      <c r="G10" s="2584" t="inlineStr">
        <is>
          <t>Indice de VC</t>
        </is>
      </c>
      <c r="I10" s="80" t="n"/>
      <c r="J10" s="80" t="n"/>
      <c r="K10" s="2469" t="n"/>
      <c r="L10" s="521" t="n"/>
      <c r="M10" s="80" t="n"/>
      <c r="N10" s="80" t="n"/>
      <c r="O10" s="80" t="n"/>
      <c r="P10" s="80" t="inlineStr">
        <is>
          <t>Échelle de triage</t>
        </is>
      </c>
    </row>
    <row r="11" ht="25" customHeight="1" s="2456">
      <c r="C11" s="2127" t="n"/>
      <c r="D11" s="2127" t="n"/>
      <c r="E11" s="2127" t="n"/>
      <c r="F11" s="80" t="n"/>
      <c r="G11" s="1253" t="inlineStr">
        <is>
          <t>Non significatif</t>
        </is>
      </c>
      <c r="H11" s="1253" t="inlineStr">
        <is>
          <t>À considérer</t>
        </is>
      </c>
      <c r="I11" s="80" t="n"/>
      <c r="J11" s="2583" t="inlineStr">
        <is>
          <t>Bloc Constats</t>
        </is>
      </c>
      <c r="L11" s="521" t="n"/>
      <c r="M11" s="80" t="n"/>
      <c r="N11" s="80" t="n"/>
      <c r="O11" s="80" t="n"/>
      <c r="P11" s="2549" t="inlineStr">
        <is>
          <t>Non-significatif</t>
        </is>
      </c>
      <c r="Q11" s="2541" t="n"/>
      <c r="R11" s="2551" t="inlineStr">
        <is>
          <t>À considérer</t>
        </is>
      </c>
      <c r="S11" s="2552" t="n"/>
    </row>
    <row r="12" ht="52" customHeight="1" s="2456">
      <c r="D12" t="inlineStr">
        <is>
          <t>Constat</t>
        </is>
      </c>
      <c r="E12" s="1800" t="inlineStr">
        <is>
          <t>Intensité</t>
        </is>
      </c>
      <c r="F12" s="1909" t="inlineStr">
        <is>
          <t>Fréquence</t>
        </is>
      </c>
      <c r="G12" s="88" t="n"/>
      <c r="H12" s="88" t="n"/>
      <c r="I12" s="3" t="inlineStr">
        <is>
          <t>Résultat d'analyse</t>
        </is>
      </c>
      <c r="J12" s="2517" t="inlineStr">
        <is>
          <t>Veut-on dire quelque chose ici ou tout simplement référer</t>
        </is>
      </c>
      <c r="K12" s="291" t="inlineStr">
        <is>
          <t>Commentaires pour discussion…</t>
        </is>
      </c>
      <c r="L12" t="inlineStr"/>
      <c r="P12" s="1908" t="inlineStr">
        <is>
          <t>Min</t>
        </is>
      </c>
      <c r="Q12" s="1810" t="inlineStr">
        <is>
          <t>Max</t>
        </is>
      </c>
      <c r="R12" s="2457" t="inlineStr">
        <is>
          <t>Min</t>
        </is>
      </c>
      <c r="S12" s="1905" t="inlineStr">
        <is>
          <t>Max</t>
        </is>
      </c>
    </row>
    <row r="13" ht="38" customHeight="1" s="2456">
      <c r="A13" s="809" t="n"/>
      <c r="B13" s="2469">
        <f>Test_Bible!A105</f>
        <v/>
      </c>
      <c r="C13" s="2580">
        <f>BIBLE!F46</f>
        <v/>
      </c>
      <c r="D13" s="2538"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65" t="n">
        <v>2</v>
      </c>
      <c r="S13" s="2066" t="n">
        <v>10</v>
      </c>
    </row>
    <row r="14" ht="36" customHeight="1" s="2456">
      <c r="A14" s="809" t="n"/>
      <c r="B14" s="2469">
        <f>Test_Bible!A107</f>
        <v/>
      </c>
      <c r="C14" s="2580">
        <f>BIBLE!F48</f>
        <v/>
      </c>
      <c r="D14" s="2496" t="n"/>
      <c r="E14" s="14">
        <f>Test_Bible!D107</f>
        <v/>
      </c>
      <c r="F14" s="1816">
        <f>Test_Bible!P107</f>
        <v/>
      </c>
      <c r="G14" s="1859" t="inlineStr">
        <is>
          <t>0-1</t>
        </is>
      </c>
      <c r="H14" s="1859" t="inlineStr">
        <is>
          <t>2 à 10</t>
        </is>
      </c>
      <c r="I14" s="6" t="n"/>
      <c r="J14" s="1485" t="n"/>
      <c r="P14" s="2051" t="n">
        <v>0</v>
      </c>
      <c r="Q14" s="2052" t="n">
        <v>1</v>
      </c>
      <c r="R14" s="2465" t="n">
        <v>2</v>
      </c>
      <c r="S14" s="2066" t="n">
        <v>10</v>
      </c>
    </row>
    <row r="15" ht="30" customHeight="1" s="2456">
      <c r="B15" s="2469" t="n"/>
      <c r="C15" s="2580" t="n"/>
      <c r="D15" s="2064" t="n"/>
      <c r="E15" s="2036" t="n"/>
      <c r="F15" s="2036" t="n"/>
      <c r="G15" s="2128" t="n"/>
      <c r="H15" s="2128" t="n"/>
      <c r="I15" s="2128">
        <f>SUM(F13:F14)</f>
        <v/>
      </c>
      <c r="J15" s="2128" t="n"/>
      <c r="P15" s="2131">
        <f>SUM(P13:P14)</f>
        <v/>
      </c>
      <c r="Q15" s="14">
        <f>SUM(Q13:Q14)</f>
        <v/>
      </c>
      <c r="R15" s="14">
        <f>SUM(R13:R14)</f>
        <v/>
      </c>
      <c r="S15" s="2132">
        <f>SUM(S13:S14)</f>
        <v/>
      </c>
    </row>
    <row r="16" ht="30" customHeight="1" s="2456">
      <c r="A16" s="1855" t="n"/>
      <c r="B16" s="2469">
        <f>BIBLE!E52</f>
        <v/>
      </c>
      <c r="C16" s="2580">
        <f>BIBLE!F52</f>
        <v/>
      </c>
      <c r="D16" s="2538" t="inlineStr">
        <is>
          <t>Violence après la séparation</t>
        </is>
      </c>
      <c r="E16" s="14">
        <f>Test_Bible!D113</f>
        <v/>
      </c>
      <c r="F16" s="1816">
        <f>Test_Bible!P113</f>
        <v/>
      </c>
      <c r="G16" s="1859" t="inlineStr">
        <is>
          <t>0-4</t>
        </is>
      </c>
      <c r="H16" s="1859" t="inlineStr">
        <is>
          <t>5 à 10</t>
        </is>
      </c>
      <c r="I16" s="6" t="n"/>
      <c r="J16" s="1485" t="n"/>
      <c r="K16" t="inlineStr"/>
      <c r="P16" s="2051" t="n">
        <v>0</v>
      </c>
      <c r="Q16" s="2052" t="n">
        <v>4</v>
      </c>
      <c r="R16" s="2465" t="n">
        <v>5</v>
      </c>
      <c r="S16" s="2066" t="n">
        <v>10</v>
      </c>
    </row>
    <row r="17" ht="38" customHeight="1" s="2456">
      <c r="A17" s="2126" t="n"/>
      <c r="B17" s="2580">
        <f>Test_Bible!A114</f>
        <v/>
      </c>
      <c r="C17" s="2580">
        <f>BIBLE!F53</f>
        <v/>
      </c>
      <c r="D17" s="2495" t="n"/>
      <c r="E17" s="14">
        <f>Test_Bible!D114</f>
        <v/>
      </c>
      <c r="F17" s="1816">
        <f>Test_Bible!P114</f>
        <v/>
      </c>
      <c r="G17" s="1859" t="n">
        <v>0</v>
      </c>
      <c r="H17" s="1859" t="inlineStr">
        <is>
          <t>1 à 10</t>
        </is>
      </c>
      <c r="I17" s="6" t="n"/>
      <c r="J17" s="1485" t="n"/>
      <c r="P17" s="2051" t="n">
        <v>0</v>
      </c>
      <c r="Q17" s="2052" t="n">
        <v>0</v>
      </c>
      <c r="R17" s="2465" t="n">
        <v>1</v>
      </c>
      <c r="S17" s="2066" t="n">
        <v>10</v>
      </c>
    </row>
    <row r="18" ht="38" customHeight="1" s="2456">
      <c r="A18" s="809" t="n"/>
      <c r="B18" s="2469">
        <f>Test_Bible!A187</f>
        <v/>
      </c>
      <c r="C18" s="2580">
        <f>BIBLE!F101</f>
        <v/>
      </c>
      <c r="D18" s="2495" t="n"/>
      <c r="E18" s="14">
        <f>Test_Bible!D187</f>
        <v/>
      </c>
      <c r="F18" s="1816">
        <f>Test_Bible!P187</f>
        <v/>
      </c>
      <c r="G18" s="1859" t="n">
        <v>0</v>
      </c>
      <c r="H18" s="1859" t="inlineStr">
        <is>
          <t>1 à 10</t>
        </is>
      </c>
      <c r="I18" s="6" t="n"/>
      <c r="J18" s="1485" t="n"/>
      <c r="P18" s="2051" t="n">
        <v>0</v>
      </c>
      <c r="Q18" s="2052" t="n">
        <v>0</v>
      </c>
      <c r="R18" s="2465" t="n">
        <v>1</v>
      </c>
      <c r="S18" s="2066" t="n">
        <v>10</v>
      </c>
    </row>
    <row r="19" ht="38" customHeight="1" s="2456">
      <c r="A19" s="809" t="n"/>
      <c r="B19" s="2469">
        <f>Test_Bible!A189</f>
        <v/>
      </c>
      <c r="C19" s="2580">
        <f>BIBLE!F103</f>
        <v/>
      </c>
      <c r="D19" s="2495" t="n"/>
      <c r="E19" s="14">
        <f>Test_Bible!D189</f>
        <v/>
      </c>
      <c r="F19" s="1816">
        <f>Test_Bible!P189</f>
        <v/>
      </c>
      <c r="G19" s="1859" t="n">
        <v>0</v>
      </c>
      <c r="H19" s="1859" t="inlineStr">
        <is>
          <t>1 à 10</t>
        </is>
      </c>
      <c r="I19" s="6" t="n"/>
      <c r="J19" s="1485" t="n"/>
      <c r="P19" s="2051" t="n">
        <v>0</v>
      </c>
      <c r="Q19" s="2052" t="n">
        <v>0</v>
      </c>
      <c r="R19" s="2465" t="n">
        <v>1</v>
      </c>
      <c r="S19" s="2066" t="n">
        <v>10</v>
      </c>
    </row>
    <row r="20" ht="38" customHeight="1" s="2456">
      <c r="A20" s="809" t="n"/>
      <c r="B20" s="2469">
        <f>Test_Bible!A203</f>
        <v/>
      </c>
      <c r="C20" s="2580">
        <f>BIBLE!F117</f>
        <v/>
      </c>
      <c r="D20" s="2495" t="n"/>
      <c r="E20" s="14">
        <f>Test_Bible!D203</f>
        <v/>
      </c>
      <c r="F20" s="1816">
        <f>Test_Bible!P203</f>
        <v/>
      </c>
      <c r="G20" s="1859" t="n">
        <v>0</v>
      </c>
      <c r="H20" s="1859" t="inlineStr">
        <is>
          <t>1 à 10</t>
        </is>
      </c>
      <c r="I20" s="6" t="n"/>
      <c r="J20" s="1485" t="n"/>
      <c r="P20" s="2051" t="n">
        <v>0</v>
      </c>
      <c r="Q20" s="2052" t="n">
        <v>0</v>
      </c>
      <c r="R20" s="2465" t="n">
        <v>1</v>
      </c>
      <c r="S20" s="2066" t="n">
        <v>10</v>
      </c>
    </row>
    <row r="21" ht="38" customHeight="1" s="2456">
      <c r="A21" s="809" t="n"/>
      <c r="B21" s="2469">
        <f>Test_Bible!A204</f>
        <v/>
      </c>
      <c r="C21" s="2580">
        <f>BIBLE!F118</f>
        <v/>
      </c>
      <c r="D21" s="2495" t="n"/>
      <c r="E21" s="14">
        <f>Test_Bible!D204</f>
        <v/>
      </c>
      <c r="F21" s="1816">
        <f>Test_Bible!P204</f>
        <v/>
      </c>
      <c r="G21" s="1859" t="inlineStr">
        <is>
          <t>0-1</t>
        </is>
      </c>
      <c r="H21" s="1859" t="inlineStr">
        <is>
          <t>2 à 10</t>
        </is>
      </c>
      <c r="I21" s="6" t="n"/>
      <c r="J21" s="1485" t="n"/>
      <c r="P21" s="2051" t="n">
        <v>0</v>
      </c>
      <c r="Q21" s="2052" t="n">
        <v>1</v>
      </c>
      <c r="R21" s="2465" t="n">
        <v>2</v>
      </c>
      <c r="S21" s="2066" t="n">
        <v>10</v>
      </c>
    </row>
    <row r="22" ht="38" customHeight="1" s="2456">
      <c r="A22" s="809" t="n"/>
      <c r="B22" s="2469">
        <f>Test_Bible!A181</f>
        <v/>
      </c>
      <c r="C22" s="2580">
        <f>BIBLE!F95</f>
        <v/>
      </c>
      <c r="D22" s="2495" t="n"/>
      <c r="E22" s="14">
        <f>Test_Bible!D181</f>
        <v/>
      </c>
      <c r="F22" s="1816">
        <f>Test_Bible!P181</f>
        <v/>
      </c>
      <c r="G22" s="1859" t="n">
        <v>0</v>
      </c>
      <c r="H22" s="1859" t="inlineStr">
        <is>
          <t>1 à 10</t>
        </is>
      </c>
      <c r="I22" s="6" t="n"/>
      <c r="J22" s="1485" t="n"/>
      <c r="P22" s="2051" t="n">
        <v>0</v>
      </c>
      <c r="Q22" s="2052" t="n">
        <v>0</v>
      </c>
      <c r="R22" s="2465" t="n">
        <v>1</v>
      </c>
      <c r="S22" s="2066" t="n">
        <v>10</v>
      </c>
    </row>
    <row r="23" ht="38" customHeight="1" s="2456">
      <c r="A23" s="809" t="n"/>
      <c r="B23" s="2469">
        <f>Test_Bible!A188</f>
        <v/>
      </c>
      <c r="C23" s="2580">
        <f>BIBLE!F102</f>
        <v/>
      </c>
      <c r="D23" s="2495" t="n"/>
      <c r="E23" s="14">
        <f>Test_Bible!D187</f>
        <v/>
      </c>
      <c r="F23" s="1816">
        <f>Test_Bible!P187</f>
        <v/>
      </c>
      <c r="G23" s="1859" t="n">
        <v>0</v>
      </c>
      <c r="H23" s="1859" t="inlineStr">
        <is>
          <t>1 à 10</t>
        </is>
      </c>
      <c r="I23" s="6" t="n"/>
      <c r="J23" s="1485" t="n"/>
      <c r="P23" s="2051" t="n">
        <v>0</v>
      </c>
      <c r="Q23" s="2052" t="n">
        <v>0</v>
      </c>
      <c r="R23" s="2465" t="n">
        <v>1</v>
      </c>
      <c r="S23" s="2066" t="n">
        <v>10</v>
      </c>
    </row>
    <row r="24" ht="38" customHeight="1" s="2456">
      <c r="A24" s="809" t="n"/>
      <c r="B24" s="2469">
        <f>Test_Bible!A236</f>
        <v/>
      </c>
      <c r="C24" s="2580">
        <f>BIBLE!F137</f>
        <v/>
      </c>
      <c r="D24" s="2496" t="n"/>
      <c r="E24" s="14">
        <f>Test_Bible!D236</f>
        <v/>
      </c>
      <c r="F24" s="1816">
        <f>Test_Bible!P236</f>
        <v/>
      </c>
      <c r="G24" s="1859" t="n">
        <v>0</v>
      </c>
      <c r="H24" s="1859" t="inlineStr">
        <is>
          <t>1 à 10</t>
        </is>
      </c>
      <c r="I24" s="6" t="n"/>
      <c r="J24" s="1485" t="n"/>
      <c r="P24" s="2051" t="n">
        <v>0</v>
      </c>
      <c r="Q24" s="2052" t="n">
        <v>0</v>
      </c>
      <c r="R24" s="2465" t="n">
        <v>1</v>
      </c>
      <c r="S24" s="2066" t="n">
        <v>10</v>
      </c>
    </row>
    <row r="25" ht="29" customHeight="1" s="2456">
      <c r="D25" s="2129" t="n"/>
      <c r="E25" s="2129" t="n"/>
      <c r="F25" s="2129" t="n"/>
      <c r="G25" s="2129" t="n"/>
      <c r="H25" s="2129" t="n"/>
      <c r="I25" s="2130">
        <f>SUM(F16:F24)</f>
        <v/>
      </c>
      <c r="J25" s="2129" t="n"/>
      <c r="P25" s="2131">
        <f>SUM(P16:P24)</f>
        <v/>
      </c>
      <c r="Q25" s="14">
        <f>SUM(Q16:Q24)</f>
        <v/>
      </c>
      <c r="R25" s="14">
        <f>SUM(R16:R24)</f>
        <v/>
      </c>
      <c r="S25" s="2132">
        <f>SUM(S16:S24)</f>
        <v/>
      </c>
    </row>
    <row r="26" ht="38" customHeight="1" s="2456">
      <c r="A26" s="809" t="n"/>
      <c r="B26" s="2580">
        <f>BIBLE!E92</f>
        <v/>
      </c>
      <c r="C26" s="2580">
        <f>BIBLE!F92</f>
        <v/>
      </c>
      <c r="D26" s="2538"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65" t="n">
        <v>1</v>
      </c>
      <c r="S26" s="2066" t="n">
        <v>10</v>
      </c>
    </row>
    <row r="27" ht="38" customHeight="1" s="2456">
      <c r="A27" s="809" t="n"/>
      <c r="B27" s="2580">
        <f>BIBLE!E93</f>
        <v/>
      </c>
      <c r="C27" s="2580">
        <f>BIBLE!F93</f>
        <v/>
      </c>
      <c r="D27" s="2496" t="n"/>
      <c r="E27" s="14">
        <f>Test_Bible!D179</f>
        <v/>
      </c>
      <c r="F27" s="1816">
        <f>Test_Bible!P179</f>
        <v/>
      </c>
      <c r="G27" s="1859" t="inlineStr">
        <is>
          <t>0-1</t>
        </is>
      </c>
      <c r="H27" s="1859" t="inlineStr">
        <is>
          <t>2 à 10</t>
        </is>
      </c>
      <c r="I27" s="6" t="n"/>
      <c r="J27" s="1485" t="n"/>
      <c r="P27" s="2051" t="n">
        <v>0</v>
      </c>
      <c r="Q27" s="2052" t="n">
        <v>1</v>
      </c>
      <c r="R27" s="2465" t="n">
        <v>2</v>
      </c>
      <c r="S27" s="2066" t="n">
        <v>10</v>
      </c>
    </row>
    <row r="28" ht="27" customHeight="1" s="2456">
      <c r="B28" s="2580" t="n"/>
      <c r="C28" s="2580" t="n"/>
      <c r="D28" s="2064" t="n"/>
      <c r="E28" s="2036" t="n"/>
      <c r="F28" s="2128" t="n"/>
      <c r="G28" s="2128" t="n"/>
      <c r="H28" s="2128" t="n"/>
      <c r="I28" s="2128">
        <f>SUM(F26:F27)</f>
        <v/>
      </c>
      <c r="J28" s="2128" t="n"/>
      <c r="P28" s="2131">
        <f>SUM(P26:P27)</f>
        <v/>
      </c>
      <c r="Q28" s="14">
        <f>SUM(Q26:Q27)</f>
        <v/>
      </c>
      <c r="R28" s="14">
        <f>SUM(R26:R27)</f>
        <v/>
      </c>
      <c r="S28" s="2132">
        <f>SUM(S26:S27)</f>
        <v/>
      </c>
    </row>
    <row r="29" ht="38" customHeight="1" s="2456">
      <c r="C29" s="54" t="n"/>
      <c r="D29" s="2580" t="n"/>
      <c r="E29" s="258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N13" workbookViewId="0">
      <selection activeCell="O19" sqref="O19"/>
    </sheetView>
  </sheetViews>
  <sheetFormatPr baseColWidth="10" defaultRowHeight="16"/>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40.1640625" customWidth="1" style="2456" min="8" max="8"/>
    <col width="46.5" customWidth="1" style="2456" min="9" max="9"/>
    <col width="42.33203125" customWidth="1" style="2456" min="10" max="14"/>
    <col width="22.83203125" customWidth="1" style="2456" min="15" max="15"/>
    <col width="36" customWidth="1" style="2456" min="16" max="16"/>
    <col width="9.83203125" customWidth="1" style="2456" min="17" max="21"/>
    <col width="11.83203125" bestFit="1" customWidth="1" style="2456" min="22" max="22"/>
    <col width="22.6640625" customWidth="1" style="2456" min="23" max="32"/>
    <col width="10.1640625" bestFit="1" customWidth="1" style="2456" min="33" max="33"/>
    <col width="19" customWidth="1" style="2456" min="34" max="34"/>
    <col width="12" customWidth="1" style="2456" min="35" max="35"/>
    <col width="14.83203125" customWidth="1" style="2456" min="36" max="41"/>
    <col width="12.6640625" customWidth="1" style="2456" min="42" max="42"/>
    <col width="10.83203125" customWidth="1" style="2456" min="43" max="44"/>
    <col width="21.5" customWidth="1" style="2456" min="45" max="45"/>
    <col width="6.5" customWidth="1" style="2456" min="46" max="46"/>
    <col width="17.5" customWidth="1" style="2456" min="47" max="49"/>
    <col width="24.33203125" customWidth="1" style="2456" min="50" max="52"/>
    <col width="17.5" customWidth="1" style="2456" min="53" max="53"/>
  </cols>
  <sheetData>
    <row r="1" ht="23" customHeight="1" s="2456">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56">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56">
      <c r="A8" s="49" t="n"/>
      <c r="E8" s="2469" t="n"/>
      <c r="O8" s="2215" t="n"/>
      <c r="P8" s="2212" t="n"/>
      <c r="Q8" s="2211" t="n"/>
      <c r="R8" s="2211" t="n"/>
      <c r="AH8" t="inlineStr">
        <is>
          <t>Grille d'écart à considérer</t>
        </is>
      </c>
      <c r="AJ8" s="2516" t="inlineStr">
        <is>
          <t>Après</t>
        </is>
      </c>
      <c r="AS8" t="inlineStr">
        <is>
          <t>Grille d'écart à considérer</t>
        </is>
      </c>
      <c r="AU8" s="2516" t="inlineStr">
        <is>
          <t>Après</t>
        </is>
      </c>
    </row>
    <row r="9" ht="21" customHeight="1" s="2456">
      <c r="A9" t="inlineStr">
        <is>
          <t>Pour les symptômes dits "Sans objet" avant et après, ne pas montrer le symptôme</t>
        </is>
      </c>
      <c r="H9" s="2590" t="inlineStr">
        <is>
          <t>Bloc Constats</t>
        </is>
      </c>
      <c r="J9" s="2591"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56">
      <c r="G10" s="2289" t="inlineStr">
        <is>
          <t>Introduction =&gt;</t>
        </is>
      </c>
      <c r="H10" s="2589" t="inlineStr">
        <is>
          <t>Les enfants ne réagissent pas tous pareils et n'auront pas tous des symptômes psychosomatiques ou physiques apparents. Il est cependant très important de rester à l'affût des changements dans la santé de l'enfant.
L'analyse démontre :</t>
        </is>
      </c>
      <c r="J10" s="2505"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56">
      <c r="D11" s="2457">
        <f>BIBLE!E208</f>
        <v/>
      </c>
      <c r="E11" s="2457">
        <f>BIBLE!E207</f>
        <v/>
      </c>
      <c r="F11" s="2457" t="n"/>
      <c r="G11" s="2" t="inlineStr">
        <is>
          <t>Condition d'ouverture</t>
        </is>
      </c>
      <c r="H11" s="2457" t="inlineStr">
        <is>
          <t>Écart &lt;=-2</t>
        </is>
      </c>
      <c r="I11" s="2457" t="inlineStr">
        <is>
          <t>Écart entre -1 et +1</t>
        </is>
      </c>
      <c r="J11" s="2457" t="inlineStr">
        <is>
          <t>Écart &gt;=2</t>
        </is>
      </c>
      <c r="K11" s="2457" t="n"/>
      <c r="L11" s="2457" t="n"/>
      <c r="M11" s="2457" t="n"/>
      <c r="N11" s="2457" t="n"/>
      <c r="AG11" s="2481" t="inlineStr">
        <is>
          <t>Avant</t>
        </is>
      </c>
      <c r="AH11" t="inlineStr">
        <is>
          <t>Jamais</t>
        </is>
      </c>
      <c r="AI11" s="2206" t="n">
        <v>0</v>
      </c>
      <c r="AJ11" s="2457">
        <f>AJ$10-$AI11</f>
        <v/>
      </c>
      <c r="AK11" s="2457">
        <f>AK$10-$AI11</f>
        <v/>
      </c>
      <c r="AL11" s="1476">
        <f>AL$10-$AI11</f>
        <v/>
      </c>
      <c r="AM11" s="1476">
        <f>AM$10-$AI11</f>
        <v/>
      </c>
      <c r="AN11" s="1476">
        <f>AN$10-$AI11</f>
        <v/>
      </c>
      <c r="AO11" s="1476">
        <f>AO$10-$AI11</f>
        <v/>
      </c>
      <c r="AP11" s="2520" t="inlineStr">
        <is>
          <t>Ne peut statuer sur ce symptôme</t>
        </is>
      </c>
      <c r="AR11" s="2481"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20" t="inlineStr">
        <is>
          <t>Ne peut statuer sur ce symptôme</t>
        </is>
      </c>
    </row>
    <row r="12" ht="48" customHeight="1" s="2456">
      <c r="D12" s="2514" t="inlineStr">
        <is>
          <t>Avant</t>
        </is>
      </c>
      <c r="E12" s="2514" t="inlineStr">
        <is>
          <t>Après</t>
        </is>
      </c>
      <c r="F12" s="2281" t="inlineStr">
        <is>
          <t>Écart</t>
        </is>
      </c>
      <c r="H12" s="2514" t="n"/>
      <c r="AH12" t="inlineStr">
        <is>
          <t>Rarement</t>
        </is>
      </c>
      <c r="AI12" s="2206" t="n">
        <v>1</v>
      </c>
      <c r="AJ12" s="2457">
        <f>AJ$10-$AI12</f>
        <v/>
      </c>
      <c r="AK12" s="2457">
        <f>AK$10-$AI12</f>
        <v/>
      </c>
      <c r="AL12" s="2457">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56">
      <c r="A13" s="2587"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67" t="n"/>
      <c r="O13" s="9" t="n"/>
      <c r="P13" s="9" t="n"/>
      <c r="AH13" t="inlineStr">
        <is>
          <t>Occasionnellement</t>
        </is>
      </c>
      <c r="AI13" s="2206" t="n">
        <v>2</v>
      </c>
      <c r="AJ13" s="1375">
        <f>AJ$10-$AI13</f>
        <v/>
      </c>
      <c r="AK13" s="2457">
        <f>AK$10-$AI13</f>
        <v/>
      </c>
      <c r="AL13" s="2457">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56">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57">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56">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57">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56">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57">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56">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57" t="inlineStr">
        <is>
          <t>Ne peut statuer sur ce symptôme n'ayant pas d'historique</t>
        </is>
      </c>
      <c r="AS17" t="inlineStr">
        <is>
          <t>s.o.</t>
        </is>
      </c>
      <c r="AT17" s="2206" t="n">
        <v>0</v>
      </c>
      <c r="AU17" s="2457" t="inlineStr">
        <is>
          <t>Ne peut statuer sur ce symptôme n'ayant pas d'historique</t>
        </is>
      </c>
    </row>
    <row r="18" ht="35" customHeight="1" s="2456">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56">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56">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56">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56">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56">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56">
      <c r="A24" s="1923" t="n"/>
    </row>
    <row r="25" ht="33" customHeight="1" s="2456">
      <c r="A25" s="1923" t="n"/>
      <c r="F25" t="inlineStr">
        <is>
          <t>Conseils généraux</t>
        </is>
      </c>
      <c r="H25" s="1446" t="n"/>
      <c r="I25" s="1446" t="n"/>
      <c r="J25" s="1446" t="n"/>
    </row>
    <row r="26" ht="33" customHeight="1" s="2456">
      <c r="A26" s="1923" t="n"/>
      <c r="F26" t="inlineStr">
        <is>
          <t>Références</t>
        </is>
      </c>
      <c r="H26" s="1446" t="n"/>
      <c r="I26" s="1446" t="n"/>
      <c r="J26" s="1446" t="n"/>
    </row>
    <row r="27" ht="33" customHeight="1" s="2456">
      <c r="A27" s="1923" t="n"/>
    </row>
    <row r="28" ht="33" customHeight="1" s="2456">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56">
      <c r="A32" s="407" t="inlineStr">
        <is>
          <t>Titre du baromètre</t>
        </is>
      </c>
      <c r="C32" s="2162" t="inlineStr">
        <is>
          <t>Y a-t-il un changement d'attitude chez l'enfant lors de son transfert de garde?</t>
        </is>
      </c>
    </row>
    <row r="33" ht="21" customHeight="1" s="2456">
      <c r="F33" s="2290" t="n"/>
      <c r="AG33" s="3" t="n"/>
      <c r="AI33" s="2532" t="inlineStr">
        <is>
          <t>Interprétation</t>
        </is>
      </c>
      <c r="AN33" s="2532" t="n"/>
    </row>
    <row r="34" ht="40" customHeight="1" s="2456">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2" t="n"/>
      <c r="AJ34" s="2532" t="n"/>
      <c r="AK34" s="2532" t="n"/>
      <c r="AL34" s="2532" t="n"/>
      <c r="AM34" s="2532" t="n"/>
      <c r="AN34" s="2532" t="n"/>
    </row>
    <row r="35" ht="21" customHeight="1" s="2456">
      <c r="A35" s="407" t="n"/>
      <c r="C35" s="2268" t="n"/>
      <c r="AI35" s="2532" t="n"/>
      <c r="AJ35" s="2532" t="n"/>
      <c r="AK35" s="2532" t="n"/>
      <c r="AL35" s="2532" t="n"/>
      <c r="AM35" s="2532" t="n"/>
      <c r="AN35" s="2532" t="n"/>
    </row>
    <row r="36" ht="21" customHeight="1" s="2456">
      <c r="A36" s="407" t="n"/>
      <c r="C36" s="2268" t="n"/>
      <c r="AI36" s="2532" t="n"/>
      <c r="AJ36" s="2532" t="n"/>
      <c r="AK36" s="2532" t="n"/>
      <c r="AL36" s="2532" t="n"/>
      <c r="AM36" s="2532" t="n"/>
      <c r="AN36" s="2532" t="n"/>
    </row>
    <row r="37" ht="69" customHeight="1" s="2456">
      <c r="A37" s="1923" t="n"/>
      <c r="AG37" s="2457" t="n"/>
    </row>
    <row r="38" ht="37" customHeight="1" s="2456">
      <c r="A38" s="1923" t="n"/>
      <c r="H38" s="2187" t="inlineStr">
        <is>
          <t>Bloc contenu "conseils intégrés au constat" à compléter par Joanna</t>
        </is>
      </c>
      <c r="I38" s="2285" t="n"/>
      <c r="J38" s="2285" t="n"/>
      <c r="K38" s="2188" t="n"/>
      <c r="L38" s="2188" t="n"/>
      <c r="M38" s="2188" t="n"/>
      <c r="N38" s="2188" t="n"/>
      <c r="AI38" s="2588" t="inlineStr">
        <is>
          <t>Départ chez l'autre</t>
        </is>
      </c>
    </row>
    <row r="39" ht="46" customHeight="1" s="2456">
      <c r="A39" s="1923" t="n"/>
      <c r="D39" s="2517" t="inlineStr">
        <is>
          <t>Résultats évalués dès que l'un ou l'autre des changements de garde révèle un comportement inquiétant (Taciturne, anxieux, agressif)</t>
        </is>
      </c>
      <c r="G39" s="88" t="inlineStr">
        <is>
          <t>Introduction=&gt;</t>
        </is>
      </c>
      <c r="H39" s="258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05" t="n"/>
      <c r="K39" s="2353" t="n"/>
      <c r="L39" s="2353" t="n"/>
      <c r="M39" s="2353" t="n"/>
      <c r="N39" s="2353" t="n"/>
      <c r="AH39" s="2520" t="inlineStr">
        <is>
          <t>Résultat aux deux questions</t>
        </is>
      </c>
      <c r="AI39" s="2465" t="inlineStr">
        <is>
          <t>Vert (1-3) CSS</t>
        </is>
      </c>
      <c r="AJ39" s="2465" t="inlineStr">
        <is>
          <t>Vert (1-3) CL</t>
        </is>
      </c>
      <c r="AK39" s="2465" t="inlineStr">
        <is>
          <t>Vert (1-3) AP</t>
        </is>
      </c>
      <c r="AL39" s="2465" t="inlineStr">
        <is>
          <t>Rouge (4-6) CSS</t>
        </is>
      </c>
      <c r="AM39" s="2465" t="inlineStr">
        <is>
          <t>Rouge (4-6) CL</t>
        </is>
      </c>
      <c r="AN39" s="2465" t="inlineStr">
        <is>
          <t>Rouge (4-6) AP</t>
        </is>
      </c>
    </row>
    <row r="40" ht="70" customHeight="1" s="2456">
      <c r="A40" s="1923" t="n"/>
      <c r="E40" s="2559" t="inlineStr">
        <is>
          <t>Arrivée de l'enfant après son séjour chez le coparent</t>
        </is>
      </c>
      <c r="F40" s="2559" t="inlineStr">
        <is>
          <t>Départ de l'enfant pour son séjour chez le coparent</t>
        </is>
      </c>
      <c r="G40" s="2575" t="inlineStr">
        <is>
          <t>Baromètre ne s'ouvre pas si l'enfant est calme, neutre ou enjoué.e, au départ et à l'arrivée</t>
        </is>
      </c>
      <c r="H40" s="2517" t="inlineStr">
        <is>
          <t>Symptômes inquiétants seulement au départ chez l'autre parent</t>
        </is>
      </c>
      <c r="I40" s="2517" t="inlineStr">
        <is>
          <t>Symptômes inquiétants seulement à l'arrivée de son séjour</t>
        </is>
      </c>
      <c r="J40" s="2517" t="inlineStr">
        <is>
          <t>Symptômes inquiétants lors des arrivées et des éparts</t>
        </is>
      </c>
      <c r="K40" s="2517" t="n"/>
      <c r="L40" s="2517" t="n"/>
      <c r="M40" s="2517" t="n"/>
      <c r="N40" s="2517" t="n"/>
      <c r="AG40" s="2576" t="inlineStr">
        <is>
          <t>Retour de garde</t>
        </is>
      </c>
      <c r="AH40" s="2465" t="inlineStr">
        <is>
          <t>Vert (1-3) CSS</t>
        </is>
      </c>
      <c r="AI40" s="2593" t="inlineStr">
        <is>
          <t>Le baromètre ne s'affichera pas</t>
        </is>
      </c>
      <c r="AJ40" s="2480" t="n"/>
      <c r="AK40" s="2487" t="n"/>
      <c r="AL40" s="2585" t="n"/>
      <c r="AM40" s="2585" t="n"/>
      <c r="AN40" s="2585" t="n"/>
    </row>
    <row r="41" ht="32" customHeight="1" s="2456">
      <c r="A41" s="2587"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65" t="inlineStr">
        <is>
          <t>Vert (1-3) CL</t>
        </is>
      </c>
      <c r="AI41" s="2483" t="n"/>
      <c r="AK41" s="2505" t="n"/>
      <c r="AL41" s="2495" t="n"/>
      <c r="AM41" s="2495" t="n"/>
      <c r="AN41" s="2495" t="n"/>
    </row>
    <row r="42" ht="32" customHeight="1" s="2456">
      <c r="B42" s="1419" t="n">
        <v>1</v>
      </c>
      <c r="C42" s="2291">
        <f>Test_Bible!B373</f>
        <v/>
      </c>
      <c r="E42" s="90">
        <f>Test_Bible!E314</f>
        <v/>
      </c>
      <c r="F42" s="2457">
        <f>Test_Bible!E373</f>
        <v/>
      </c>
      <c r="K42" s="1446" t="n"/>
      <c r="L42" s="1446" t="n"/>
      <c r="AH42" s="2465" t="inlineStr">
        <is>
          <t>Vert (1-3) AP</t>
        </is>
      </c>
      <c r="AI42" s="2484" t="n"/>
      <c r="AJ42" s="2490" t="n"/>
      <c r="AK42" s="2506" t="n"/>
      <c r="AL42" s="2496" t="n"/>
      <c r="AM42" s="2496" t="n"/>
      <c r="AN42" s="2496" t="n"/>
    </row>
    <row r="43" ht="39" customHeight="1" s="2456">
      <c r="B43" s="1419" t="n">
        <v>2</v>
      </c>
      <c r="C43" s="2291">
        <f>Test_Bible!B374</f>
        <v/>
      </c>
      <c r="E43" s="90">
        <f>Test_Bible!E315</f>
        <v/>
      </c>
      <c r="F43" s="2457">
        <f>Test_Bible!E374</f>
        <v/>
      </c>
      <c r="K43" s="1446" t="n"/>
      <c r="L43" s="1446" t="n"/>
      <c r="AH43" s="2465" t="inlineStr">
        <is>
          <t>Rouge (4-6) CSS</t>
        </is>
      </c>
      <c r="AI43" s="2585" t="n"/>
      <c r="AJ43" s="2585" t="n"/>
      <c r="AK43" s="2586" t="n"/>
      <c r="AL43" s="2586" t="n"/>
      <c r="AM43" s="2586" t="n"/>
      <c r="AN43" s="2586" t="n"/>
    </row>
    <row r="44" ht="39" customHeight="1" s="2456">
      <c r="B44" s="1419" t="n">
        <v>3</v>
      </c>
      <c r="C44" s="2291">
        <f>Test_Bible!B375</f>
        <v/>
      </c>
      <c r="E44" s="90">
        <f>Test_Bible!E316</f>
        <v/>
      </c>
      <c r="F44" s="2457">
        <f>Test_Bible!E375</f>
        <v/>
      </c>
      <c r="K44" s="1446" t="n"/>
      <c r="L44" s="1446" t="n"/>
      <c r="AH44" s="2465" t="inlineStr">
        <is>
          <t>Rouge (4-6) CL</t>
        </is>
      </c>
      <c r="AI44" s="2495" t="n"/>
      <c r="AJ44" s="2495" t="n"/>
      <c r="AK44" s="2495" t="n"/>
      <c r="AL44" s="2495" t="n"/>
      <c r="AM44" s="2495" t="n"/>
      <c r="AN44" s="2495" t="n"/>
    </row>
    <row r="45" ht="47" customHeight="1" s="2456">
      <c r="B45" s="1419" t="n"/>
      <c r="C45" s="2291" t="n"/>
      <c r="E45" s="90" t="n"/>
      <c r="F45" s="2457" t="n"/>
      <c r="H45" s="2481" t="n"/>
      <c r="I45" s="2481" t="n"/>
      <c r="J45" s="2481" t="n"/>
      <c r="K45" s="1446" t="n"/>
      <c r="L45" s="1446" t="n"/>
      <c r="M45" s="2465" t="n"/>
      <c r="N45" s="2465" t="n"/>
      <c r="AH45" s="2465" t="n"/>
      <c r="AI45" s="2495" t="n"/>
      <c r="AJ45" s="2495" t="n"/>
      <c r="AK45" s="2495" t="n"/>
      <c r="AL45" s="2495" t="n"/>
      <c r="AM45" s="2495" t="n"/>
      <c r="AN45" s="2495" t="n"/>
    </row>
    <row r="46" ht="39" customHeight="1" s="2456">
      <c r="B46" s="1419" t="n">
        <v>4</v>
      </c>
      <c r="C46" s="2291">
        <f>Test_Bible!B376</f>
        <v/>
      </c>
      <c r="E46" s="90">
        <f>Test_Bible!E317</f>
        <v/>
      </c>
      <c r="F46" s="2457">
        <f>Test_Bible!E376</f>
        <v/>
      </c>
      <c r="K46" s="1446" t="n"/>
      <c r="L46" s="1446" t="n"/>
      <c r="AH46" s="2465" t="inlineStr">
        <is>
          <t>Rouge (4-6) AP</t>
        </is>
      </c>
      <c r="AI46" s="2496" t="n"/>
      <c r="AJ46" s="2496" t="n"/>
      <c r="AK46" s="2496" t="n"/>
      <c r="AL46" s="2496" t="n"/>
      <c r="AM46" s="2496" t="n"/>
      <c r="AN46" s="2496" t="n"/>
    </row>
    <row r="47" ht="29" customHeight="1" s="2456">
      <c r="B47" s="1419" t="n">
        <v>5</v>
      </c>
      <c r="C47" s="2291">
        <f>Test_Bible!B377</f>
        <v/>
      </c>
      <c r="E47" s="90">
        <f>Test_Bible!E318</f>
        <v/>
      </c>
      <c r="F47" s="2457">
        <f>Test_Bible!E377</f>
        <v/>
      </c>
      <c r="K47" s="1446" t="n"/>
      <c r="L47" s="1446" t="n"/>
      <c r="AH47" s="2469" t="inlineStr">
        <is>
          <t>Rien à signaler, les données ou les conseils ne s'afficheront pas</t>
        </is>
      </c>
    </row>
    <row r="48" ht="28" customHeight="1" s="2456">
      <c r="B48" s="1419" t="n">
        <v>6</v>
      </c>
      <c r="C48" s="2291">
        <f>Test_Bible!B378</f>
        <v/>
      </c>
      <c r="E48" s="90">
        <f>Test_Bible!E319</f>
        <v/>
      </c>
      <c r="F48" s="2457">
        <f>Test_Bible!E378</f>
        <v/>
      </c>
      <c r="K48" s="1446" t="n"/>
      <c r="L48" s="1446" t="n"/>
      <c r="AJ48" t="inlineStr">
        <is>
          <t>N'hésitez pas à consulter pour avoir de l'aide pour l'enfant</t>
        </is>
      </c>
    </row>
    <row r="49" ht="65" customHeight="1" s="2456">
      <c r="A49" s="2587" t="n"/>
      <c r="B49" s="1419" t="n"/>
      <c r="C49" s="1585" t="n"/>
      <c r="D49" s="2457" t="n"/>
      <c r="E49" s="90" t="n"/>
      <c r="F49" s="2457"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0" t="n"/>
      <c r="N49" s="2580" t="n"/>
    </row>
    <row r="50" ht="48" customHeight="1" s="2456">
      <c r="B50" s="259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69" t="inlineStr">
        <is>
          <t>Conseils généraux</t>
        </is>
      </c>
      <c r="H51" s="2240" t="n"/>
      <c r="I51" s="2240" t="n"/>
      <c r="J51" s="2240" t="n"/>
      <c r="K51" s="2580" t="n"/>
      <c r="L51" s="2580" t="n"/>
      <c r="M51" s="2580" t="n"/>
      <c r="N51" s="2580" t="n"/>
    </row>
    <row r="52" ht="36" customHeight="1" s="2456">
      <c r="F52" s="2469" t="inlineStr">
        <is>
          <t>Références</t>
        </is>
      </c>
      <c r="H52" s="1446" t="n"/>
      <c r="I52" s="1446" t="n"/>
      <c r="J52" s="1446" t="n"/>
    </row>
    <row r="58">
      <c r="AL58" s="2457" t="n"/>
      <c r="AM58" s="2457" t="n"/>
      <c r="AN58" s="2457" t="n"/>
      <c r="AO58" s="2457" t="n"/>
    </row>
    <row r="59">
      <c r="AJ59" s="2580" t="n"/>
      <c r="AK59" s="2469" t="n"/>
      <c r="AL59" s="826" t="n"/>
      <c r="AM59" s="826" t="n"/>
      <c r="AN59" s="826" t="n"/>
      <c r="AO59" s="826" t="n"/>
    </row>
    <row r="60">
      <c r="AJ60" s="2580" t="n"/>
      <c r="AK60" s="2469" t="n"/>
      <c r="AL60" s="826" t="n"/>
      <c r="AM60" s="826" t="n"/>
      <c r="AN60" s="826" t="n"/>
      <c r="AO60" s="826" t="n"/>
    </row>
    <row r="61">
      <c r="AJ61" s="2580" t="n"/>
      <c r="AK61" s="2469" t="n"/>
      <c r="AL61" s="826" t="n"/>
      <c r="AM61" s="826" t="n"/>
      <c r="AN61" s="826" t="n"/>
      <c r="AO61" s="826" t="n"/>
    </row>
    <row r="62">
      <c r="AJ62" s="2580" t="n"/>
      <c r="AK62" s="2469" t="n"/>
      <c r="AL62" s="826" t="n"/>
      <c r="AM62" s="2559" t="n"/>
      <c r="AN62" s="2559" t="n"/>
      <c r="AO62" s="2559"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517" min="13" max="15"/>
    <col width="43.33203125" customWidth="1" style="2517" min="16" max="16"/>
    <col width="37.5" customWidth="1" style="2517"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56">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K5" t="inlineStr"/>
      <c r="AC5" s="407" t="inlineStr">
        <is>
          <t>Calcul des écarts pour les échelles exponentielles</t>
        </is>
      </c>
    </row>
    <row r="6" ht="20" customHeight="1" s="2456">
      <c r="T6" s="34" t="inlineStr">
        <is>
          <t>Échelle de résultat :</t>
        </is>
      </c>
      <c r="U6" s="34" t="n"/>
      <c r="V6" s="34" t="n"/>
      <c r="W6" s="34" t="n"/>
      <c r="X6" s="34" t="n"/>
      <c r="Z6" s="1129" t="n"/>
      <c r="AC6" s="2114" t="n"/>
      <c r="AE6" s="2516"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5" t="inlineStr">
        <is>
          <t>Bon à mauvais</t>
        </is>
      </c>
    </row>
    <row r="8" ht="22" customHeight="1" s="2456">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56">
      <c r="B9" s="2060" t="inlineStr">
        <is>
          <t>Échelle exponentielle va de bon à mauvais</t>
        </is>
      </c>
      <c r="T9" s="1673" t="n"/>
      <c r="U9" s="1673" t="n"/>
      <c r="V9" s="1673" t="n"/>
      <c r="W9" s="1673" t="n"/>
      <c r="X9" s="1676" t="n"/>
      <c r="AC9" s="88" t="inlineStr">
        <is>
          <t>Écart</t>
        </is>
      </c>
    </row>
    <row r="10" ht="22" customHeight="1" s="2456">
      <c r="B10" s="2121" t="inlineStr">
        <is>
          <t>Échelle linéaire va de mauvais à bon</t>
        </is>
      </c>
      <c r="T10" s="1673" t="n"/>
      <c r="U10" s="1673" t="n"/>
      <c r="V10" s="1673" t="n"/>
      <c r="W10" s="1673" t="n"/>
      <c r="X10" s="1676" t="n"/>
      <c r="AC10" s="88" t="n"/>
      <c r="AE10" s="2516" t="n">
        <v>0</v>
      </c>
      <c r="AF10" s="2516" t="n">
        <v>1</v>
      </c>
      <c r="AG10" s="2516" t="n">
        <v>2</v>
      </c>
      <c r="AH10" s="2516" t="n">
        <v>4</v>
      </c>
      <c r="AI10" s="2516" t="n">
        <v>7</v>
      </c>
      <c r="AJ10" s="2516" t="n">
        <v>10</v>
      </c>
    </row>
    <row r="11" ht="19" customHeight="1" s="2456" thickBot="1">
      <c r="M11" s="34" t="inlineStr">
        <is>
          <t>Zone "Constat" du baromètre</t>
        </is>
      </c>
      <c r="T11" s="2117" t="n">
        <v>0</v>
      </c>
      <c r="U11" s="2146" t="inlineStr">
        <is>
          <t>Aucun changement observé</t>
        </is>
      </c>
      <c r="V11" s="2117" t="n"/>
      <c r="W11" s="2117" t="n"/>
      <c r="X11" s="2117" t="n"/>
      <c r="AD11" s="2457" t="n">
        <v>1</v>
      </c>
      <c r="AE11" s="2457" t="n">
        <v>2</v>
      </c>
      <c r="AF11" s="2457" t="n">
        <v>3</v>
      </c>
      <c r="AG11" s="2457" t="n">
        <v>4</v>
      </c>
      <c r="AH11" s="2457" t="n">
        <v>5</v>
      </c>
      <c r="AI11" s="2457" t="n">
        <v>6</v>
      </c>
      <c r="AJ11" s="2457" t="n">
        <v>7</v>
      </c>
    </row>
    <row r="12" ht="51" customHeight="1" s="2456">
      <c r="C12" s="2597" t="inlineStr">
        <is>
          <t>Avant la séparation (Durant la vie commune)</t>
        </is>
      </c>
      <c r="F12" s="2604"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3" t="inlineStr">
        <is>
          <t>Avant la séparation</t>
        </is>
      </c>
      <c r="AB12" s="2" t="inlineStr">
        <is>
          <t>Absolument</t>
        </is>
      </c>
      <c r="AD12" s="2516" t="n">
        <v>0</v>
      </c>
      <c r="AE12" s="47">
        <f>-(AE$10-$AD12)</f>
        <v/>
      </c>
      <c r="AF12" s="47">
        <f>-(AF$10-$AD12)</f>
        <v/>
      </c>
      <c r="AG12" s="47">
        <f>-(AG$10-$AD12)</f>
        <v/>
      </c>
      <c r="AH12" s="47">
        <f>-(AH$10-$AD12)</f>
        <v/>
      </c>
      <c r="AI12" s="47">
        <f>-(AI$10-$AD12)</f>
        <v/>
      </c>
      <c r="AJ12" s="47">
        <f>-(AJ$10-$AD12)</f>
        <v/>
      </c>
      <c r="AK12" s="2602" t="inlineStr">
        <is>
          <t>Détérioration</t>
        </is>
      </c>
    </row>
    <row r="13" ht="34" customHeight="1" s="2456">
      <c r="B13" s="2595" t="inlineStr">
        <is>
          <t>Différentiel entre le parent répondant et l'enfant</t>
        </is>
      </c>
      <c r="I13" s="2567" t="n"/>
      <c r="J13" s="67" t="n"/>
      <c r="K13" s="67" t="n"/>
      <c r="L13" s="2297" t="n"/>
      <c r="M13" s="259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56">
      <c r="D14" s="2578" t="n"/>
      <c r="E14" s="2520" t="inlineStr">
        <is>
          <t>Résultats</t>
        </is>
      </c>
      <c r="F14" s="598" t="n"/>
      <c r="G14" s="598" t="n"/>
      <c r="H14" s="2520" t="inlineStr">
        <is>
          <t>Résultats</t>
        </is>
      </c>
      <c r="I14" s="1900" t="n"/>
      <c r="J14" s="2464" t="inlineStr">
        <is>
          <t xml:space="preserve">Valeur "Avant"
</t>
        </is>
      </c>
      <c r="K14" s="15" t="inlineStr">
        <is>
          <t>Écart</t>
        </is>
      </c>
      <c r="L14" s="2464" t="inlineStr">
        <is>
          <t>Constat de l'écart programmé
(automatiser selon l'échelle de changement)</t>
        </is>
      </c>
      <c r="M14" s="246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56">
      <c r="D15" s="2578" t="n"/>
      <c r="E15" s="2520" t="n"/>
      <c r="F15" s="598" t="n"/>
      <c r="G15" s="598" t="n"/>
      <c r="H15" s="2520" t="n"/>
      <c r="I15" s="1900" t="n"/>
      <c r="J15" s="2464" t="n"/>
      <c r="K15" s="15" t="n"/>
      <c r="L15" s="2464" t="n"/>
      <c r="M15" s="2464" t="inlineStr">
        <is>
          <t>Dégradation &lt; -2</t>
        </is>
      </c>
      <c r="N15" s="2464" t="inlineStr">
        <is>
          <t>Peu ou pas de changement entre -2 et +2</t>
        </is>
      </c>
      <c r="O15" s="246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56">
      <c r="D16" s="2578" t="n"/>
      <c r="E16" s="2520" t="n"/>
      <c r="F16" s="598" t="n"/>
      <c r="G16" s="598" t="n"/>
      <c r="H16" s="2520" t="n"/>
      <c r="I16" s="1900" t="n"/>
      <c r="J16" s="246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56">
      <c r="A17" s="2564" t="inlineStr">
        <is>
          <t>Échelle 1 à 10 : Aucune à excellente</t>
        </is>
      </c>
      <c r="B17" s="2559" t="inlineStr">
        <is>
          <t>Complicité du parent répondant et de l'enfant</t>
        </is>
      </c>
      <c r="C17" s="510">
        <f>BIBLE!E40</f>
        <v/>
      </c>
      <c r="D17" s="2578">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1" t="n">
        <v>4</v>
      </c>
      <c r="AE17" s="47">
        <f>-(AE$10-$AD17)</f>
        <v/>
      </c>
      <c r="AF17" s="47">
        <f>-(AF$10-$AD17)</f>
        <v/>
      </c>
      <c r="AG17" s="47">
        <f>-(AG$10-$AD17)</f>
        <v/>
      </c>
      <c r="AH17" s="47">
        <f>-(AH$10-$AD17)</f>
        <v/>
      </c>
      <c r="AI17" s="47">
        <f>-(AI$10-$AD17)</f>
        <v/>
      </c>
      <c r="AJ17" s="47">
        <f>-(AJ$10-$AD17)</f>
        <v/>
      </c>
    </row>
    <row r="18" ht="106" customHeight="1" s="2456">
      <c r="A18" s="2496" t="n"/>
      <c r="C18" s="510">
        <f>BIBLE!E41</f>
        <v/>
      </c>
      <c r="D18" s="2578">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1" t="n">
        <v>7</v>
      </c>
      <c r="AE18" s="47">
        <f>-(AE$10-$AD18)</f>
        <v/>
      </c>
      <c r="AF18" s="47">
        <f>-(AF$10-$AD18)</f>
        <v/>
      </c>
      <c r="AG18" s="47">
        <f>-(AG$10-$AD18)</f>
        <v/>
      </c>
      <c r="AH18" s="47">
        <f>-(AH$10-$AD18)</f>
        <v/>
      </c>
      <c r="AI18" s="47">
        <f>-(AI$10-$AD18)</f>
        <v/>
      </c>
      <c r="AJ18" s="47">
        <f>-(AJ$10-$AD18)</f>
        <v/>
      </c>
    </row>
    <row r="19" ht="56" customHeight="1" s="2456">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1" t="n">
        <v>10</v>
      </c>
      <c r="AE19" s="47">
        <f>-(AE$10-$AD19)</f>
        <v/>
      </c>
      <c r="AF19" s="47">
        <f>-(AF$10-$AD19)</f>
        <v/>
      </c>
      <c r="AG19" s="47">
        <f>-(AG$10-$AD19)</f>
        <v/>
      </c>
      <c r="AH19" s="47">
        <f>-(AH$10-$AD19)</f>
        <v/>
      </c>
      <c r="AI19" s="47">
        <f>-(AI$10-$AD19)</f>
        <v/>
      </c>
      <c r="AJ19" s="47">
        <f>-(AJ$10-$AD19)</f>
        <v/>
      </c>
    </row>
    <row r="20" ht="60" customHeight="1" s="2456">
      <c r="A20" s="58" t="n"/>
      <c r="I20" s="1899" t="n"/>
      <c r="M20" s="246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65" t="n"/>
      <c r="AE20" s="2594" t="inlineStr">
        <is>
          <t>Amélioration</t>
        </is>
      </c>
      <c r="AK20" s="2117" t="inlineStr">
        <is>
          <t>Pas ou peu de changement</t>
        </is>
      </c>
    </row>
    <row r="21" ht="49" customHeight="1" s="2456">
      <c r="A21" s="2116" t="inlineStr">
        <is>
          <t>Problème de compatibilité des échelles</t>
        </is>
      </c>
      <c r="B21" s="2595" t="inlineStr">
        <is>
          <t>Différentiel entre l'enfant et la famille du parent répondant</t>
        </is>
      </c>
      <c r="I21" s="2567" t="n"/>
      <c r="M21" s="2464" t="inlineStr">
        <is>
          <t>Dégradation &lt; -2</t>
        </is>
      </c>
      <c r="N21" s="2464" t="inlineStr">
        <is>
          <t>Peu ou pas de changement entre -2 et +2</t>
        </is>
      </c>
      <c r="O21" s="2464" t="inlineStr">
        <is>
          <t>Amélioration &gt;+2</t>
        </is>
      </c>
      <c r="P21" s="2336" t="n"/>
      <c r="Q21" s="1365" t="n"/>
      <c r="T21" s="2117" t="n">
        <v>8</v>
      </c>
      <c r="U21" s="2146" t="inlineStr">
        <is>
          <t>Amélioration majeure</t>
        </is>
      </c>
      <c r="V21" s="2117" t="n"/>
      <c r="W21" s="2117" t="n"/>
      <c r="X21" s="2122" t="n"/>
    </row>
    <row r="22" ht="49" customHeight="1" s="2456">
      <c r="A22" s="2116" t="n"/>
      <c r="B22" s="2274" t="n"/>
      <c r="C22" s="2274" t="n"/>
      <c r="D22" s="2274" t="n"/>
      <c r="E22" s="2274" t="n"/>
      <c r="F22" s="2274" t="n"/>
      <c r="G22" s="2274" t="n"/>
      <c r="H22" s="2274" t="n"/>
      <c r="I22" s="2595" t="n"/>
      <c r="L22" s="2293" t="inlineStr">
        <is>
          <t>Introduction=&gt;</t>
        </is>
      </c>
      <c r="M22" s="2296" t="n"/>
      <c r="N22" s="2296" t="n"/>
      <c r="O22" s="2296" t="n"/>
      <c r="P22" s="2337" t="n"/>
      <c r="Q22" s="2338" t="n"/>
      <c r="T22" s="2117" t="n"/>
      <c r="U22" s="2146" t="n"/>
      <c r="V22" s="2117" t="n"/>
      <c r="W22" s="2117" t="n"/>
      <c r="X22" s="2122" t="n"/>
    </row>
    <row r="23" ht="126" customHeight="1" s="2456">
      <c r="A23" s="2601" t="inlineStr">
        <is>
          <t>Échelle Exponentielle 35b: Excellent à mauvais; 35a: Jamais à toujours</t>
        </is>
      </c>
      <c r="B23" s="2520" t="inlineStr">
        <is>
          <t>Relation de l'enfant avec la famille élargie du parent répondant</t>
        </is>
      </c>
      <c r="C23" s="694">
        <f>BIBLE!E205</f>
        <v/>
      </c>
      <c r="D23" s="2580">
        <f>BIBLE!F205</f>
        <v/>
      </c>
      <c r="E23" s="67">
        <f>IF(Test_Bible!B337="","",Test_Bible!P337)</f>
        <v/>
      </c>
      <c r="F23" s="1897">
        <f>BIBLE!E204</f>
        <v/>
      </c>
      <c r="G23" s="2580">
        <f>BIBLE!F204</f>
        <v/>
      </c>
      <c r="H23" s="67">
        <f>IF(Test_Bible!B336="","",Test_Bible!P336)</f>
        <v/>
      </c>
      <c r="I23" s="1899" t="n"/>
      <c r="J23" s="2465" t="n"/>
      <c r="K23" s="2501" t="n"/>
      <c r="L23" s="2501" t="n"/>
      <c r="P23" s="2339" t="n"/>
      <c r="Q23" s="2340" t="n"/>
      <c r="R23" s="2501" t="n"/>
      <c r="T23" s="2117" t="n">
        <v>9</v>
      </c>
      <c r="U23" s="2146" t="inlineStr">
        <is>
          <t>Amélioration majeure</t>
        </is>
      </c>
      <c r="V23" s="2117" t="n"/>
      <c r="W23" s="2117" t="n"/>
      <c r="X23" s="2122" t="n"/>
      <c r="AC23" s="407" t="inlineStr">
        <is>
          <t>Calcul des écarts pour les échelles linéaires</t>
        </is>
      </c>
      <c r="AD23" s="407" t="n"/>
    </row>
    <row r="24" ht="21" customHeight="1" s="2456">
      <c r="A24" s="2496" t="n"/>
      <c r="C24" s="510" t="n"/>
      <c r="D24" s="2578" t="n"/>
      <c r="E24" s="67" t="n"/>
      <c r="F24" s="1909" t="n"/>
      <c r="H24" s="67" t="n"/>
      <c r="I24" s="1899" t="n"/>
      <c r="J24" s="2465" t="n"/>
      <c r="P24" s="2339" t="n"/>
      <c r="Q24" s="2340" t="n"/>
      <c r="T24" s="2117" t="n">
        <v>10</v>
      </c>
      <c r="U24" s="2146" t="inlineStr">
        <is>
          <t>Amélioration majeure</t>
        </is>
      </c>
      <c r="V24" s="2117" t="n"/>
      <c r="W24" s="2117" t="n"/>
      <c r="X24" s="2122" t="n"/>
      <c r="Z24" s="90" t="n"/>
      <c r="AC24" s="2114" t="n"/>
      <c r="AE24" s="2516" t="inlineStr">
        <is>
          <t>Après la séparation | moment du questionnaire</t>
        </is>
      </c>
    </row>
    <row r="25" ht="62" customHeight="1" s="2456">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65" t="inlineStr">
        <is>
          <t>Mauvais</t>
        </is>
      </c>
      <c r="AF25" s="2465" t="n"/>
      <c r="AG25" s="2465" t="n"/>
      <c r="AH25" s="2465" t="n"/>
      <c r="AI25" s="2465" t="n"/>
      <c r="AJ25" s="2465" t="n"/>
      <c r="AK25" s="2457" t="n"/>
      <c r="AL25" s="2457" t="n"/>
      <c r="AM25" s="2457" t="n"/>
      <c r="AN25" s="2457" t="inlineStr">
        <is>
          <t>Excellent</t>
        </is>
      </c>
    </row>
    <row r="26" ht="32" customHeight="1" s="2456">
      <c r="A26" s="58" t="n"/>
      <c r="I26" s="1899" t="n"/>
      <c r="J26" s="2465" t="n"/>
      <c r="M26" s="246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56">
      <c r="A27" s="58" t="n"/>
      <c r="B27" s="2595" t="inlineStr">
        <is>
          <t>Différentiel entre le coparent et l'enfant</t>
        </is>
      </c>
      <c r="I27" s="2567" t="n"/>
      <c r="J27" s="2465" t="n"/>
      <c r="M27" s="2464" t="inlineStr">
        <is>
          <t>Dégradation &lt; -2</t>
        </is>
      </c>
      <c r="N27" s="2464" t="inlineStr">
        <is>
          <t>Peu ou pas de changement entre -2 et +2</t>
        </is>
      </c>
      <c r="O27" s="246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56">
      <c r="A28" s="58" t="n"/>
      <c r="B28" s="2274" t="n"/>
      <c r="C28" s="2274" t="n"/>
      <c r="D28" s="2274" t="n"/>
      <c r="E28" s="2274" t="n"/>
      <c r="F28" s="2274" t="n"/>
      <c r="G28" s="2274" t="n"/>
      <c r="H28" s="2274" t="n"/>
      <c r="I28" s="2595" t="n"/>
      <c r="J28" s="2465" t="n"/>
      <c r="L28" s="2293" t="inlineStr">
        <is>
          <t>Introduction=&gt;</t>
        </is>
      </c>
      <c r="M28" s="2296" t="n"/>
      <c r="N28" s="2296" t="n"/>
      <c r="O28" s="2296" t="n"/>
      <c r="P28" s="2337" t="n"/>
      <c r="Q28" s="2338" t="n"/>
      <c r="T28" s="1222" t="n"/>
      <c r="U28" s="1446" t="n"/>
      <c r="V28" s="1222" t="n"/>
      <c r="W28" s="1222" t="n"/>
      <c r="X28" s="1222" t="n"/>
      <c r="AC28" s="88" t="n"/>
    </row>
    <row r="29" ht="50" customHeight="1" s="2456">
      <c r="A29" s="2564" t="inlineStr">
        <is>
          <t>Échelle 1 à 10 : Aucune à excellente</t>
        </is>
      </c>
      <c r="B29" s="2559" t="inlineStr">
        <is>
          <t>Idéalisation du co-parent par l'enfant</t>
        </is>
      </c>
      <c r="C29" s="510">
        <f>BIBLE!E44</f>
        <v/>
      </c>
      <c r="D29" s="2578">
        <f>BIBLE!F44</f>
        <v/>
      </c>
      <c r="E29" s="67">
        <f>IF(Test_Bible!B102=" ","",Test_Bible!P102)</f>
        <v/>
      </c>
      <c r="F29" s="1896">
        <f>BIBLE!E152</f>
        <v/>
      </c>
      <c r="G29" s="1517">
        <f>BIBLE!F152</f>
        <v/>
      </c>
      <c r="H29" s="67">
        <f>IF(Test_Bible!B264="","",Test_Bible!P264)</f>
        <v/>
      </c>
      <c r="I29" s="1900" t="n"/>
      <c r="J29" s="2465" t="n"/>
      <c r="M29" s="2559" t="n"/>
      <c r="N29" s="2559" t="n"/>
      <c r="O29" s="2559" t="n"/>
      <c r="P29" s="2343" t="n"/>
      <c r="Q29" s="2344" t="n"/>
      <c r="T29" s="1222" t="n">
        <v>2</v>
      </c>
      <c r="U29" s="1446" t="inlineStr">
        <is>
          <t>Légère dégradation</t>
        </is>
      </c>
      <c r="V29" s="1222" t="n"/>
      <c r="W29" s="1222" t="n"/>
      <c r="X29" s="1222" t="n"/>
      <c r="AE29" s="2516" t="n">
        <v>1</v>
      </c>
      <c r="AF29" s="2516" t="n">
        <v>2</v>
      </c>
      <c r="AG29" s="2516" t="n">
        <v>3</v>
      </c>
      <c r="AH29" s="2516" t="n">
        <v>4</v>
      </c>
      <c r="AI29" s="2516" t="n">
        <v>5</v>
      </c>
      <c r="AJ29" s="2516" t="n">
        <v>6</v>
      </c>
      <c r="AK29" s="2516" t="n">
        <v>7</v>
      </c>
      <c r="AL29" s="2516" t="n">
        <v>8</v>
      </c>
      <c r="AM29" s="2516" t="n">
        <v>9</v>
      </c>
      <c r="AN29" s="2516" t="n">
        <v>10</v>
      </c>
    </row>
    <row r="30" ht="19" customHeight="1" s="2456">
      <c r="A30" s="2496" t="n"/>
      <c r="C30" s="510" t="n"/>
      <c r="F30" s="1909" t="n"/>
      <c r="H30" s="67" t="n"/>
      <c r="I30" s="1899" t="n"/>
      <c r="J30" s="2465" t="n"/>
      <c r="M30" s="2559" t="n"/>
      <c r="N30" s="2559" t="n"/>
      <c r="O30" s="2559" t="n"/>
      <c r="P30" s="2343" t="n"/>
      <c r="Q30" s="2344" t="n"/>
      <c r="T30" s="1222" t="n">
        <v>3</v>
      </c>
      <c r="U30" s="1446" t="inlineStr">
        <is>
          <t>Légère dégradation</t>
        </is>
      </c>
      <c r="V30" s="1222" t="n"/>
      <c r="W30" s="1222" t="n"/>
      <c r="X30" s="1222" t="n"/>
      <c r="AA30" s="2600" t="inlineStr">
        <is>
          <t>Avant la séparation</t>
        </is>
      </c>
      <c r="AB30" s="2" t="inlineStr">
        <is>
          <t>Mauvais</t>
        </is>
      </c>
      <c r="AD30" s="2481"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598" t="inlineStr">
        <is>
          <t>Amélioration</t>
        </is>
      </c>
    </row>
    <row r="31" ht="36" customHeight="1" s="2456">
      <c r="A31" s="58" t="n"/>
      <c r="D31" s="2" t="inlineStr">
        <is>
          <t>Max entre les comportments</t>
        </is>
      </c>
      <c r="E31" s="1817">
        <f>MAX(E29:E30)</f>
        <v/>
      </c>
      <c r="G31" s="2" t="inlineStr">
        <is>
          <t>Max entre les comportments</t>
        </is>
      </c>
      <c r="H31" s="1227">
        <f>MAX(H29:H30)</f>
        <v/>
      </c>
      <c r="I31" s="1901">
        <f>IF(E31=0,"Ne peut statuer",VLOOKUP(E31,Echelle_Lineaire_Diff,H31+1))</f>
        <v/>
      </c>
      <c r="J31" s="2465" t="n"/>
      <c r="M31" s="2559" t="n"/>
      <c r="N31" s="2559" t="n"/>
      <c r="O31" s="2559" t="n"/>
      <c r="P31" s="2343" t="n"/>
      <c r="Q31" s="2344" t="n"/>
      <c r="T31" s="1222" t="n">
        <v>4</v>
      </c>
      <c r="U31" s="1446" t="inlineStr">
        <is>
          <t xml:space="preserve">Dégradation significative </t>
        </is>
      </c>
      <c r="V31" s="1222" t="n"/>
      <c r="W31" s="1222" t="n"/>
      <c r="X31" s="1222" t="n"/>
      <c r="AB31" s="2" t="n"/>
      <c r="AD31" s="2481"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65" t="n"/>
      <c r="M32" s="2559" t="n"/>
      <c r="N32" s="2559" t="n"/>
      <c r="O32" s="2559" t="n"/>
      <c r="P32" s="2343" t="n"/>
      <c r="Q32" s="2344" t="n"/>
      <c r="T32" s="1222" t="n">
        <v>5</v>
      </c>
      <c r="U32" s="1446" t="inlineStr">
        <is>
          <t xml:space="preserve">Dégradation significative </t>
        </is>
      </c>
      <c r="V32" s="1222" t="n"/>
      <c r="W32" s="1222" t="n"/>
      <c r="X32" s="1222" t="n"/>
      <c r="AB32" s="2" t="n"/>
      <c r="AD32" s="2481"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56">
      <c r="A33" s="2564" t="inlineStr">
        <is>
          <t>Échelle 1 à 10 : Aucune à excellente</t>
        </is>
      </c>
      <c r="B33" s="2559" t="inlineStr">
        <is>
          <t>Fusion de l'enfant et du co-parent</t>
        </is>
      </c>
      <c r="C33" s="510">
        <f>BIBLE!E43</f>
        <v/>
      </c>
      <c r="D33" s="2578">
        <f>BIBLE!G43</f>
        <v/>
      </c>
      <c r="E33" s="67">
        <f>IF(Test_Bible!B101=" ","",Test_Bible!P101)</f>
        <v/>
      </c>
      <c r="F33" s="1896">
        <f>Test_Bible!A166</f>
        <v/>
      </c>
      <c r="G33" s="1517">
        <f>Test_Bible!B166</f>
        <v/>
      </c>
      <c r="H33" s="67">
        <f>IF(Test_Bible!B166="","",Test_Bible!P166)</f>
        <v/>
      </c>
      <c r="I33" s="1900" t="n"/>
      <c r="J33" s="2465" t="n"/>
      <c r="M33" s="2559" t="n"/>
      <c r="N33" s="2559" t="n"/>
      <c r="O33" s="2559" t="n"/>
      <c r="P33" s="2343" t="n"/>
      <c r="Q33" s="2344" t="n"/>
      <c r="T33" s="1222" t="n">
        <v>6</v>
      </c>
      <c r="U33" s="1446" t="inlineStr">
        <is>
          <t>Dégradation importante</t>
        </is>
      </c>
      <c r="V33" s="1222" t="n"/>
      <c r="W33" s="1222" t="n"/>
      <c r="X33" s="1222" t="n"/>
      <c r="AB33" s="2" t="n"/>
      <c r="AD33" s="2481"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56">
      <c r="A34" s="2496" t="n"/>
      <c r="C34" s="510" t="n"/>
      <c r="F34" s="577">
        <f>BIBLE!E153</f>
        <v/>
      </c>
      <c r="G34" s="2578">
        <f>BIBLE!F153</f>
        <v/>
      </c>
      <c r="H34" s="67">
        <f>IF(Test_Bible!B265="","",Test_Bible!P265)</f>
        <v/>
      </c>
      <c r="I34" s="1899" t="n"/>
      <c r="J34" s="2465" t="n"/>
      <c r="M34" s="2559" t="n"/>
      <c r="N34" s="2559" t="n"/>
      <c r="O34" s="2559" t="n"/>
      <c r="P34" s="2343" t="n"/>
      <c r="Q34" s="2344" t="n"/>
      <c r="T34" s="1222" t="n">
        <v>7</v>
      </c>
      <c r="U34" s="1446" t="inlineStr">
        <is>
          <t>Dégradation importante</t>
        </is>
      </c>
      <c r="V34" s="1222" t="n"/>
      <c r="W34" s="1222" t="n"/>
      <c r="X34" s="1375" t="n"/>
      <c r="AB34" s="2" t="n"/>
      <c r="AD34" s="2481"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65" t="n"/>
      <c r="M35" s="2559" t="n"/>
      <c r="N35" s="2559" t="n"/>
      <c r="O35" s="2559" t="n"/>
      <c r="P35" s="2343" t="n"/>
      <c r="Q35" s="2344" t="n"/>
      <c r="T35" s="1222" t="n">
        <v>8</v>
      </c>
      <c r="U35" s="1446" t="inlineStr">
        <is>
          <t>Dégradation importante</t>
        </is>
      </c>
      <c r="V35" s="1222" t="n"/>
      <c r="W35" s="1222" t="n"/>
      <c r="X35" s="1375" t="n"/>
      <c r="AB35" s="2" t="n"/>
      <c r="AD35" s="2481"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65" t="n"/>
      <c r="M36" s="2559" t="n"/>
      <c r="N36" s="2559" t="n"/>
      <c r="O36" s="2559" t="n"/>
      <c r="P36" s="2343" t="n"/>
      <c r="Q36" s="2344" t="n"/>
      <c r="T36" s="1222" t="n">
        <v>9</v>
      </c>
      <c r="U36" s="1446" t="inlineStr">
        <is>
          <t>Dégradation importante</t>
        </is>
      </c>
      <c r="V36" s="1222" t="n"/>
      <c r="W36" s="1222" t="n"/>
      <c r="X36" s="1375" t="n"/>
      <c r="AB36" s="53" t="n"/>
      <c r="AD36" s="2481"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56">
      <c r="A37" s="2564" t="inlineStr">
        <is>
          <t>Échelle 1 à 10 : Aucune à excellente</t>
        </is>
      </c>
      <c r="B37" s="2559" t="inlineStr">
        <is>
          <t>Complicité du co-parent et de l'enfant</t>
        </is>
      </c>
      <c r="C37" s="510">
        <f>BIBLE!E42</f>
        <v/>
      </c>
      <c r="D37" s="2578">
        <f>BIBLE!F42</f>
        <v/>
      </c>
      <c r="E37" s="67">
        <f>IF(Test_Bible!B100=" ","",Test_Bible!P100)</f>
        <v/>
      </c>
      <c r="F37" s="1896">
        <f>BIBLE!E81</f>
        <v/>
      </c>
      <c r="G37" s="1517">
        <f>BIBLE!F81</f>
        <v/>
      </c>
      <c r="H37" s="67">
        <f>IF(Test_Bible!B165="","",Test_Bible!P165)</f>
        <v/>
      </c>
      <c r="I37" s="1900" t="n"/>
      <c r="J37" s="2465" t="n"/>
      <c r="M37" s="2559" t="n"/>
      <c r="N37" s="2559" t="n"/>
      <c r="O37" s="2559" t="n"/>
      <c r="P37" s="2343" t="n"/>
      <c r="Q37" s="2344" t="n"/>
      <c r="T37" s="1222" t="n">
        <v>10</v>
      </c>
      <c r="U37" s="1446" t="inlineStr">
        <is>
          <t>Dégradation importante</t>
        </is>
      </c>
      <c r="V37" s="1222" t="n"/>
      <c r="W37" s="1222" t="n"/>
      <c r="X37" s="1375" t="n"/>
      <c r="AB37" s="53" t="n"/>
      <c r="AD37" s="2481"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56">
      <c r="A38" s="2496" t="n"/>
      <c r="C38" s="510" t="n"/>
      <c r="D38" s="2578" t="n"/>
      <c r="E38" s="67" t="n"/>
      <c r="F38" s="1909" t="n"/>
      <c r="H38" s="67" t="n"/>
      <c r="I38" s="1899" t="n"/>
      <c r="J38" s="2465" t="n"/>
      <c r="P38" s="2339" t="n"/>
      <c r="Q38" s="2340" t="n"/>
      <c r="T38" s="1678" t="inlineStr">
        <is>
          <t>Avant</t>
        </is>
      </c>
      <c r="U38" s="1677" t="n"/>
      <c r="V38" s="1677" t="n"/>
      <c r="W38" s="1677" t="n"/>
      <c r="X38" s="1677" t="n"/>
      <c r="AB38" s="53" t="n"/>
      <c r="AD38" s="2481"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56">
      <c r="A39" s="58" t="n"/>
      <c r="D39" s="2" t="inlineStr">
        <is>
          <t>Max entre les comportments</t>
        </is>
      </c>
      <c r="E39" s="1817">
        <f>MAX(E37:E38)</f>
        <v/>
      </c>
      <c r="G39" s="2" t="inlineStr">
        <is>
          <t>Max entre les comportments</t>
        </is>
      </c>
      <c r="H39" s="1227">
        <f>MAX(H37:H38)</f>
        <v/>
      </c>
      <c r="I39" s="1901">
        <f>IF(E39=0,"Ne peut statuer",VLOOKUP(E39,Echelle_Lineaire_Diff,H39+1))</f>
        <v/>
      </c>
      <c r="J39" s="2465" t="n"/>
      <c r="P39" s="2339" t="n"/>
      <c r="Q39" s="2340" t="n"/>
      <c r="T39" s="1678" t="n">
        <v>0</v>
      </c>
      <c r="U39" s="1446" t="inlineStr">
        <is>
          <t>Il n'est pas possible de statuer puisque l'historique est absent</t>
        </is>
      </c>
      <c r="V39" s="1677" t="n"/>
      <c r="W39" s="1677" t="n"/>
      <c r="X39" s="1677" t="n"/>
      <c r="AB39" s="53" t="inlineStr">
        <is>
          <t>Excellent</t>
        </is>
      </c>
      <c r="AD39" s="2481"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56">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24" t="inlineStr">
        <is>
          <t>Zone baromètre</t>
        </is>
      </c>
      <c r="U40" s="2469" t="n"/>
      <c r="V40" s="2469" t="n"/>
      <c r="W40" s="2469" t="n"/>
      <c r="X40" s="2469" t="n"/>
      <c r="AA40" s="2603" t="n"/>
      <c r="AB40" s="53" t="n"/>
      <c r="AD40" s="2465" t="n"/>
      <c r="AE40" s="2599" t="inlineStr">
        <is>
          <t>Détérioration</t>
        </is>
      </c>
      <c r="AN40" s="47" t="n"/>
    </row>
    <row r="41">
      <c r="A41" s="58" t="n"/>
      <c r="I41" s="1899" t="n"/>
      <c r="J41" s="2465" t="n"/>
      <c r="P41" s="2339" t="n"/>
      <c r="Q41" s="2340" t="n"/>
      <c r="U41" t="inlineStr">
        <is>
          <t>Avant</t>
        </is>
      </c>
      <c r="V41" t="inlineStr">
        <is>
          <t>Après</t>
        </is>
      </c>
      <c r="W41" t="inlineStr">
        <is>
          <t>Écart</t>
        </is>
      </c>
      <c r="X41" t="inlineStr">
        <is>
          <t>Résultat</t>
        </is>
      </c>
      <c r="AB41" s="53" t="n"/>
      <c r="AD41" s="2465" t="n"/>
      <c r="AO41" s="2117" t="inlineStr">
        <is>
          <t>Pas de changement</t>
        </is>
      </c>
    </row>
    <row r="42" ht="28" customHeight="1" s="2456">
      <c r="L42" s="34" t="inlineStr">
        <is>
          <t>Zone Sommaire des baromètres présentant les changements de relation entre l'enfant avec ses deux parents et les membres de sa famille élargie.</t>
        </is>
      </c>
      <c r="P42" s="2339" t="n"/>
      <c r="Q42" s="2340" t="n"/>
    </row>
    <row r="43" ht="28" customHeight="1" s="2456">
      <c r="L43" t="inlineStr">
        <is>
          <t>Cette zone permet de consolider les conseils, drapeaux et références associés au baromètre dans son ensemble</t>
        </is>
      </c>
      <c r="P43" s="2339" t="n"/>
      <c r="Q43" s="2340" t="n"/>
    </row>
    <row r="44" ht="35" customHeight="1" s="2456">
      <c r="M44" s="2098" t="n"/>
      <c r="N44" s="2098" t="n"/>
      <c r="O44" s="2098" t="n"/>
      <c r="P44" s="2345" t="n"/>
      <c r="Q44" s="2346" t="n"/>
    </row>
    <row r="45" ht="35" customHeight="1" s="2456">
      <c r="L45" s="2191" t="inlineStr">
        <is>
          <t>Condition d'ouverture</t>
        </is>
      </c>
      <c r="M45" s="2098" t="n"/>
      <c r="N45" s="2098" t="n"/>
      <c r="O45" s="2098" t="n"/>
      <c r="P45" s="2345" t="n"/>
      <c r="Q45" s="2346" t="n"/>
    </row>
    <row r="46" ht="38" customHeight="1" s="2456">
      <c r="L46" s="2469" t="inlineStr">
        <is>
          <t>Conseils généraux</t>
        </is>
      </c>
      <c r="M46" s="2123" t="n"/>
      <c r="N46" s="2123" t="n"/>
      <c r="O46" s="2123" t="n"/>
      <c r="P46" s="2341" t="n"/>
      <c r="Q46" s="2342" t="n"/>
    </row>
    <row r="47" ht="38" customHeight="1" s="2456">
      <c r="L47" s="2469" t="inlineStr">
        <is>
          <t>Drapeaux jaunes</t>
        </is>
      </c>
      <c r="M47" s="2123" t="n"/>
      <c r="N47" s="2123" t="n"/>
      <c r="O47" s="2123" t="n"/>
      <c r="P47" s="2341" t="n"/>
      <c r="Q47" s="2342" t="n"/>
    </row>
    <row r="48" ht="43" customHeight="1" s="2456">
      <c r="L48" s="2469" t="inlineStr">
        <is>
          <t>Drapeau rouges</t>
        </is>
      </c>
      <c r="M48" s="2123" t="n"/>
      <c r="N48" s="2123" t="n"/>
      <c r="O48" s="2123" t="n"/>
      <c r="P48" s="2341" t="n"/>
      <c r="Q48" s="2342" t="n"/>
    </row>
    <row r="49" ht="43" customHeight="1" s="2456">
      <c r="L49" t="inlineStr">
        <is>
          <t>Références</t>
        </is>
      </c>
      <c r="M49" s="2123" t="n"/>
      <c r="N49" s="2123" t="n"/>
      <c r="O49" s="2123" t="n"/>
      <c r="P49" s="2341" t="n"/>
      <c r="Q49" s="2342" t="n"/>
    </row>
    <row r="50" ht="43" customHeight="1" s="2456">
      <c r="P50" s="2339" t="n"/>
      <c r="Q50" s="2340" t="n"/>
    </row>
    <row r="51" ht="43" customHeight="1" s="2456">
      <c r="P51" s="2339" t="n"/>
      <c r="Q51" s="2340" t="n"/>
    </row>
    <row r="52" ht="43" customHeight="1" s="2456">
      <c r="P52" s="2339" t="n"/>
      <c r="Q52" s="2340" t="n"/>
    </row>
    <row r="53" ht="43" customHeight="1" s="2456">
      <c r="L53" s="49" t="inlineStr">
        <is>
          <t>Cette indice devrait venir se greffer au baromètre des comportements miroirs des parents.</t>
        </is>
      </c>
      <c r="P53" s="2339" t="n"/>
      <c r="Q53" s="2340" t="n"/>
    </row>
    <row r="54" ht="30" customHeight="1" s="2456">
      <c r="A54" s="58" t="n"/>
      <c r="B54" s="2595" t="inlineStr">
        <is>
          <t>Différentiel entre le coparent et le parent répondant</t>
        </is>
      </c>
      <c r="I54" s="2567" t="n"/>
      <c r="J54" s="2465" t="n"/>
      <c r="M54" s="246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56">
      <c r="A55" s="58" t="n"/>
      <c r="B55" s="2274" t="n"/>
      <c r="C55" s="2274" t="n"/>
      <c r="D55" s="2274" t="n"/>
      <c r="E55" s="2274" t="n"/>
      <c r="F55" s="2274" t="n"/>
      <c r="G55" s="2274" t="n"/>
      <c r="H55" s="2274" t="n"/>
      <c r="I55" s="2595" t="n"/>
      <c r="J55" s="2465" t="n"/>
      <c r="M55" s="2464" t="inlineStr">
        <is>
          <t>Dégradation &lt; -2</t>
        </is>
      </c>
      <c r="N55" s="2464" t="inlineStr">
        <is>
          <t>Peu ou pas de changement entre -2 et +2</t>
        </is>
      </c>
      <c r="O55" s="2464" t="inlineStr">
        <is>
          <t>Amélioration &gt;+2</t>
        </is>
      </c>
      <c r="P55" s="2336" t="n"/>
      <c r="Q55" s="1365" t="n"/>
      <c r="AF55" s="2" t="n"/>
      <c r="AG55" s="55" t="n"/>
      <c r="AH55" s="55" t="n"/>
      <c r="AI55" s="55" t="n"/>
    </row>
    <row r="56" ht="51" customHeight="1" s="2456">
      <c r="A56" s="2564" t="inlineStr">
        <is>
          <t>Échelle Exponentielle concordante (bon à mauvais)</t>
        </is>
      </c>
      <c r="B56" s="2559" t="inlineStr">
        <is>
          <t>Perception des rôles parentaux</t>
        </is>
      </c>
      <c r="C56" s="510">
        <f>BIBLE!E47</f>
        <v/>
      </c>
      <c r="D56" s="2578">
        <f>BIBLE!F47</f>
        <v/>
      </c>
      <c r="E56" s="67">
        <f>IF(Test_Bible!B106=" ","",Test_Bible!P106)</f>
        <v/>
      </c>
      <c r="F56" s="1896">
        <f>BIBLE!E119</f>
        <v/>
      </c>
      <c r="G56" s="1517">
        <f>BIBLE!F119</f>
        <v/>
      </c>
      <c r="H56" s="67">
        <f>IF(Test_Bible!B205="","",Test_Bible!P205)</f>
        <v/>
      </c>
      <c r="I56" s="1900" t="n"/>
      <c r="J56" s="246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56">
      <c r="A57" s="2496" t="n"/>
      <c r="C57" s="510">
        <f>BIBLE!E48</f>
        <v/>
      </c>
      <c r="D57" s="2559">
        <f>BIBLE!F48</f>
        <v/>
      </c>
      <c r="E57" s="67">
        <f>IF(Test_Bible!B107=" ","",Test_Bible!P107)</f>
        <v/>
      </c>
      <c r="F57" s="1909" t="n"/>
      <c r="H57" s="67" t="n"/>
      <c r="I57" s="1899" t="n"/>
      <c r="J57" s="2465" t="n"/>
      <c r="M57" s="2559" t="n"/>
      <c r="N57" s="2559" t="n"/>
      <c r="O57" s="2559"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65" t="n"/>
      <c r="M58" s="2559" t="n"/>
      <c r="N58" s="2559" t="n"/>
      <c r="O58" s="2559"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65" t="n"/>
      <c r="M59" s="2559" t="n"/>
      <c r="N59" s="2559" t="n"/>
      <c r="O59" s="2559" t="n"/>
      <c r="P59" s="2343" t="n"/>
      <c r="Q59" s="2344" t="n"/>
    </row>
    <row r="60" ht="34" customHeight="1" s="2456">
      <c r="A60" s="2564" t="inlineStr">
        <is>
          <t>Échelle Exponentielle concordante (bon à mauvais)</t>
        </is>
      </c>
      <c r="B60" s="2469" t="inlineStr">
        <is>
          <t>Critique et dénigrement</t>
        </is>
      </c>
      <c r="C60" s="510">
        <f>BIBLE!E45</f>
        <v/>
      </c>
      <c r="D60" s="2578">
        <f>BIBLE!F45</f>
        <v/>
      </c>
      <c r="E60" s="67">
        <f>IF(Test_Bible!B104=" ","",Test_Bible!P104)</f>
        <v/>
      </c>
      <c r="F60" s="1896">
        <f>BIBLE!E100</f>
        <v/>
      </c>
      <c r="G60" s="1517">
        <f>BIBLE!F100</f>
        <v/>
      </c>
      <c r="H60" s="67">
        <f>IF(Test_Bible!B186="","",Test_Bible!P186)</f>
        <v/>
      </c>
      <c r="I60" s="1900" t="n"/>
      <c r="J60" s="2465" t="n"/>
      <c r="M60" s="2559" t="n"/>
      <c r="N60" s="2559" t="n"/>
      <c r="O60" s="2559" t="n"/>
      <c r="P60" s="2343" t="n"/>
      <c r="Q60" s="2344" t="n"/>
    </row>
    <row r="61">
      <c r="A61" s="2496" t="n"/>
      <c r="C61" s="510" t="n"/>
      <c r="F61" s="1909" t="n"/>
      <c r="H61" s="67" t="n"/>
      <c r="I61" s="1899" t="n"/>
      <c r="J61" s="2465" t="n"/>
      <c r="M61" s="2559" t="n"/>
      <c r="N61" s="2559" t="n"/>
      <c r="O61" s="2559" t="n"/>
      <c r="P61" s="2343" t="n"/>
      <c r="Q61" s="2344" t="n"/>
    </row>
    <row r="62" ht="31" customHeight="1" s="2456">
      <c r="D62" s="2" t="inlineStr">
        <is>
          <t>Max entre les comportments</t>
        </is>
      </c>
      <c r="E62" s="1817">
        <f>MAX(E60)</f>
        <v/>
      </c>
      <c r="G62" s="2" t="inlineStr">
        <is>
          <t>Max entre les comportments</t>
        </is>
      </c>
      <c r="H62" s="1227">
        <f>MAX(H60:H61)</f>
        <v/>
      </c>
      <c r="I62" s="1901">
        <f>IF(E62=0,"Ne peut statuer",VLOOKUP(E62,Échelle_Exp_Diff,HLOOKUP(H62,$AD$10:$AJ$11,2)))</f>
        <v/>
      </c>
      <c r="J62" s="2465" t="n"/>
      <c r="P62" s="2339" t="n"/>
      <c r="Q62" s="2340" t="n"/>
    </row>
    <row r="63" ht="60" customFormat="1" customHeight="1" s="2469"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56">
      <c r="L65" s="2469" t="inlineStr">
        <is>
          <t>Conseils généraux</t>
        </is>
      </c>
      <c r="M65" s="2123" t="n"/>
      <c r="N65" s="2123" t="n"/>
      <c r="O65" s="2123" t="n"/>
      <c r="P65" s="2123" t="n"/>
      <c r="Q65" s="2123" t="n"/>
    </row>
    <row r="66" ht="41" customHeight="1" s="2456">
      <c r="L66" t="inlineStr">
        <is>
          <t>Références</t>
        </is>
      </c>
      <c r="M66" s="2123" t="n"/>
      <c r="N66" s="2123" t="n"/>
      <c r="O66" s="2123" t="n"/>
      <c r="P66" s="2123" t="n"/>
      <c r="Q66" s="2123" t="n"/>
      <c r="T66" s="2469" t="n"/>
      <c r="U66" s="2469" t="n"/>
      <c r="V66" s="2469" t="n"/>
      <c r="W66" s="2469" t="n"/>
      <c r="X66" s="2469"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56" min="1" max="1"/>
    <col width="26.1640625" customWidth="1" style="2456" min="2" max="2"/>
    <col width="35.83203125" customWidth="1" style="2456" min="3" max="3"/>
    <col width="31.6640625" customWidth="1" style="2465" min="4" max="4"/>
    <col width="31.6640625" customWidth="1" style="2456" min="5" max="5"/>
    <col width="31.6640625" customWidth="1" style="2457" min="6" max="6"/>
    <col width="42.33203125" customWidth="1" style="2457"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7"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71" t="inlineStr">
        <is>
          <t>Présentation du baromètre (À propos)</t>
        </is>
      </c>
      <c r="C6" s="2605"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56" thickBot="1">
      <c r="A7" s="1717" t="n"/>
      <c r="C7" s="1745" t="n"/>
      <c r="J7" s="1752" t="n"/>
    </row>
    <row r="8" ht="35" customHeight="1" s="2456">
      <c r="C8" s="55" t="n"/>
      <c r="D8" s="2606" t="inlineStr">
        <is>
          <t>Bloc constats</t>
        </is>
      </c>
      <c r="E8" s="2480" t="n"/>
      <c r="F8" s="2480" t="n"/>
      <c r="G8" s="2349" t="n"/>
      <c r="H8" s="2552" t="n"/>
    </row>
    <row r="9" ht="70" customHeight="1" s="2456">
      <c r="C9" s="53" t="inlineStr">
        <is>
          <t>Introduction=&gt;</t>
        </is>
      </c>
      <c r="D9" s="2607"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56">
      <c r="B10" s="2517" t="inlineStr">
        <is>
          <t>Nature des comportements aliénants des parents</t>
        </is>
      </c>
      <c r="C10" s="2517" t="inlineStr">
        <is>
          <t>Nature des comportements réactifs de l'enfant</t>
        </is>
      </c>
      <c r="D10" s="2517" t="n"/>
      <c r="E10" s="2517" t="n"/>
      <c r="F10" s="2517" t="n"/>
      <c r="G10" s="2328" t="n"/>
      <c r="H10" s="2567" t="n"/>
    </row>
    <row r="11" ht="57" customHeight="1" s="2456">
      <c r="A11" t="inlineStr">
        <is>
          <t>Comportemental</t>
        </is>
      </c>
      <c r="B11" s="408">
        <f>Test_Bible!AH433</f>
        <v/>
      </c>
      <c r="C11" s="408">
        <f>Test_Bible!AH458</f>
        <v/>
      </c>
      <c r="G11" s="2328" t="n"/>
      <c r="H11" s="2567" t="n"/>
    </row>
    <row r="12" ht="57" customHeight="1" s="2456">
      <c r="A12" t="inlineStr">
        <is>
          <t>Émotif</t>
        </is>
      </c>
      <c r="B12" s="408">
        <f>Test_Bible!AI433</f>
        <v/>
      </c>
      <c r="C12" s="408">
        <f>Test_Bible!AI458</f>
        <v/>
      </c>
      <c r="G12" s="2328" t="n"/>
      <c r="H12" s="2567" t="n"/>
    </row>
    <row r="13" ht="57" customHeight="1" s="2456" thickBot="1">
      <c r="A13" t="inlineStr">
        <is>
          <t>Verbal</t>
        </is>
      </c>
      <c r="B13" s="408">
        <f>Test_Bible!AJ433</f>
        <v/>
      </c>
      <c r="C13" s="408">
        <f>Test_Bible!AJ458</f>
        <v/>
      </c>
      <c r="G13" s="2352" t="n"/>
      <c r="H13" s="295" t="n"/>
    </row>
    <row r="14" ht="52" customHeight="1" s="2456">
      <c r="C14" s="53" t="inlineStr">
        <is>
          <t>Conseils généraux</t>
        </is>
      </c>
      <c r="D14" s="1448" t="n"/>
      <c r="E14" s="1446" t="n"/>
      <c r="F14" s="1447" t="n"/>
    </row>
    <row r="15" ht="42" customHeight="1" s="2456">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0" min="2" max="2"/>
    <col width="13.83203125" customWidth="1" style="2456" min="3" max="3"/>
    <col width="51" customWidth="1" style="2456" min="4" max="4"/>
    <col width="9.33203125" customWidth="1" style="2457" min="5" max="5"/>
    <col width="8.1640625" customWidth="1" style="2457" min="6" max="6"/>
    <col width="13.1640625" customWidth="1" style="2456" min="7" max="7"/>
    <col width="2.6640625" customWidth="1" style="2456" min="8" max="8"/>
    <col width="47.6640625" customWidth="1" style="2456" min="10" max="10"/>
    <col width="9.5" customWidth="1" style="2457" min="11" max="12"/>
    <col width="16.1640625" customWidth="1" style="2456" min="13" max="13"/>
    <col width="3.33203125" customWidth="1" style="2456" min="14" max="14"/>
    <col width="19.6640625" customWidth="1" style="2456" min="15" max="15"/>
    <col width="70.83203125" customWidth="1" style="2456" min="16" max="16"/>
    <col width="9.6640625" customWidth="1" style="2457" min="17" max="18"/>
    <col width="14" customWidth="1" style="2456" min="19" max="19"/>
    <col width="4.6640625" customWidth="1" style="2456" min="20" max="20"/>
    <col width="8.33203125" customWidth="1" style="2456" min="21" max="21"/>
    <col width="57" bestFit="1" customWidth="1" style="2456" min="22" max="22"/>
    <col width="10.33203125" customWidth="1" style="2457"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56"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56">
      <c r="A8" s="2016" t="n">
        <v>1</v>
      </c>
      <c r="B8" s="617" t="inlineStr">
        <is>
          <t>Demande de garder des secrets</t>
        </is>
      </c>
      <c r="C8" s="607">
        <f>BIBLE!E84</f>
        <v/>
      </c>
      <c r="D8" s="1204">
        <f>BIBLE!F84</f>
        <v/>
      </c>
      <c r="E8" s="1942">
        <f>Test_Bible!P170</f>
        <v/>
      </c>
      <c r="F8" s="607">
        <f>Test_Bible!D170</f>
        <v/>
      </c>
      <c r="G8" s="619">
        <f>BIBLE!V84</f>
        <v/>
      </c>
      <c r="H8" s="2541" t="n"/>
      <c r="I8" s="2541" t="n"/>
      <c r="J8" s="2541" t="n"/>
      <c r="K8" s="2540" t="n"/>
      <c r="L8" s="2540" t="n"/>
      <c r="M8" s="2541" t="n"/>
      <c r="N8" s="1915" t="n"/>
      <c r="O8" s="1130">
        <f>BIBLE!E154</f>
        <v/>
      </c>
      <c r="P8" s="1131">
        <f>BIBLE!F154</f>
        <v/>
      </c>
      <c r="Q8" s="1967">
        <f>Test_Bible!P267</f>
        <v/>
      </c>
      <c r="R8" s="1966">
        <f>Test_Bible!D267</f>
        <v/>
      </c>
      <c r="S8" s="1132">
        <f>BIBLE!V154</f>
        <v/>
      </c>
      <c r="T8" s="1732" t="n"/>
      <c r="U8" s="2541" t="n"/>
      <c r="V8" s="2541" t="n"/>
      <c r="W8" s="2540" t="n"/>
      <c r="X8" s="2540" t="n"/>
      <c r="Y8" s="2552" t="n"/>
    </row>
    <row r="9" ht="35" customHeight="1" s="2456" thickBot="1">
      <c r="A9" s="2016" t="n"/>
      <c r="B9" s="621" t="n"/>
      <c r="C9" s="609" t="n"/>
      <c r="D9" s="1205" t="n"/>
      <c r="E9" s="609" t="n"/>
      <c r="F9" s="609" t="n"/>
      <c r="G9" s="608" t="n"/>
      <c r="H9" s="2462" t="n"/>
      <c r="I9" s="2462" t="n"/>
      <c r="J9" s="2462" t="n"/>
      <c r="K9" s="2542" t="n"/>
      <c r="L9" s="2542" t="n"/>
      <c r="M9" s="2462" t="n"/>
      <c r="N9" s="1917" t="n"/>
      <c r="O9" s="1134">
        <f>BIBLE!E155</f>
        <v/>
      </c>
      <c r="P9" s="622">
        <f>BIBLE!F155</f>
        <v/>
      </c>
      <c r="Q9" s="637">
        <f>Test_Bible!P268</f>
        <v/>
      </c>
      <c r="R9" s="637">
        <f>Test_Bible!D268</f>
        <v/>
      </c>
      <c r="S9" s="1135">
        <f>BIBLE!V155</f>
        <v/>
      </c>
      <c r="T9" s="293" t="n"/>
      <c r="U9" s="2462" t="n"/>
      <c r="V9" s="2462" t="n"/>
      <c r="W9" s="2542" t="n"/>
      <c r="X9" s="2542" t="n"/>
      <c r="Y9" s="295" t="n"/>
    </row>
    <row r="10" ht="30" customHeight="1" s="2456" thickBot="1">
      <c r="A10" s="2016" t="n"/>
      <c r="C10" s="2520" t="n"/>
      <c r="D10" s="2580" t="n"/>
      <c r="E10" s="2520" t="n"/>
      <c r="F10" s="2520" t="n"/>
      <c r="G10" s="598" t="n"/>
      <c r="O10" s="494" t="n"/>
      <c r="P10" s="2578" t="n"/>
      <c r="Q10" s="2520" t="n"/>
      <c r="R10" s="2520" t="n"/>
      <c r="S10" s="1136" t="n"/>
    </row>
    <row r="11" ht="56" customHeight="1" s="2456">
      <c r="A11" s="2016" t="n">
        <v>2</v>
      </c>
      <c r="B11" s="617" t="inlineStr">
        <is>
          <t>Abandon de la famille</t>
        </is>
      </c>
      <c r="C11" s="607">
        <f>BIBLE!E85</f>
        <v/>
      </c>
      <c r="D11" s="1204">
        <f>BIBLE!F85</f>
        <v/>
      </c>
      <c r="E11" s="1942">
        <f>Test_Bible!P171</f>
        <v/>
      </c>
      <c r="F11" s="607">
        <f>Test_Bible!D171</f>
        <v/>
      </c>
      <c r="G11" s="645">
        <f>BIBLE!V85</f>
        <v/>
      </c>
      <c r="H11" s="2541" t="n"/>
      <c r="I11" s="2541" t="n"/>
      <c r="J11" s="2541" t="n"/>
      <c r="K11" s="2540" t="n"/>
      <c r="L11" s="2540" t="n"/>
      <c r="M11" s="2541" t="n"/>
      <c r="N11" s="1915" t="n"/>
      <c r="O11" s="1130">
        <f>BIBLE!E161</f>
        <v/>
      </c>
      <c r="P11" s="1131">
        <f>BIBLE!F161</f>
        <v/>
      </c>
      <c r="Q11" s="1967">
        <f>Test_Bible!P278</f>
        <v/>
      </c>
      <c r="R11" s="1966">
        <f>Test_Bible!D278</f>
        <v/>
      </c>
      <c r="S11" s="1137">
        <f>BIBLE!V161</f>
        <v/>
      </c>
      <c r="T11" s="1732" t="n"/>
      <c r="U11" s="2541" t="n"/>
      <c r="V11" s="2541" t="n"/>
      <c r="W11" s="2540" t="n"/>
      <c r="X11" s="2540" t="n"/>
      <c r="Y11" s="2552" t="n"/>
    </row>
    <row r="12" ht="61" customHeight="1" s="2456" thickBot="1">
      <c r="A12" s="2016" t="n"/>
      <c r="B12" s="621" t="n"/>
      <c r="C12" s="637">
        <f>BIBLE!E86</f>
        <v/>
      </c>
      <c r="D12" s="1206">
        <f>BIBLE!F86</f>
        <v/>
      </c>
      <c r="E12" s="637">
        <f>Test_Bible!P172</f>
        <v/>
      </c>
      <c r="F12" s="637">
        <f>Test_Bible!D172</f>
        <v/>
      </c>
      <c r="G12" s="638">
        <f>BIBLE!V86</f>
        <v/>
      </c>
      <c r="H12" s="2462" t="n"/>
      <c r="I12" s="2462" t="n"/>
      <c r="J12" s="2462" t="n"/>
      <c r="K12" s="2542" t="n"/>
      <c r="L12" s="2542" t="n"/>
      <c r="M12" s="2462" t="n"/>
      <c r="N12" s="2462" t="n"/>
      <c r="O12" s="2462" t="n"/>
      <c r="P12" s="2462" t="n"/>
      <c r="Q12" s="2542" t="n"/>
      <c r="R12" s="2542" t="n"/>
      <c r="S12" s="295" t="n"/>
      <c r="T12" s="293" t="n"/>
      <c r="U12" s="2462" t="n"/>
      <c r="V12" s="2462" t="n"/>
      <c r="W12" s="2542" t="n"/>
      <c r="X12" s="2542" t="n"/>
      <c r="Y12" s="295" t="n"/>
    </row>
    <row r="13" ht="30" customHeight="1" s="2456" thickBot="1">
      <c r="A13" s="2016" t="n"/>
      <c r="C13" s="2520" t="n"/>
      <c r="D13" s="2580" t="n"/>
      <c r="E13" s="2520" t="n"/>
      <c r="F13" s="2520" t="n"/>
      <c r="G13" s="598" t="n"/>
    </row>
    <row r="14" ht="64" customHeight="1" s="2456"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56"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56"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56" thickBot="1">
      <c r="A17" s="2016" t="n"/>
      <c r="B17" s="680" t="n"/>
      <c r="C17" s="605" t="n"/>
      <c r="D17" s="680" t="n"/>
      <c r="E17" s="605" t="n"/>
      <c r="F17" s="605" t="n"/>
      <c r="G17" s="639" t="n"/>
      <c r="I17" s="2520" t="n"/>
      <c r="J17" s="2578" t="n"/>
      <c r="K17" s="2520" t="n"/>
      <c r="L17" s="2520" t="n"/>
      <c r="M17" s="598" t="n"/>
      <c r="O17" s="494" t="n"/>
      <c r="P17" s="2578" t="n"/>
      <c r="Q17" s="2520" t="n"/>
      <c r="R17" s="2520" t="n"/>
      <c r="S17" s="1136" t="n"/>
    </row>
    <row r="18" ht="45" customHeight="1" s="2456">
      <c r="A18" s="2016" t="n">
        <v>5</v>
      </c>
      <c r="B18" s="617" t="inlineStr">
        <is>
          <t>Modifications des faits et souvenirs</t>
        </is>
      </c>
      <c r="C18" s="607">
        <f>BIBLE!E89</f>
        <v/>
      </c>
      <c r="D18" s="1204">
        <f>BIBLE!F89</f>
        <v/>
      </c>
      <c r="E18" s="1942">
        <f>Test_Bible!P175</f>
        <v/>
      </c>
      <c r="F18" s="607">
        <f>Test_Bible!D175</f>
        <v/>
      </c>
      <c r="G18" s="645">
        <f>BIBLE!V89</f>
        <v/>
      </c>
      <c r="H18" s="2541" t="n"/>
      <c r="I18" s="2541" t="n"/>
      <c r="J18" s="2541" t="n"/>
      <c r="K18" s="2540" t="n"/>
      <c r="L18" s="2540" t="n"/>
      <c r="M18" s="2541" t="n"/>
      <c r="N18" s="1915" t="n"/>
      <c r="O18" s="1918">
        <f>BIBLE!E184</f>
        <v/>
      </c>
      <c r="P18" s="1170">
        <f>BIBLE!F184</f>
        <v/>
      </c>
      <c r="Q18" s="1949">
        <f>Test_Bible!P305</f>
        <v/>
      </c>
      <c r="R18" s="643">
        <f>Test_Bible!D305</f>
        <v/>
      </c>
      <c r="S18" s="1983">
        <f>BIBLE!V184</f>
        <v/>
      </c>
      <c r="T18" s="1732" t="n"/>
      <c r="U18" s="2541" t="n"/>
      <c r="V18" s="2541" t="n"/>
      <c r="W18" s="2540" t="n"/>
      <c r="X18" s="2540" t="n"/>
      <c r="Y18" s="2552" t="n"/>
    </row>
    <row r="19" ht="52" customHeight="1" s="2456" thickBot="1">
      <c r="A19" s="2016" t="n"/>
      <c r="B19" s="621" t="n"/>
      <c r="C19" s="637">
        <f>BIBLE!E90</f>
        <v/>
      </c>
      <c r="D19" s="1206">
        <f>BIBLE!F90</f>
        <v/>
      </c>
      <c r="E19" s="637">
        <f>Test_Bible!P176</f>
        <v/>
      </c>
      <c r="F19" s="637">
        <f>Test_Bible!D176</f>
        <v/>
      </c>
      <c r="G19" s="638">
        <f>BIBLE!V90</f>
        <v/>
      </c>
      <c r="H19" s="2462" t="n"/>
      <c r="I19" s="2462" t="n"/>
      <c r="J19" s="2462" t="n"/>
      <c r="K19" s="2542" t="n"/>
      <c r="L19" s="2542" t="n"/>
      <c r="M19" s="2462" t="n"/>
      <c r="N19" s="2462" t="n"/>
      <c r="O19" s="2462" t="n"/>
      <c r="P19" s="2462" t="n"/>
      <c r="Q19" s="2542" t="n"/>
      <c r="R19" s="2542" t="n"/>
      <c r="S19" s="295" t="n"/>
      <c r="T19" s="293" t="n"/>
      <c r="U19" s="2462" t="n"/>
      <c r="V19" s="2462" t="n"/>
      <c r="W19" s="2542" t="n"/>
      <c r="X19" s="2542" t="n"/>
      <c r="Y19" s="295" t="n"/>
    </row>
    <row r="20" ht="30" customHeight="1" s="2456" thickBot="1">
      <c r="A20" s="2016" t="n"/>
      <c r="C20" s="2520" t="n"/>
      <c r="D20" s="2580" t="n"/>
      <c r="E20" s="2520" t="n"/>
      <c r="F20" s="2520" t="n"/>
      <c r="G20" s="598" t="n"/>
    </row>
    <row r="21" ht="68" customHeight="1" s="2456">
      <c r="A21" s="2016" t="n">
        <v>6</v>
      </c>
      <c r="B21" s="617" t="inlineStr">
        <is>
          <t>Culpabilise l'enfant de son amour envers vous</t>
        </is>
      </c>
      <c r="C21" s="607">
        <f>BIBLE!E91</f>
        <v/>
      </c>
      <c r="D21" s="1204">
        <f>BIBLE!F91</f>
        <v/>
      </c>
      <c r="E21" s="1942">
        <f>Test_Bible!P177</f>
        <v/>
      </c>
      <c r="F21" s="607">
        <f>Test_Bible!D177</f>
        <v/>
      </c>
      <c r="G21" s="1149">
        <f>BIBLE!V91</f>
        <v/>
      </c>
      <c r="H21" s="2541" t="n"/>
      <c r="I21" s="2541" t="n"/>
      <c r="J21" s="2541" t="n"/>
      <c r="K21" s="2540" t="n"/>
      <c r="L21" s="2540" t="n"/>
      <c r="M21" s="2541" t="n"/>
      <c r="N21" s="1915" t="n"/>
      <c r="O21" s="1130">
        <f>BIBLE!E164</f>
        <v/>
      </c>
      <c r="P21" s="1131">
        <f>BIBLE!F164</f>
        <v/>
      </c>
      <c r="Q21" s="1967">
        <f>Test_Bible!P281</f>
        <v/>
      </c>
      <c r="R21" s="1966">
        <f>Test_Bible!D281</f>
        <v/>
      </c>
      <c r="S21" s="1150">
        <f>BIBLE!V164</f>
        <v/>
      </c>
      <c r="T21" s="1732" t="n"/>
      <c r="U21" s="2541" t="n"/>
      <c r="V21" s="2541" t="n"/>
      <c r="W21" s="2540" t="n"/>
      <c r="X21" s="2540" t="n"/>
      <c r="Y21" s="2552" t="n"/>
    </row>
    <row r="22" ht="34" customHeight="1" s="2456">
      <c r="A22" s="2016" t="n"/>
      <c r="B22" s="671" t="n"/>
      <c r="C22" s="503">
        <f>BIBLE!E92</f>
        <v/>
      </c>
      <c r="D22" s="692">
        <f>BIBLE!F92</f>
        <v/>
      </c>
      <c r="E22" s="503">
        <f>Test_Bible!P178</f>
        <v/>
      </c>
      <c r="F22" s="503">
        <f>Test_Bible!D178</f>
        <v/>
      </c>
      <c r="G22" s="1151">
        <f>BIBLE!V92</f>
        <v/>
      </c>
      <c r="O22" s="494" t="n"/>
      <c r="P22" s="2578" t="n"/>
      <c r="Q22" s="2520" t="n"/>
      <c r="R22" s="2520" t="n"/>
      <c r="S22" s="1152" t="n"/>
      <c r="T22" s="122" t="n"/>
      <c r="Y22" s="2567" t="n"/>
    </row>
    <row r="23" ht="35" customHeight="1" s="2456" thickBot="1">
      <c r="A23" s="2016" t="n"/>
      <c r="B23" s="621" t="n"/>
      <c r="C23" s="637">
        <f>BIBLE!E93</f>
        <v/>
      </c>
      <c r="D23" s="1206">
        <f>BIBLE!F93</f>
        <v/>
      </c>
      <c r="E23" s="637">
        <f>Test_Bible!P179</f>
        <v/>
      </c>
      <c r="F23" s="637">
        <f>Test_Bible!D179</f>
        <v/>
      </c>
      <c r="G23" s="1153">
        <f>BIBLE!V93</f>
        <v/>
      </c>
      <c r="H23" s="2462" t="n"/>
      <c r="I23" s="2462" t="n"/>
      <c r="J23" s="2462" t="n"/>
      <c r="K23" s="2542" t="n"/>
      <c r="L23" s="2542" t="n"/>
      <c r="M23" s="2462" t="n"/>
      <c r="N23" s="2462" t="n"/>
      <c r="O23" s="630" t="n"/>
      <c r="P23" s="1133" t="n"/>
      <c r="Q23" s="609" t="n"/>
      <c r="R23" s="609" t="n"/>
      <c r="S23" s="1154" t="n"/>
      <c r="T23" s="293" t="n"/>
      <c r="U23" s="2462" t="n"/>
      <c r="V23" s="2462" t="n"/>
      <c r="W23" s="2542" t="n"/>
      <c r="X23" s="2542" t="n"/>
      <c r="Y23" s="295" t="n"/>
    </row>
    <row r="24" ht="30" customHeight="1" s="2456" thickBot="1">
      <c r="A24" s="2016" t="n"/>
      <c r="C24" s="2520" t="n"/>
      <c r="D24" s="2580" t="n"/>
      <c r="E24" s="2520" t="n"/>
      <c r="F24" s="2520" t="n"/>
      <c r="G24" s="1136" t="n"/>
    </row>
    <row r="25" ht="51" customHeight="1" s="2456">
      <c r="A25" s="2016" t="n">
        <v>7</v>
      </c>
      <c r="B25" s="617" t="inlineStr">
        <is>
          <t>Intervention à la suite d'un retour de garde</t>
        </is>
      </c>
      <c r="C25" s="607">
        <f>BIBLE!E94</f>
        <v/>
      </c>
      <c r="D25" s="1204">
        <f>BIBLE!F94</f>
        <v/>
      </c>
      <c r="E25" s="1942">
        <f>Test_Bible!P180</f>
        <v/>
      </c>
      <c r="F25" s="607">
        <f>Test_Bible!D180</f>
        <v/>
      </c>
      <c r="G25" s="1149">
        <f>BIBLE!V94</f>
        <v/>
      </c>
      <c r="H25" s="2541" t="n"/>
      <c r="I25" s="2541" t="n"/>
      <c r="J25" s="2541" t="n"/>
      <c r="K25" s="2540" t="n"/>
      <c r="L25" s="2540" t="n"/>
      <c r="M25" s="2541"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56" thickBot="1">
      <c r="A26" s="2016" t="n"/>
      <c r="B26" s="621" t="n"/>
      <c r="C26" s="609" t="n"/>
      <c r="D26" s="1205" t="n"/>
      <c r="E26" s="609" t="n"/>
      <c r="F26" s="609" t="n"/>
      <c r="G26" s="1156" t="n"/>
      <c r="H26" s="2462" t="n"/>
      <c r="I26" s="2462" t="n"/>
      <c r="J26" s="2462" t="n"/>
      <c r="K26" s="2542" t="n"/>
      <c r="L26" s="2542" t="n"/>
      <c r="M26" s="2462" t="n"/>
      <c r="N26" s="1917" t="n"/>
      <c r="O26" s="1134">
        <f>BIBLE!E193</f>
        <v/>
      </c>
      <c r="P26" s="622">
        <f>BIBLE!F193</f>
        <v/>
      </c>
      <c r="Q26" s="1970">
        <f>Test_Bible!P320</f>
        <v/>
      </c>
      <c r="R26" s="637">
        <f>Test_Bible!D320</f>
        <v/>
      </c>
      <c r="S26" s="1157">
        <f>BIBLE!V193</f>
        <v/>
      </c>
      <c r="T26" s="2462" t="n"/>
      <c r="U26" s="2462" t="n"/>
      <c r="V26" s="2462" t="n"/>
      <c r="W26" s="2542" t="n"/>
      <c r="X26" s="2542" t="n"/>
      <c r="Y26" s="295" t="n"/>
    </row>
    <row r="27" ht="30" customHeight="1" s="2456" thickBot="1">
      <c r="A27" s="2016" t="n"/>
      <c r="C27" s="2520" t="n"/>
      <c r="D27" s="2580" t="n"/>
      <c r="E27" s="2520" t="n"/>
      <c r="F27" s="2520" t="n"/>
      <c r="G27" s="1136" t="n"/>
      <c r="I27" s="2520" t="n"/>
      <c r="J27" s="2578" t="n"/>
      <c r="K27" s="2520" t="n"/>
      <c r="L27" s="2520" t="n"/>
      <c r="M27" s="1136" t="n"/>
      <c r="O27" s="494" t="n"/>
      <c r="P27" s="2578" t="n"/>
      <c r="Q27" s="2520" t="n"/>
      <c r="R27" s="2520" t="n"/>
      <c r="S27" s="1136" t="n"/>
    </row>
    <row r="28" ht="65" customHeight="1" s="2456">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56" thickBot="1">
      <c r="A29" s="2016" t="n"/>
      <c r="B29" s="621" t="n"/>
      <c r="C29" s="609" t="n"/>
      <c r="D29" s="1205" t="n"/>
      <c r="E29" s="609" t="n"/>
      <c r="F29" s="609" t="n"/>
      <c r="G29" s="1156" t="n"/>
      <c r="H29" s="2462" t="n"/>
      <c r="I29" s="609" t="n"/>
      <c r="J29" s="1133" t="n"/>
      <c r="K29" s="609" t="n"/>
      <c r="L29" s="609" t="n"/>
      <c r="M29" s="1156" t="n"/>
      <c r="N29" s="1917" t="n"/>
      <c r="O29" s="1161">
        <f>BIBLE!E189</f>
        <v/>
      </c>
      <c r="P29" s="1162">
        <f>BIBLE!F189</f>
        <v/>
      </c>
      <c r="Q29" s="1971">
        <f>Test_Bible!P310</f>
        <v/>
      </c>
      <c r="R29" s="1411">
        <f>Test_Bible!D310</f>
        <v/>
      </c>
      <c r="S29" s="1157">
        <f>BIBLE!V189</f>
        <v/>
      </c>
      <c r="T29" s="2462" t="n"/>
      <c r="U29" s="630" t="n"/>
      <c r="V29" s="1205" t="n"/>
      <c r="W29" s="609" t="n"/>
      <c r="X29" s="609" t="n"/>
      <c r="Y29" s="631" t="n"/>
    </row>
    <row r="30" ht="30" customHeight="1" s="2456" thickBot="1">
      <c r="A30" s="2016" t="n"/>
    </row>
    <row r="31" ht="51" customHeight="1" s="2456">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56"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2" t="n"/>
      <c r="O32" s="630" t="n"/>
      <c r="P32" s="1133" t="n"/>
      <c r="Q32" s="609" t="n"/>
      <c r="R32" s="609" t="n"/>
      <c r="S32" s="1156" t="n"/>
      <c r="T32" s="2462" t="n"/>
      <c r="U32" s="630" t="n"/>
      <c r="V32" s="1205" t="n"/>
      <c r="W32" s="609" t="n"/>
      <c r="X32" s="609" t="n"/>
      <c r="Y32" s="631" t="n"/>
    </row>
    <row r="33" ht="18" customHeight="1" s="2456" thickBot="1">
      <c r="A33" s="2016" t="n"/>
      <c r="C33" s="2520" t="n"/>
      <c r="D33" s="2580" t="n"/>
      <c r="E33" s="2520" t="n"/>
      <c r="F33" s="2520" t="n"/>
      <c r="G33" s="598" t="n"/>
      <c r="I33" s="2520" t="n"/>
      <c r="J33" s="2578" t="n"/>
      <c r="K33" s="2520" t="n"/>
      <c r="L33" s="2520" t="n"/>
      <c r="M33" s="1136" t="n"/>
      <c r="O33" s="494" t="n"/>
      <c r="P33" s="2578" t="n"/>
      <c r="Q33" s="2520" t="n"/>
      <c r="R33" s="2520" t="n"/>
      <c r="S33" s="1136" t="n"/>
      <c r="U33" s="494" t="n"/>
      <c r="V33" s="2580" t="n"/>
      <c r="W33" s="2520" t="n"/>
      <c r="X33" s="2520" t="n"/>
      <c r="Y33" s="599" t="n"/>
    </row>
    <row r="34" ht="64" customHeight="1" s="2456">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1" t="n"/>
      <c r="V34" s="2541" t="n"/>
      <c r="W34" s="2540" t="n"/>
      <c r="X34" s="2540" t="n"/>
      <c r="Y34" s="2552" t="n"/>
    </row>
    <row r="35" ht="64" customHeight="1" s="2456" thickBot="1">
      <c r="A35" s="2016" t="n"/>
      <c r="B35" s="621" t="n"/>
      <c r="C35" s="678">
        <f>BIBLE!E143</f>
        <v/>
      </c>
      <c r="D35" s="1209">
        <f>BIBLE!F143</f>
        <v/>
      </c>
      <c r="E35" s="1948">
        <f>Test_Bible!P247</f>
        <v/>
      </c>
      <c r="F35" s="678">
        <f>Test_Bible!D247</f>
        <v/>
      </c>
      <c r="G35" s="679">
        <f>BIBLE!V143</f>
        <v/>
      </c>
      <c r="H35" s="2462" t="n"/>
      <c r="I35" s="609" t="n"/>
      <c r="J35" s="1133" t="n"/>
      <c r="K35" s="609" t="n"/>
      <c r="L35" s="609" t="n"/>
      <c r="M35" s="1156" t="n"/>
      <c r="N35" s="2462" t="n"/>
      <c r="O35" s="630" t="n"/>
      <c r="P35" s="1133" t="n"/>
      <c r="Q35" s="609" t="n"/>
      <c r="R35" s="609" t="n"/>
      <c r="S35" s="1156" t="n"/>
      <c r="T35" s="293" t="n"/>
      <c r="U35" s="2462" t="n"/>
      <c r="V35" s="2462" t="n"/>
      <c r="W35" s="2542" t="n"/>
      <c r="X35" s="2542" t="n"/>
      <c r="Y35" s="295" t="n"/>
    </row>
    <row r="36" ht="17" customHeight="1" s="2456" thickBot="1">
      <c r="A36" s="2016" t="n"/>
      <c r="C36" s="2520" t="n"/>
      <c r="D36" s="2580" t="n"/>
      <c r="E36" s="2520" t="n"/>
      <c r="F36" s="2520" t="n"/>
      <c r="G36" s="598" t="n"/>
      <c r="I36" s="2520" t="n"/>
      <c r="J36" s="2578" t="n"/>
      <c r="K36" s="2520" t="n"/>
      <c r="L36" s="2520" t="n"/>
      <c r="M36" s="1136" t="n"/>
      <c r="O36" s="494" t="n"/>
      <c r="P36" s="2578" t="n"/>
      <c r="Q36" s="2520" t="n"/>
      <c r="R36" s="2520" t="n"/>
      <c r="S36" s="1136" t="n"/>
    </row>
    <row r="37" ht="67" customHeight="1" s="2456" thickBot="1">
      <c r="A37" s="2016" t="n">
        <v>11</v>
      </c>
      <c r="B37" s="617" t="inlineStr">
        <is>
          <t>La nouvelle famille est "LA vraie"</t>
        </is>
      </c>
      <c r="C37" s="606">
        <f>BIBLE!E105</f>
        <v/>
      </c>
      <c r="D37" s="1207">
        <f>BIBLE!F105</f>
        <v/>
      </c>
      <c r="E37" s="1942">
        <f>Test_Bible!P191</f>
        <v/>
      </c>
      <c r="F37" s="607">
        <f>Test_Bible!D191</f>
        <v/>
      </c>
      <c r="G37" s="628">
        <f>BIBLE!V105</f>
        <v/>
      </c>
      <c r="H37" s="2541" t="n"/>
      <c r="I37" s="2541" t="n"/>
      <c r="J37" s="2541" t="n"/>
      <c r="K37" s="2540" t="n"/>
      <c r="L37" s="2540" t="n"/>
      <c r="M37" s="2541" t="n"/>
      <c r="N37" s="1915" t="n"/>
      <c r="O37" s="1130">
        <f>BIBLE!E169</f>
        <v/>
      </c>
      <c r="P37" s="1131">
        <f>BIBLE!F169</f>
        <v/>
      </c>
      <c r="Q37" s="1967">
        <f>Test_Bible!P286</f>
        <v/>
      </c>
      <c r="R37" s="1966">
        <f>Test_Bible!D286</f>
        <v/>
      </c>
      <c r="S37" s="1163">
        <f>BIBLE!V169</f>
        <v/>
      </c>
      <c r="T37" s="1732" t="n"/>
      <c r="U37" s="2541" t="n"/>
      <c r="V37" s="2541" t="n"/>
      <c r="W37" s="2540" t="n"/>
      <c r="X37" s="2540" t="n"/>
      <c r="Y37" s="2552" t="n"/>
    </row>
    <row r="38" ht="61" customHeight="1" s="2456" thickBot="1">
      <c r="A38" s="2016" t="n"/>
      <c r="B38" s="621" t="n"/>
      <c r="C38" s="2462" t="n"/>
      <c r="D38" s="2462" t="n"/>
      <c r="E38" s="2542" t="n"/>
      <c r="F38" s="2542" t="n"/>
      <c r="G38" s="2462" t="n"/>
      <c r="H38" s="2462" t="n"/>
      <c r="I38" s="2462" t="n"/>
      <c r="J38" s="2462" t="n"/>
      <c r="K38" s="2542" t="n"/>
      <c r="L38" s="2542" t="n"/>
      <c r="M38" s="2462" t="n"/>
      <c r="N38" s="1917" t="n"/>
      <c r="O38" s="1148">
        <f>BIBLE!E170</f>
        <v/>
      </c>
      <c r="P38" s="622">
        <f>BIBLE!F170</f>
        <v/>
      </c>
      <c r="Q38" s="637">
        <f>Test_Bible!P287</f>
        <v/>
      </c>
      <c r="R38" s="637">
        <f>Test_Bible!D287</f>
        <v/>
      </c>
      <c r="S38" s="1166">
        <f>BIBLE!V170</f>
        <v/>
      </c>
      <c r="T38" s="293" t="n"/>
      <c r="U38" s="2462" t="n"/>
      <c r="V38" s="2462" t="n"/>
      <c r="W38" s="2542" t="n"/>
      <c r="X38" s="2542" t="n"/>
      <c r="Y38" s="295" t="n"/>
    </row>
    <row r="39" ht="15" customHeight="1" s="2456" thickBot="1">
      <c r="A39" s="2017" t="n"/>
      <c r="O39" s="494" t="n"/>
      <c r="P39" s="2578" t="n"/>
      <c r="Q39" s="2520" t="n"/>
      <c r="R39" s="2520" t="n"/>
      <c r="S39" s="1136" t="n"/>
    </row>
    <row r="40" ht="61" customHeight="1" s="2456">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1" t="n"/>
      <c r="V40" s="2541" t="n"/>
      <c r="W40" s="2540" t="n"/>
      <c r="X40" s="2540" t="n"/>
      <c r="Y40" s="2552" t="n"/>
    </row>
    <row r="41" ht="61" customHeight="1" s="2456" thickBot="1">
      <c r="A41" s="2017" t="n"/>
      <c r="B41" s="621" t="n"/>
      <c r="C41" s="609" t="n"/>
      <c r="D41" s="1205" t="n"/>
      <c r="E41" s="609" t="n"/>
      <c r="F41" s="609" t="n"/>
      <c r="G41" s="608" t="n"/>
      <c r="H41" s="2462" t="n"/>
      <c r="I41" s="609" t="n"/>
      <c r="J41" s="1133" t="n"/>
      <c r="K41" s="609" t="n"/>
      <c r="L41" s="609" t="n"/>
      <c r="M41" s="1156" t="n"/>
      <c r="N41" s="1917" t="n"/>
      <c r="O41" s="1161">
        <f>BIBLE!E180</f>
        <v/>
      </c>
      <c r="P41" s="1162">
        <f>BIBLE!F180</f>
        <v/>
      </c>
      <c r="Q41" s="1411">
        <f>Test_Bible!P301</f>
        <v/>
      </c>
      <c r="R41" s="1411">
        <f>Test_Bible!D302</f>
        <v/>
      </c>
      <c r="S41" s="1182">
        <f>BIBLE!V180</f>
        <v/>
      </c>
      <c r="T41" s="293" t="n"/>
      <c r="U41" s="2462" t="n"/>
      <c r="V41" s="2462" t="n"/>
      <c r="W41" s="2542" t="n"/>
      <c r="X41" s="2542" t="n"/>
      <c r="Y41" s="295" t="n"/>
    </row>
    <row r="42" ht="19" customHeight="1" s="2456" thickBot="1">
      <c r="A42" s="2018" t="n"/>
      <c r="C42" s="2520" t="n"/>
      <c r="D42" s="2580" t="n"/>
      <c r="E42" s="2520" t="n"/>
      <c r="F42" s="2520" t="n"/>
      <c r="G42" s="598" t="n"/>
      <c r="I42" s="2520" t="n"/>
      <c r="J42" s="2578" t="n"/>
      <c r="K42" s="2520" t="n"/>
      <c r="L42" s="2520" t="n"/>
      <c r="M42" s="1136" t="n"/>
      <c r="O42" s="494" t="n"/>
      <c r="P42" s="2578" t="n"/>
      <c r="Q42" s="2520" t="n"/>
      <c r="R42" s="2520" t="n"/>
      <c r="S42" s="1136" t="n"/>
    </row>
    <row r="43" ht="51" customHeight="1" s="2456">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30">
        <f>Test_Bible!D290</f>
        <v/>
      </c>
      <c r="S43" s="2080">
        <f>BIBLE!V173</f>
        <v/>
      </c>
      <c r="T43" s="1732" t="n"/>
      <c r="U43" s="2541" t="n"/>
      <c r="V43" s="2541" t="n"/>
      <c r="W43" s="2540" t="n"/>
      <c r="X43" s="2540" t="n"/>
      <c r="Y43" s="2552" t="n"/>
    </row>
    <row r="44" ht="52" customHeight="1" s="2456" thickBot="1">
      <c r="A44" s="2018" t="n"/>
      <c r="B44" s="2002" t="n"/>
      <c r="C44" s="2003">
        <f>BIBLE!E108</f>
        <v/>
      </c>
      <c r="D44" s="2004">
        <f>BIBLE!F108</f>
        <v/>
      </c>
      <c r="E44" s="2003">
        <f>Test_Bible!P194</f>
        <v/>
      </c>
      <c r="F44" s="2003">
        <f>Test_Bible!D194</f>
        <v/>
      </c>
      <c r="G44" s="2005">
        <f>BIBLE!V108</f>
        <v/>
      </c>
      <c r="H44" s="2490"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2" t="n"/>
      <c r="V44" s="2462" t="n"/>
      <c r="W44" s="2542" t="n"/>
      <c r="X44" s="2542" t="n"/>
      <c r="Y44" s="295" t="n"/>
    </row>
    <row r="45" ht="17" customHeight="1" s="2456" thickBot="1">
      <c r="A45" s="2017" t="n"/>
    </row>
    <row r="46" ht="51" customHeight="1" s="2456">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1" t="n"/>
      <c r="V46" s="2541" t="n"/>
      <c r="W46" s="2540" t="n"/>
      <c r="X46" s="2540" t="n"/>
      <c r="Y46" s="2552" t="n"/>
    </row>
    <row r="47" ht="52" customHeight="1" s="2456" thickBot="1">
      <c r="A47" s="2017" t="n"/>
      <c r="B47" s="621" t="n"/>
      <c r="C47" s="637">
        <f>BIBLE!E110</f>
        <v/>
      </c>
      <c r="D47" s="1206">
        <f>BIBLE!F110</f>
        <v/>
      </c>
      <c r="E47" s="637">
        <f>Test_Bible!P196</f>
        <v/>
      </c>
      <c r="F47" s="637">
        <f>Test_Bible!D196</f>
        <v/>
      </c>
      <c r="G47" s="642">
        <f>BIBLE!V110</f>
        <v/>
      </c>
      <c r="H47" s="2462" t="n"/>
      <c r="I47" s="2462" t="n"/>
      <c r="J47" s="2462" t="n"/>
      <c r="K47" s="2542" t="n"/>
      <c r="L47" s="2542" t="n"/>
      <c r="M47" s="2462" t="n"/>
      <c r="N47" s="1917" t="n"/>
      <c r="O47" s="1134">
        <f>BIBLE!E177</f>
        <v/>
      </c>
      <c r="P47" s="622">
        <f>BIBLE!F177</f>
        <v/>
      </c>
      <c r="Q47" s="637">
        <f>Test_Bible!P298</f>
        <v/>
      </c>
      <c r="R47" s="637">
        <f>Test_Bible!D298</f>
        <v/>
      </c>
      <c r="S47" s="1173">
        <f>BIBLE!V177</f>
        <v/>
      </c>
      <c r="T47" s="293" t="n"/>
      <c r="U47" s="2462" t="n"/>
      <c r="V47" s="2462" t="n"/>
      <c r="W47" s="2542" t="n"/>
      <c r="X47" s="2542" t="n"/>
      <c r="Y47" s="295" t="n"/>
    </row>
    <row r="48" ht="17" customHeight="1" s="2456" thickBot="1">
      <c r="A48" s="2017" t="n"/>
      <c r="C48" s="2520" t="n"/>
      <c r="D48" s="2580" t="n"/>
      <c r="E48" s="2520" t="n"/>
      <c r="F48" s="2520" t="n"/>
      <c r="G48" s="598" t="n"/>
      <c r="I48" s="2520" t="n"/>
      <c r="J48" s="2578" t="n"/>
      <c r="K48" s="2520" t="n"/>
      <c r="L48" s="2520" t="n"/>
      <c r="M48" s="598" t="n"/>
      <c r="U48" s="2465" t="n"/>
      <c r="V48" s="2580" t="n"/>
      <c r="W48" s="2520" t="n"/>
      <c r="X48" s="2520" t="n"/>
      <c r="Y48" s="599" t="n"/>
    </row>
    <row r="49" ht="64" customHeight="1" s="2456"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56" thickBot="1">
      <c r="A50" s="2017" t="n"/>
    </row>
    <row r="51" ht="45" customHeight="1" s="2456">
      <c r="A51" s="2016" t="n">
        <v>16</v>
      </c>
      <c r="B51" s="617" t="inlineStr">
        <is>
          <t>Contrôle des communications</t>
        </is>
      </c>
      <c r="C51" s="607">
        <f>BIBLE!E115</f>
        <v/>
      </c>
      <c r="D51" s="1204">
        <f>BIBLE!F115</f>
        <v/>
      </c>
      <c r="E51" s="1942">
        <f>Test_Bible!P201</f>
        <v/>
      </c>
      <c r="F51" s="607">
        <f>Test_Bible!D201</f>
        <v/>
      </c>
      <c r="G51" s="632">
        <f>BIBLE!V115</f>
        <v/>
      </c>
      <c r="H51" s="2541" t="n"/>
      <c r="I51" s="2541" t="n"/>
      <c r="J51" s="2541" t="n"/>
      <c r="K51" s="2540" t="n"/>
      <c r="L51" s="2540" t="n"/>
      <c r="M51" s="2541" t="n"/>
      <c r="N51" s="1915" t="n"/>
      <c r="O51" s="1130">
        <f>BIBLE!E178</f>
        <v/>
      </c>
      <c r="P51" s="1131">
        <f>BIBLE!F178</f>
        <v/>
      </c>
      <c r="Q51" s="1967">
        <f>Test_Bible!P299</f>
        <v/>
      </c>
      <c r="R51" s="1966">
        <f>Test_Bible!D299</f>
        <v/>
      </c>
      <c r="S51" s="1172">
        <f>BIBLE!V178</f>
        <v/>
      </c>
      <c r="T51" s="1732" t="n"/>
      <c r="U51" s="2541" t="n"/>
      <c r="V51" s="2541" t="n"/>
      <c r="W51" s="2540" t="n"/>
      <c r="X51" s="2540" t="n"/>
      <c r="Y51" s="2552" t="n"/>
    </row>
    <row r="52" ht="73" customHeight="1" s="2456"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2" t="n"/>
      <c r="V52" s="2462" t="n"/>
      <c r="W52" s="2542" t="n"/>
      <c r="X52" s="2542" t="n"/>
      <c r="Y52" s="295" t="n"/>
    </row>
    <row r="53" ht="17" customHeight="1" s="2456" thickBot="1">
      <c r="A53" s="2017" t="n"/>
      <c r="C53" s="2520" t="n"/>
      <c r="D53" s="2580" t="n"/>
      <c r="E53" s="2520" t="n"/>
      <c r="F53" s="2520" t="n"/>
      <c r="G53" s="598" t="n"/>
      <c r="I53" s="2520" t="n"/>
      <c r="J53" s="2578" t="n"/>
      <c r="K53" s="2520" t="n"/>
      <c r="L53" s="2520" t="n"/>
      <c r="M53" s="598" t="n"/>
    </row>
    <row r="54" ht="60" customHeight="1" s="2456"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56" thickBot="1">
      <c r="A55" s="2016" t="n"/>
      <c r="C55" s="2520" t="n"/>
      <c r="D55" s="2580" t="n"/>
      <c r="E55" s="2520" t="n"/>
      <c r="F55" s="2520" t="n"/>
      <c r="G55" s="598" t="n"/>
    </row>
    <row r="56" ht="52" customHeight="1" s="2456"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20" t="n"/>
      <c r="D57" s="2580" t="n"/>
      <c r="E57" s="2520" t="n"/>
      <c r="F57" s="2520" t="n"/>
      <c r="G57" s="598" t="n"/>
      <c r="O57" s="494" t="n"/>
      <c r="P57" s="2578" t="n"/>
      <c r="Q57" s="2520" t="n"/>
      <c r="R57" s="2520" t="n"/>
      <c r="S57" s="1136" t="n"/>
    </row>
    <row r="58" ht="30" customHeight="1" s="2456" thickBot="1">
      <c r="A58" s="2016" t="n"/>
      <c r="C58" s="2520" t="n"/>
      <c r="D58" s="2580" t="n"/>
      <c r="E58" s="2520" t="n"/>
      <c r="F58" s="2520" t="n"/>
      <c r="G58" s="598" t="n"/>
      <c r="O58" s="494" t="n"/>
      <c r="P58" s="2578" t="n"/>
      <c r="Q58" s="2520" t="n"/>
      <c r="R58" s="2520" t="n"/>
      <c r="S58" s="1136" t="n"/>
      <c r="U58" s="494" t="n"/>
      <c r="V58" s="2580" t="n"/>
      <c r="W58" s="2520" t="n"/>
      <c r="X58" s="2520" t="n"/>
      <c r="Y58" s="599" t="n"/>
    </row>
    <row r="59" ht="51" customHeight="1" s="2456">
      <c r="A59" s="2016" t="n">
        <v>19</v>
      </c>
      <c r="B59" s="617" t="inlineStr">
        <is>
          <t>Fait lire les communications à l'enfant</t>
        </is>
      </c>
      <c r="C59" s="607">
        <f>BIBLE!E142</f>
        <v/>
      </c>
      <c r="D59" s="1204">
        <f>BIBLE!F142</f>
        <v/>
      </c>
      <c r="E59" s="1942">
        <f>Test_Bible!P246</f>
        <v/>
      </c>
      <c r="F59" s="607">
        <f>Test_Bible!D246</f>
        <v/>
      </c>
      <c r="G59" s="663">
        <f>BIBLE!V142</f>
        <v/>
      </c>
      <c r="H59" s="2541" t="n"/>
      <c r="I59" s="2541" t="n"/>
      <c r="J59" s="2541" t="n"/>
      <c r="K59" s="2540" t="n"/>
      <c r="L59" s="2540" t="n"/>
      <c r="M59" s="2541"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56" thickBot="1">
      <c r="A60" s="2016" t="n"/>
      <c r="B60" s="671" t="n"/>
      <c r="C60" s="2520" t="n"/>
      <c r="D60" s="2580" t="n"/>
      <c r="E60" s="2520" t="n"/>
      <c r="F60" s="2520" t="n"/>
      <c r="G60" s="598" t="n"/>
      <c r="N60" s="809" t="n"/>
      <c r="O60" s="510">
        <f>BIBLE!E172</f>
        <v/>
      </c>
      <c r="P60" s="77">
        <f>BIBLE!F172</f>
        <v/>
      </c>
      <c r="Q60" s="762">
        <f>Test_Bible!P289</f>
        <v/>
      </c>
      <c r="R60" s="510">
        <f>Test_Bible!D289</f>
        <v/>
      </c>
      <c r="S60" s="1937">
        <f>BIBLE!V172</f>
        <v/>
      </c>
      <c r="U60" s="494" t="n"/>
      <c r="V60" s="2580" t="n"/>
      <c r="W60" s="2520" t="n"/>
      <c r="X60" s="2520" t="n"/>
      <c r="Y60" s="1415" t="n"/>
    </row>
    <row r="61" ht="55" customHeight="1" s="2456" thickBot="1">
      <c r="A61" s="2016" t="n"/>
      <c r="B61" s="621" t="n"/>
      <c r="C61" s="609" t="n"/>
      <c r="D61" s="1205" t="n"/>
      <c r="E61" s="609" t="n"/>
      <c r="F61" s="609" t="n"/>
      <c r="G61" s="608" t="n"/>
      <c r="H61" s="2462" t="n"/>
      <c r="I61" s="2462" t="n"/>
      <c r="J61" s="2462" t="n"/>
      <c r="K61" s="2542" t="n"/>
      <c r="L61" s="2542" t="n"/>
      <c r="M61" s="2462" t="n"/>
      <c r="N61" s="1917" t="n"/>
      <c r="O61" s="1416">
        <f>BIBLE!E198</f>
        <v/>
      </c>
      <c r="P61" s="1162">
        <f>BIBLE!F198</f>
        <v/>
      </c>
      <c r="Q61" s="1971">
        <f>Test_Bible!P325</f>
        <v/>
      </c>
      <c r="R61" s="1411">
        <f>Test_Bible!D325</f>
        <v/>
      </c>
      <c r="S61" s="1177">
        <f>BIBLE!V210</f>
        <v/>
      </c>
      <c r="T61" s="2462" t="n"/>
      <c r="U61" s="630" t="n"/>
      <c r="V61" s="1205" t="n"/>
      <c r="W61" s="609" t="n"/>
      <c r="X61" s="609" t="n"/>
      <c r="Y61" s="631" t="n"/>
    </row>
    <row r="62" ht="30" customHeight="1" s="2456" thickBot="1">
      <c r="A62" s="2016" t="n"/>
      <c r="C62" s="2520" t="n"/>
      <c r="D62" s="2580" t="n"/>
      <c r="E62" s="2520" t="n"/>
      <c r="F62" s="2520" t="n"/>
      <c r="G62" s="598" t="n"/>
      <c r="O62" s="494" t="n"/>
      <c r="P62" s="2578" t="n"/>
      <c r="Q62" s="2520" t="n"/>
      <c r="R62" s="2520" t="n"/>
      <c r="S62" s="598" t="n"/>
      <c r="U62" s="494" t="n"/>
      <c r="V62" s="2580" t="n"/>
      <c r="W62" s="2520" t="n"/>
      <c r="X62" s="2520" t="n"/>
      <c r="Y62" s="598" t="n"/>
    </row>
    <row r="63" ht="51" customHeight="1" s="2456">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56">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56"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2" t="n"/>
      <c r="O65" s="1161" t="n"/>
      <c r="P65" s="1162" t="n"/>
      <c r="Q65" s="1411" t="n"/>
      <c r="R65" s="1411" t="n"/>
      <c r="S65" s="640" t="n"/>
      <c r="T65" s="2462" t="n"/>
      <c r="U65" s="1387" t="n"/>
      <c r="V65" s="1388" t="n"/>
      <c r="W65" s="1980" t="n"/>
      <c r="X65" s="1980" t="n"/>
      <c r="Y65" s="670" t="n"/>
    </row>
    <row r="66" ht="19" customHeight="1" s="2456" thickBot="1">
      <c r="A66" s="2016" t="n"/>
      <c r="O66" s="494" t="n"/>
      <c r="P66" s="2578" t="n"/>
      <c r="Q66" s="2520" t="n"/>
      <c r="R66" s="2520" t="n"/>
      <c r="S66" s="1136" t="n"/>
    </row>
    <row r="67" ht="59" customHeight="1" s="2456">
      <c r="A67" s="2016" t="n">
        <v>21</v>
      </c>
      <c r="B67" s="617" t="inlineStr">
        <is>
          <t>Liberté du choix de l'enfant</t>
        </is>
      </c>
      <c r="C67" s="607">
        <f>BIBLE!E145</f>
        <v/>
      </c>
      <c r="D67" s="1204">
        <f>BIBLE!F145</f>
        <v/>
      </c>
      <c r="E67" s="1942">
        <f>Test_Bible!P249</f>
        <v/>
      </c>
      <c r="F67" s="607">
        <f>Test_Bible!D249</f>
        <v/>
      </c>
      <c r="G67" s="665">
        <f>BIBLE!V145</f>
        <v/>
      </c>
      <c r="H67" s="2541" t="n"/>
      <c r="I67" s="2541" t="n"/>
      <c r="J67" s="2541" t="n"/>
      <c r="K67" s="2540" t="n"/>
      <c r="L67" s="2540" t="n"/>
      <c r="M67" s="2541"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56" thickBot="1">
      <c r="A68" s="2016" t="n"/>
      <c r="B68" s="621" t="n"/>
      <c r="C68" s="668" t="n"/>
      <c r="D68" s="1211" t="n"/>
      <c r="E68" s="668" t="n"/>
      <c r="F68" s="668" t="n"/>
      <c r="G68" s="608" t="n"/>
      <c r="H68" s="2462" t="n"/>
      <c r="I68" s="2462" t="n"/>
      <c r="J68" s="2462" t="n"/>
      <c r="K68" s="2542" t="n"/>
      <c r="L68" s="2542" t="n"/>
      <c r="M68" s="2462" t="n"/>
      <c r="N68" s="2462" t="n"/>
      <c r="O68" s="2462" t="n"/>
      <c r="P68" s="2462" t="n"/>
      <c r="Q68" s="2542" t="n"/>
      <c r="R68" s="2542" t="n"/>
      <c r="S68" s="2462" t="n"/>
      <c r="T68" s="2462" t="n"/>
      <c r="U68" s="1180" t="n"/>
      <c r="V68" s="1205" t="n"/>
      <c r="W68" s="609" t="n"/>
      <c r="X68" s="609" t="n"/>
      <c r="Y68" s="631" t="n"/>
    </row>
    <row r="69" ht="14" customHeight="1" s="2456" thickBot="1">
      <c r="A69" s="2016" t="n"/>
      <c r="O69" s="494" t="n"/>
      <c r="P69" s="2578" t="n"/>
      <c r="Q69" s="2520" t="n"/>
      <c r="R69" s="2520" t="n"/>
      <c r="S69" s="1136" t="n"/>
    </row>
    <row r="70" ht="59" customHeight="1" s="2456">
      <c r="A70" s="2016" t="n">
        <v>22</v>
      </c>
      <c r="B70" s="617" t="inlineStr">
        <is>
          <t>Maturité de l'enfant de choisir</t>
        </is>
      </c>
      <c r="C70" s="607">
        <f>BIBLE!E97</f>
        <v/>
      </c>
      <c r="D70" s="1204">
        <f>BIBLE!F97</f>
        <v/>
      </c>
      <c r="E70" s="1942">
        <f>Test_Bible!P183</f>
        <v/>
      </c>
      <c r="F70" s="607">
        <f>Test_Bible!D183</f>
        <v/>
      </c>
      <c r="G70" s="1149">
        <f>BIBLE!V97</f>
        <v/>
      </c>
      <c r="H70" s="2541" t="n"/>
      <c r="I70" s="1181" t="n"/>
      <c r="J70" s="2541" t="n"/>
      <c r="K70" s="2540" t="n"/>
      <c r="L70" s="2540" t="n"/>
      <c r="M70" s="2541"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56" thickBot="1">
      <c r="A71" s="2016" t="n"/>
      <c r="B71" s="621" t="n"/>
      <c r="C71" s="667">
        <f>BIBLE!E131</f>
        <v/>
      </c>
      <c r="D71" s="1212">
        <f>BIBLE!F131</f>
        <v/>
      </c>
      <c r="E71" s="1950">
        <f>Test_Bible!P220</f>
        <v/>
      </c>
      <c r="F71" s="667">
        <f>Test_Bible!D220</f>
        <v/>
      </c>
      <c r="G71" s="1182">
        <f>BIBLE!V131</f>
        <v/>
      </c>
      <c r="H71" s="2462" t="n"/>
      <c r="I71" s="2462" t="n"/>
      <c r="J71" s="2462" t="n"/>
      <c r="K71" s="2542" t="n"/>
      <c r="L71" s="2542" t="n"/>
      <c r="M71" s="2462" t="n"/>
      <c r="N71" s="2462" t="n"/>
      <c r="O71" s="630" t="n"/>
      <c r="P71" s="1133" t="n"/>
      <c r="Q71" s="609" t="n"/>
      <c r="R71" s="609" t="n"/>
      <c r="S71" s="1156" t="n"/>
      <c r="T71" s="2462" t="n"/>
      <c r="U71" s="2462" t="n"/>
      <c r="V71" s="2462" t="n"/>
      <c r="W71" s="2542" t="n"/>
      <c r="X71" s="2542" t="n"/>
      <c r="Y71" s="295" t="n"/>
    </row>
    <row r="72" ht="18" customHeight="1" s="2456" thickBot="1">
      <c r="A72" s="2016" t="n"/>
      <c r="C72" s="2520" t="n"/>
      <c r="D72" s="2580" t="n"/>
      <c r="E72" s="2520" t="n"/>
      <c r="F72" s="2520" t="n"/>
      <c r="G72" s="598" t="n"/>
      <c r="O72" s="494" t="n"/>
      <c r="P72" s="2578" t="n"/>
      <c r="Q72" s="2520" t="n"/>
      <c r="R72" s="2520" t="n"/>
      <c r="S72" s="1136" t="n"/>
      <c r="U72" s="494" t="n"/>
      <c r="V72" s="2580" t="n"/>
      <c r="W72" s="2520" t="n"/>
      <c r="X72" s="2520" t="n"/>
      <c r="Y72" s="598" t="n"/>
    </row>
    <row r="73" ht="52" customHeight="1" s="2456"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56" thickBot="1">
      <c r="A74" s="2016" t="n"/>
      <c r="C74" s="2520" t="n"/>
      <c r="D74" s="2580" t="n"/>
      <c r="E74" s="2520" t="n"/>
      <c r="F74" s="2520" t="n"/>
      <c r="G74" s="598" t="n"/>
      <c r="I74" s="2520" t="n"/>
      <c r="J74" s="2578" t="n"/>
      <c r="K74" s="2520" t="n"/>
      <c r="L74" s="2520" t="n"/>
      <c r="M74" s="598" t="n"/>
      <c r="O74" s="494" t="n"/>
      <c r="P74" s="2578" t="n"/>
      <c r="Q74" s="2520" t="n"/>
      <c r="R74" s="2520" t="n"/>
      <c r="S74" s="1136" t="n"/>
      <c r="U74" s="494" t="n"/>
      <c r="V74" s="2580" t="n"/>
      <c r="W74" s="2520" t="n"/>
      <c r="X74" s="2520" t="n"/>
      <c r="Y74" s="598" t="n"/>
    </row>
    <row r="75" ht="34" customHeight="1" s="2456">
      <c r="A75" s="2016" t="n">
        <v>24</v>
      </c>
      <c r="B75" s="617" t="inlineStr">
        <is>
          <t>Demande / force l'enfant à choisir</t>
        </is>
      </c>
      <c r="C75" s="607">
        <f>BIBLE!E146</f>
        <v/>
      </c>
      <c r="D75" s="1204">
        <f>BIBLE!F146</f>
        <v/>
      </c>
      <c r="E75" s="1942">
        <f>Test_Bible!P250</f>
        <v/>
      </c>
      <c r="F75" s="607">
        <f>Test_Bible!D250</f>
        <v/>
      </c>
      <c r="G75" s="665">
        <f>BIBLE!V146</f>
        <v/>
      </c>
      <c r="H75" s="2541"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56" thickBot="1">
      <c r="A76" s="2016" t="n"/>
      <c r="B76" s="621" t="n"/>
      <c r="C76" s="676">
        <f>BIBLE!E135</f>
        <v/>
      </c>
      <c r="D76" s="1213">
        <f>BIBLE!F135</f>
        <v/>
      </c>
      <c r="E76" s="1951">
        <f>Test_Bible!P234</f>
        <v/>
      </c>
      <c r="F76" s="676">
        <f>Test_Bible!D234</f>
        <v/>
      </c>
      <c r="G76" s="675">
        <f>BIBLE!V135</f>
        <v/>
      </c>
      <c r="H76" s="2462" t="n"/>
      <c r="I76" s="609" t="n"/>
      <c r="J76" s="1133" t="n"/>
      <c r="K76" s="609" t="n"/>
      <c r="L76" s="609" t="n"/>
      <c r="M76" s="608" t="n"/>
      <c r="N76" s="2462" t="n"/>
      <c r="O76" s="630" t="n"/>
      <c r="P76" s="1133" t="n"/>
      <c r="Q76" s="609" t="n"/>
      <c r="R76" s="609" t="n"/>
      <c r="S76" s="1154" t="n"/>
      <c r="U76" s="2086" t="n"/>
      <c r="V76" s="1205" t="n"/>
      <c r="W76" s="609" t="n"/>
      <c r="X76" s="609" t="n"/>
      <c r="Y76" s="682" t="n"/>
      <c r="Z76" s="802" t="n"/>
    </row>
    <row r="77" ht="28" customHeight="1" s="2456" thickBot="1">
      <c r="A77" s="2016" t="n"/>
      <c r="B77" s="2578" t="n"/>
      <c r="C77" s="604" t="n"/>
      <c r="D77" s="1214" t="n"/>
      <c r="E77" s="604" t="n"/>
      <c r="F77" s="604" t="n"/>
      <c r="G77" s="598" t="n"/>
      <c r="I77" s="2520" t="n"/>
      <c r="J77" s="2578" t="n"/>
      <c r="K77" s="2520" t="n"/>
      <c r="L77" s="2520" t="n"/>
      <c r="M77" s="598" t="n"/>
      <c r="O77" s="494" t="n"/>
      <c r="P77" s="2578" t="n"/>
      <c r="Q77" s="2520" t="n"/>
      <c r="R77" s="2520" t="n"/>
      <c r="S77" s="1136" t="n"/>
      <c r="U77" s="494" t="n"/>
      <c r="V77" s="2580" t="n"/>
      <c r="W77" s="2520" t="n"/>
      <c r="X77" s="2520" t="n"/>
      <c r="Y77" s="598" t="n"/>
    </row>
    <row r="78" ht="83" customHeight="1" s="2456">
      <c r="A78" s="2016" t="n">
        <v>25</v>
      </c>
      <c r="B78" s="1984" t="inlineStr">
        <is>
          <t>Transport d'objets d'un domicile à l'autre</t>
        </is>
      </c>
      <c r="C78" s="607">
        <f>BIBLE!E129</f>
        <v/>
      </c>
      <c r="D78" s="1204">
        <f>BIBLE!F129</f>
        <v/>
      </c>
      <c r="E78" s="1942">
        <f>Test_Bible!P218</f>
        <v/>
      </c>
      <c r="F78" s="607">
        <f>Test_Bible!D218</f>
        <v/>
      </c>
      <c r="G78" s="674">
        <f>BIBLE!V129</f>
        <v/>
      </c>
      <c r="H78" s="2541" t="n"/>
      <c r="I78" s="2541" t="n"/>
      <c r="J78" s="2541" t="n"/>
      <c r="K78" s="2540" t="n"/>
      <c r="L78" s="2540" t="n"/>
      <c r="M78" s="2541"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56" thickBot="1">
      <c r="A79" s="2016" t="n"/>
      <c r="B79" s="681" t="n"/>
      <c r="C79" s="1689">
        <f>BIBLE!E130</f>
        <v/>
      </c>
      <c r="D79" s="1206">
        <f>BIBLE!F130</f>
        <v/>
      </c>
      <c r="E79" s="637">
        <f>Test_Bible!P219</f>
        <v/>
      </c>
      <c r="F79" s="637">
        <f>Test_Bible!D219</f>
        <v/>
      </c>
      <c r="G79" s="1690">
        <f>BIBLE!V130</f>
        <v/>
      </c>
      <c r="H79" s="2462"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56" thickBot="1">
      <c r="A80" s="2016" t="n"/>
      <c r="C80" s="2520" t="n"/>
      <c r="D80" s="2578" t="n"/>
      <c r="E80" s="2520" t="n"/>
      <c r="F80" s="2520" t="n"/>
      <c r="G80" s="598" t="n"/>
      <c r="I80" s="2520" t="n"/>
      <c r="J80" s="2578" t="n"/>
      <c r="K80" s="2520" t="n"/>
      <c r="L80" s="2520" t="n"/>
      <c r="M80" s="598" t="n"/>
      <c r="O80" s="604" t="n"/>
      <c r="P80" s="2578" t="n"/>
      <c r="Q80" s="2520" t="n"/>
      <c r="R80" s="2520" t="n"/>
      <c r="S80" s="599" t="n"/>
      <c r="U80" s="604" t="n"/>
      <c r="V80" s="2578" t="n"/>
      <c r="W80" s="2520" t="n"/>
      <c r="X80" s="2520" t="n"/>
      <c r="Y80" s="598" t="n"/>
    </row>
    <row r="81" ht="59" customHeight="1" s="2456">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56">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56" thickBot="1">
      <c r="A83" s="2016" t="n"/>
      <c r="B83" s="293" t="n"/>
      <c r="C83" s="2462" t="n"/>
      <c r="D83" s="2462" t="n"/>
      <c r="E83" s="2542" t="n"/>
      <c r="F83" s="2542" t="n"/>
      <c r="G83" s="2462" t="n"/>
      <c r="H83" s="2462" t="n"/>
      <c r="I83" s="2462" t="n"/>
      <c r="J83" s="2462" t="n"/>
      <c r="K83" s="2542" t="n"/>
      <c r="L83" s="2542" t="n"/>
      <c r="M83" s="2462" t="n"/>
      <c r="N83" s="1917" t="n"/>
      <c r="O83" s="1413">
        <f>BIBLE!E188</f>
        <v/>
      </c>
      <c r="P83" s="1162">
        <f>BIBLE!F188</f>
        <v/>
      </c>
      <c r="Q83" s="1971">
        <f>Test_Bible!P309</f>
        <v/>
      </c>
      <c r="R83" s="1411">
        <f>Test_Bible!D309</f>
        <v/>
      </c>
      <c r="S83" s="640">
        <f>BIBLE!V188</f>
        <v/>
      </c>
      <c r="T83" s="2462" t="n"/>
      <c r="U83" s="2462" t="n"/>
      <c r="V83" s="1133" t="n"/>
      <c r="W83" s="609" t="n"/>
      <c r="X83" s="609" t="n"/>
      <c r="Y83" s="682" t="n"/>
    </row>
    <row r="84" ht="82" customHeight="1" s="2456" thickBot="1">
      <c r="B84" s="740" t="inlineStr">
        <is>
          <t>Comportements provenant du miroir</t>
        </is>
      </c>
      <c r="V84" s="2578" t="n"/>
      <c r="W84" s="2520" t="n"/>
      <c r="X84" s="2520" t="n"/>
      <c r="Y84" s="598" t="n"/>
    </row>
    <row r="85" ht="64" customHeight="1" s="2456"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56" thickBot="1">
      <c r="A86" s="2019" t="n"/>
      <c r="D86" s="291" t="n"/>
      <c r="G86" s="751" t="n"/>
      <c r="V86" s="2578" t="n"/>
      <c r="W86" s="2520" t="n"/>
      <c r="X86" s="2520" t="n"/>
      <c r="Y86" s="598" t="n"/>
    </row>
    <row r="87" ht="96" customHeight="1" s="2456"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56" thickBot="1">
      <c r="A88" s="2019" t="n"/>
      <c r="D88" s="291" t="n"/>
      <c r="V88" s="2578" t="n"/>
      <c r="W88" s="2520" t="n"/>
      <c r="X88" s="2520" t="n"/>
      <c r="Y88" s="598" t="n"/>
    </row>
    <row r="89" ht="66" customHeight="1" s="2456"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56" thickBot="1">
      <c r="A90" s="2019" t="n"/>
      <c r="D90" s="291" t="n"/>
      <c r="G90" s="751" t="n"/>
      <c r="V90" s="2521" t="n"/>
      <c r="Y90" s="751" t="n"/>
    </row>
    <row r="91" ht="63" customHeight="1" s="2456"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56" thickBot="1">
      <c r="A92" s="2019" t="n"/>
      <c r="D92" s="291" t="n"/>
      <c r="G92" s="751" t="n"/>
      <c r="U92" s="1169" t="n"/>
      <c r="V92" s="1218" t="n"/>
      <c r="W92" s="1169" t="n"/>
      <c r="X92" s="1169" t="n"/>
      <c r="Y92" s="701" t="n"/>
    </row>
    <row r="93" ht="63" customHeight="1" s="2456"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56" thickBot="1">
      <c r="A94" s="2019" t="n"/>
      <c r="B94" s="1305" t="n"/>
      <c r="C94" s="1412" t="n"/>
      <c r="D94" s="1655" t="n"/>
      <c r="E94" s="1886" t="n"/>
      <c r="F94" s="1886" t="n"/>
      <c r="G94" s="1869" t="n"/>
      <c r="V94" s="2521" t="n"/>
      <c r="Y94" s="751" t="n"/>
    </row>
    <row r="95" ht="71" customHeight="1" s="2456"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56">
      <c r="B96" s="1305" t="n"/>
      <c r="C96" s="1412" t="n"/>
      <c r="D96" s="1655" t="n"/>
      <c r="E96" s="1886" t="n"/>
      <c r="F96" s="1886" t="n"/>
      <c r="G96" s="1869" t="n"/>
      <c r="H96" s="1306" t="n"/>
      <c r="U96" s="1412" t="n"/>
      <c r="V96" s="1655" t="n"/>
      <c r="W96" s="1886" t="n"/>
      <c r="X96" s="1886" t="n"/>
      <c r="Y96" s="1869" t="n"/>
    </row>
    <row r="97" ht="94" customHeight="1" s="2456" thickBot="1">
      <c r="B97" s="740" t="inlineStr">
        <is>
          <t>Comportements indépendants</t>
        </is>
      </c>
    </row>
    <row r="98" ht="66" customHeight="1" s="2456"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56" thickBot="1">
      <c r="A99" s="2019" t="n"/>
      <c r="C99" s="2520" t="n"/>
      <c r="D99" s="2580" t="n"/>
      <c r="F99" s="2468" t="n"/>
      <c r="G99" s="494" t="n"/>
      <c r="H99" s="2578" t="n"/>
      <c r="I99" s="1136" t="n"/>
    </row>
    <row r="100" ht="83" customHeight="1" s="2456"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56" thickBot="1">
      <c r="A101" s="2019" t="n"/>
      <c r="C101" s="2520" t="n"/>
      <c r="D101" s="2580" t="n"/>
      <c r="F101" s="2468" t="n"/>
      <c r="O101" s="494" t="n"/>
      <c r="P101" s="41" t="n"/>
      <c r="Q101" s="2012" t="n"/>
      <c r="R101" s="494" t="n"/>
      <c r="S101" s="1136" t="n"/>
    </row>
    <row r="102" ht="37" customHeight="1" s="2456">
      <c r="A102" s="2019" t="n">
        <v>35</v>
      </c>
      <c r="B102" s="617" t="inlineStr">
        <is>
          <t>Manque d'ambivalence</t>
        </is>
      </c>
      <c r="C102" s="605" t="n"/>
      <c r="D102" s="680" t="n"/>
      <c r="E102" s="2540" t="n"/>
      <c r="F102" s="1945" t="n"/>
      <c r="G102" s="2541" t="n"/>
      <c r="H102" s="2541" t="n"/>
      <c r="I102" s="2541" t="n"/>
      <c r="J102" s="2541" t="n"/>
      <c r="K102" s="2540" t="n"/>
      <c r="L102" s="2540" t="n"/>
      <c r="M102" s="2541" t="n"/>
      <c r="N102" s="2541" t="n"/>
      <c r="O102" s="1130">
        <f>BIBLE!E156</f>
        <v/>
      </c>
      <c r="P102" s="1920">
        <f>BIBLE!F156</f>
        <v/>
      </c>
      <c r="Q102" s="1977">
        <f>Test_Bible!P269</f>
        <v/>
      </c>
      <c r="R102" s="1130">
        <f>Test_Bible!D269</f>
        <v/>
      </c>
      <c r="S102" s="2014">
        <f>BIBLE!V156</f>
        <v/>
      </c>
      <c r="T102" s="2541" t="n"/>
      <c r="U102" s="2541" t="n"/>
      <c r="V102" s="2541" t="n"/>
      <c r="W102" s="2540" t="n"/>
      <c r="X102" s="2540" t="n"/>
      <c r="Y102" s="2552" t="n"/>
    </row>
    <row r="103" ht="43" customHeight="1" s="2456">
      <c r="A103" s="2019" t="n"/>
      <c r="B103" s="671" t="n"/>
      <c r="C103" s="2520" t="n"/>
      <c r="D103" s="2580" t="n"/>
      <c r="F103" s="2468" t="n"/>
      <c r="O103" s="1930">
        <f>BIBLE!E157</f>
        <v/>
      </c>
      <c r="P103" s="1939">
        <f>BIBLE!F157</f>
        <v/>
      </c>
      <c r="Q103" s="1976">
        <f>Test_Bible!P270</f>
        <v/>
      </c>
      <c r="R103" s="1930">
        <f>Test_Bible!D270</f>
        <v/>
      </c>
      <c r="S103" s="1929">
        <f>BIBLE!V157</f>
        <v/>
      </c>
      <c r="Y103" s="2567" t="n"/>
    </row>
    <row r="104" ht="40" customHeight="1" s="2456" thickBot="1">
      <c r="A104" s="2019" t="n"/>
      <c r="B104" s="621" t="n"/>
      <c r="C104" s="609" t="n"/>
      <c r="D104" s="1205" t="n"/>
      <c r="E104" s="2542" t="n"/>
      <c r="F104" s="1946" t="n"/>
      <c r="G104" s="2462" t="n"/>
      <c r="H104" s="2462" t="n"/>
      <c r="I104" s="2462" t="n"/>
      <c r="J104" s="2462" t="n"/>
      <c r="K104" s="2542" t="n"/>
      <c r="L104" s="2542" t="n"/>
      <c r="M104" s="2462" t="n"/>
      <c r="N104" s="2462" t="n"/>
      <c r="O104" s="1134">
        <f>BIBLE!E158</f>
        <v/>
      </c>
      <c r="P104" s="1940">
        <f>BIBLE!F158</f>
        <v/>
      </c>
      <c r="Q104" s="1134">
        <f>Test_Bible!P271</f>
        <v/>
      </c>
      <c r="R104" s="1134">
        <f>Test_Bible!D271</f>
        <v/>
      </c>
      <c r="S104" s="1932">
        <f>BIBLE!V158</f>
        <v/>
      </c>
      <c r="T104" s="2462" t="n"/>
      <c r="U104" s="2462" t="n"/>
      <c r="V104" s="2462" t="n"/>
      <c r="W104" s="2542" t="n"/>
      <c r="X104" s="2542" t="n"/>
      <c r="Y104" s="295" t="n"/>
    </row>
    <row r="105" ht="30" customHeight="1" s="2456" thickBot="1">
      <c r="A105" s="2019" t="n"/>
      <c r="C105" s="2520" t="n"/>
      <c r="D105" s="2580" t="n"/>
      <c r="F105" s="2468" t="n"/>
    </row>
    <row r="106" ht="47" customHeight="1" s="2456"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56" thickBot="1">
      <c r="A107" s="2019" t="n"/>
      <c r="C107" s="2520" t="n"/>
      <c r="D107" s="2580" t="n"/>
      <c r="F107" s="2468" t="n"/>
      <c r="O107" s="494" t="n"/>
      <c r="P107" s="41" t="n"/>
      <c r="Q107" s="2520" t="n"/>
      <c r="R107" s="2520" t="n"/>
      <c r="S107" s="1136" t="n"/>
    </row>
    <row r="108" ht="47" customHeight="1" s="2456">
      <c r="A108" s="2019" t="n">
        <v>37</v>
      </c>
      <c r="B108" s="617" t="inlineStr">
        <is>
          <t>Changement des ses valeurs</t>
        </is>
      </c>
      <c r="C108" s="605" t="n"/>
      <c r="D108" s="680" t="n"/>
      <c r="E108" s="2540" t="n"/>
      <c r="F108" s="1945" t="n"/>
      <c r="G108" s="2541" t="n"/>
      <c r="H108" s="2541" t="n"/>
      <c r="I108" s="2541" t="n"/>
      <c r="J108" s="2541" t="n"/>
      <c r="K108" s="2540" t="n"/>
      <c r="L108" s="2540" t="n"/>
      <c r="M108" s="2541" t="n"/>
      <c r="N108" s="2541" t="n"/>
      <c r="O108" s="1130">
        <f>BIBLE!E195</f>
        <v/>
      </c>
      <c r="P108" s="1920">
        <f>BIBLE!F195</f>
        <v/>
      </c>
      <c r="Q108" s="1977">
        <f>Test_Bible!P322</f>
        <v/>
      </c>
      <c r="R108" s="1130">
        <f>Test_Bible!D322</f>
        <v/>
      </c>
      <c r="S108" s="1934">
        <f>BIBLE!V195</f>
        <v/>
      </c>
      <c r="T108" s="2541" t="n"/>
      <c r="U108" s="2541" t="n"/>
      <c r="V108" s="2541" t="n"/>
      <c r="W108" s="2540" t="n"/>
      <c r="X108" s="2540" t="n"/>
      <c r="Y108" s="2552" t="n"/>
    </row>
    <row r="109" ht="36" customHeight="1" s="2456" thickBot="1">
      <c r="A109" s="2019" t="n"/>
      <c r="B109" s="621" t="n"/>
      <c r="C109" s="609" t="n"/>
      <c r="D109" s="1205" t="n"/>
      <c r="E109" s="2542" t="n"/>
      <c r="F109" s="1946" t="n"/>
      <c r="G109" s="2462" t="n"/>
      <c r="H109" s="2462" t="n"/>
      <c r="I109" s="2462" t="n"/>
      <c r="J109" s="2462" t="n"/>
      <c r="K109" s="2542" t="n"/>
      <c r="L109" s="2542" t="n"/>
      <c r="M109" s="2462" t="n"/>
      <c r="N109" s="2462" t="n"/>
      <c r="O109" s="1148">
        <f>BIBLE!E196</f>
        <v/>
      </c>
      <c r="P109" s="1941">
        <f>BIBLE!F196</f>
        <v/>
      </c>
      <c r="Q109" s="637">
        <f>Test_Bible!P323</f>
        <v/>
      </c>
      <c r="R109" s="637">
        <f>Test_Bible!D323</f>
        <v/>
      </c>
      <c r="S109" s="1935">
        <f>BIBLE!V196</f>
        <v/>
      </c>
      <c r="T109" s="2462" t="n"/>
      <c r="U109" s="2462" t="n"/>
      <c r="V109" s="2462" t="n"/>
      <c r="W109" s="2542" t="n"/>
      <c r="X109" s="2542" t="n"/>
      <c r="Y109" s="295" t="n"/>
    </row>
    <row r="111">
      <c r="AA111" s="288" t="inlineStr">
        <is>
          <t>En risque de perte de lien</t>
        </is>
      </c>
      <c r="AB111" s="288" t="n"/>
      <c r="AC111" s="288" t="inlineStr">
        <is>
          <t>EN AP</t>
        </is>
      </c>
    </row>
    <row r="112">
      <c r="AA112" s="2559" t="inlineStr">
        <is>
          <t xml:space="preserve">Coalition avec un parent et distanciation avec l’autre ; </t>
        </is>
      </c>
      <c r="AC112" s="826" t="inlineStr">
        <is>
          <t>(1)Dénigre le parent répondant</t>
        </is>
      </c>
    </row>
    <row r="113" ht="37" customHeight="1" s="2456">
      <c r="AA113" s="2559" t="inlineStr">
        <is>
          <t xml:space="preserve">Craintes multiples (représailles, de décevoir, se faire abandonner, de faire de la peine et soulever la colère) ; </t>
        </is>
      </c>
      <c r="AC113" s="826" t="inlineStr">
        <is>
          <t>(2)Il donne des raisons absurdes (incl. Souvenirs déformés)</t>
        </is>
      </c>
    </row>
    <row r="114" ht="37" customHeight="1" s="2456">
      <c r="AA114" s="2559"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56">
      <c r="AA115" s="2559" t="inlineStr">
        <is>
          <t xml:space="preserve">Manipulation de la réalité (mentir, prendre la défense du parent aliénant, absence de culpabilité) ; </t>
        </is>
      </c>
      <c r="AC115" s="826" t="inlineStr">
        <is>
          <t>(4)Penseur indépendant</t>
        </is>
      </c>
    </row>
    <row r="116">
      <c r="AA116" s="2559" t="inlineStr">
        <is>
          <t xml:space="preserve">Participation active aux conflits ; Exagération des faits, les déformer ; </t>
        </is>
      </c>
      <c r="AC116" s="826" t="inlineStr">
        <is>
          <t>(5)Champion du parent aliénant</t>
        </is>
      </c>
    </row>
    <row r="117" ht="37" customHeight="1" s="2456">
      <c r="AA117" s="2559" t="inlineStr">
        <is>
          <t xml:space="preserve">Passivité et inhibition du discours (passif et soumis aux exigences du parent aliénant) ; </t>
        </is>
      </c>
      <c r="AC117" s="826" t="inlineStr">
        <is>
          <t>(6)Absence de culpabilité</t>
        </is>
      </c>
    </row>
    <row r="118" ht="37" customHeight="1" s="2456">
      <c r="AA118" s="2559" t="inlineStr">
        <is>
          <t xml:space="preserve">Changement d’attitudes et de comportements selon le parent avec lequel il est, selon les témoins (selon le degré d’AP). </t>
        </is>
      </c>
      <c r="AC118" s="826" t="inlineStr">
        <is>
          <t>(7)Propos d'adultes</t>
        </is>
      </c>
    </row>
    <row r="119">
      <c r="AA119" s="2559"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65" min="1" max="1"/>
    <col width="8.5" bestFit="1" customWidth="1" style="1087" min="2" max="2"/>
    <col width="63" customWidth="1" style="2501" min="3" max="3"/>
    <col width="77.6640625" bestFit="1" customWidth="1" style="2501" min="4" max="4"/>
    <col hidden="1" width="10.83203125" customWidth="1" style="2463" min="5" max="5"/>
    <col hidden="1" width="14" customWidth="1" style="2463" min="6" max="6"/>
    <col hidden="1" width="14.83203125" customWidth="1" style="2463" min="7" max="7"/>
    <col hidden="1" width="65.5" customWidth="1" style="543" min="8" max="8"/>
    <col hidden="1" width="11.6640625" customWidth="1" style="2463" min="9" max="10"/>
    <col width="19.33203125" bestFit="1" customWidth="1" style="2456" min="11" max="11"/>
    <col width="20.1640625" customWidth="1" style="2456" min="12" max="15"/>
  </cols>
  <sheetData>
    <row r="1" ht="78" customHeight="1" s="2456">
      <c r="A1" s="1049" t="n"/>
      <c r="B1" s="1050" t="n"/>
      <c r="C1" s="1051" t="inlineStr">
        <is>
          <t>Questions</t>
        </is>
      </c>
      <c r="D1" s="1051" t="n"/>
      <c r="E1" s="1052" t="inlineStr">
        <is>
          <t>Intensité de Base : 1 à 3</t>
        </is>
      </c>
      <c r="F1" s="1053" t="inlineStr">
        <is>
          <t>Intensité conditionnelle (âge, temps de séparation)</t>
        </is>
      </c>
      <c r="G1" s="2468"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08" t="inlineStr">
        <is>
          <t>Utilité de la question qualitative</t>
        </is>
      </c>
    </row>
    <row r="2" ht="78" customHeight="1" s="2456">
      <c r="A2" s="1049" t="n"/>
      <c r="B2" s="1050" t="n"/>
      <c r="C2" s="1051" t="n"/>
      <c r="D2" s="1051" t="n"/>
      <c r="E2" s="1052" t="n"/>
      <c r="F2" s="1053" t="n"/>
      <c r="G2" s="2468" t="n"/>
      <c r="H2" s="1054" t="n"/>
      <c r="I2" s="2468" t="n"/>
      <c r="J2" s="2468"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56">
      <c r="A3" s="61" t="inlineStr">
        <is>
          <t>Questionnaire 
BASE</t>
        </is>
      </c>
      <c r="B3" s="1047" t="n"/>
      <c r="C3" s="2578" t="n"/>
      <c r="D3" s="2578" t="n"/>
      <c r="E3" s="2468" t="n"/>
      <c r="F3" s="2468" t="n"/>
      <c r="G3" s="2468" t="n"/>
      <c r="I3" s="2468" t="n"/>
      <c r="J3" s="2468" t="n"/>
    </row>
    <row r="4" ht="102" customHeight="1" s="2456">
      <c r="A4" s="501" t="n"/>
      <c r="B4" s="1195">
        <f>BIBLE!E20</f>
        <v/>
      </c>
      <c r="C4" s="1195">
        <f>BIBLE!F20</f>
        <v/>
      </c>
      <c r="D4" s="1095" t="inlineStr">
        <is>
          <t>Une mère
Un père 
Un parent (non binaire) 
Un grand-parent 
Un·e nouveau ou nouvelle conjoint·e
Autre (spécifiez)</t>
        </is>
      </c>
      <c r="E4" s="2468" t="n">
        <v>0</v>
      </c>
      <c r="F4" s="2468" t="n"/>
      <c r="G4" s="2468" t="n"/>
      <c r="I4" s="2468" t="n"/>
      <c r="J4" s="2468" t="n"/>
      <c r="K4" s="1088" t="n"/>
      <c r="L4" s="1088" t="inlineStr">
        <is>
          <t>✓</t>
        </is>
      </c>
      <c r="M4" s="1089" t="n"/>
      <c r="N4" s="1089" t="n"/>
      <c r="O4" s="1089" t="n"/>
    </row>
    <row r="5" ht="51" customHeight="1" s="2456">
      <c r="A5" s="501" t="n"/>
      <c r="B5" s="1195">
        <f>BIBLE!E21</f>
        <v/>
      </c>
      <c r="C5" s="1195">
        <f>BIBLE!F21</f>
        <v/>
      </c>
      <c r="D5" s="1096" t="inlineStr">
        <is>
          <t>En mon nom ou celui d'une autre mère 
En mon nom ou celui d'un autre père 
En mon nom ou celui d'un autre parent (non binaire)</t>
        </is>
      </c>
      <c r="E5" s="576" t="n">
        <v>0</v>
      </c>
      <c r="F5" s="576" t="n"/>
      <c r="G5" s="2468" t="inlineStr">
        <is>
          <t>Choix de réponses</t>
        </is>
      </c>
      <c r="I5" s="2468" t="n"/>
      <c r="J5" s="2468" t="n"/>
      <c r="K5" s="1088" t="n"/>
      <c r="L5" s="1088" t="inlineStr">
        <is>
          <t>✓</t>
        </is>
      </c>
      <c r="M5" s="1089" t="n"/>
      <c r="N5" s="1089" t="n"/>
      <c r="O5" s="1088" t="inlineStr">
        <is>
          <t>✓</t>
        </is>
      </c>
    </row>
    <row r="6" ht="44" customHeight="1" s="2456">
      <c r="A6" s="501" t="n"/>
      <c r="B6" s="1195">
        <f>BIBLE!E22</f>
        <v/>
      </c>
      <c r="C6" s="1195">
        <f>BIBLE!F22</f>
        <v/>
      </c>
      <c r="D6" s="1096" t="inlineStr">
        <is>
          <t>Analyse au présent
Analyse rétrospective</t>
        </is>
      </c>
      <c r="E6" s="576" t="n"/>
      <c r="F6" s="576" t="n"/>
      <c r="G6" s="2468" t="n"/>
      <c r="I6" s="2468" t="n"/>
      <c r="J6" s="2468" t="n"/>
      <c r="K6" s="1088" t="inlineStr">
        <is>
          <t>✓</t>
        </is>
      </c>
      <c r="L6" s="1088" t="n"/>
      <c r="M6" s="1089" t="n"/>
      <c r="N6" s="1089" t="n"/>
      <c r="O6" s="1088" t="n"/>
    </row>
    <row r="7" ht="85" customHeight="1" s="2456">
      <c r="A7" s="501" t="n"/>
      <c r="B7" s="1195">
        <f>BIBLE!E23</f>
        <v/>
      </c>
      <c r="C7" s="1195">
        <f>BIBLE!F23</f>
        <v/>
      </c>
      <c r="D7" s="1096" t="inlineStr">
        <is>
          <t xml:space="preserve">1 an et moins
2 à 5 ans
6 à 10 ans
11 à 20 ans 
plus de 20 ans  </t>
        </is>
      </c>
      <c r="E7" s="576" t="n">
        <v>0</v>
      </c>
      <c r="F7" s="576" t="n"/>
      <c r="G7" s="2468" t="inlineStr">
        <is>
          <t>Choix de réponses</t>
        </is>
      </c>
      <c r="I7" s="2468" t="n"/>
      <c r="J7" s="2468" t="n"/>
      <c r="K7" s="1089" t="n"/>
      <c r="L7" s="1088" t="inlineStr">
        <is>
          <t>✓</t>
        </is>
      </c>
      <c r="M7" s="1089" t="n"/>
      <c r="N7" s="1089" t="n"/>
      <c r="O7" s="1088" t="inlineStr">
        <is>
          <t>✓</t>
        </is>
      </c>
    </row>
    <row r="8" ht="85" customHeight="1" s="2456">
      <c r="A8" s="501" t="n"/>
      <c r="B8" s="1195">
        <f>BIBLE!E24</f>
        <v/>
      </c>
      <c r="C8" s="1195">
        <f>BIBLE!F24</f>
        <v/>
      </c>
      <c r="D8" s="1096" t="inlineStr">
        <is>
          <t xml:space="preserve">moins de 1 an
1 à 2 ans
2 à 5 ans
5 à 10 ans 
plus de 10 ans  </t>
        </is>
      </c>
      <c r="E8" s="576" t="n">
        <v>0</v>
      </c>
      <c r="F8" s="576" t="n"/>
      <c r="G8" s="2468" t="inlineStr">
        <is>
          <t>Choix de réponses</t>
        </is>
      </c>
      <c r="I8" s="2468" t="n"/>
      <c r="J8" s="2468" t="n"/>
      <c r="K8" s="1088" t="inlineStr">
        <is>
          <t>✓</t>
        </is>
      </c>
      <c r="L8" s="1088" t="inlineStr">
        <is>
          <t>✓</t>
        </is>
      </c>
      <c r="M8" s="1089" t="n"/>
      <c r="N8" s="1088" t="inlineStr">
        <is>
          <t>✓</t>
        </is>
      </c>
      <c r="O8" s="1088" t="inlineStr">
        <is>
          <t>✓</t>
        </is>
      </c>
    </row>
    <row r="9" ht="68" customHeight="1" s="2456">
      <c r="A9" s="501" t="n"/>
      <c r="B9" s="1195">
        <f>BIBLE!E25</f>
        <v/>
      </c>
      <c r="C9" s="1195">
        <f>BIBLE!F25</f>
        <v/>
      </c>
      <c r="D9" s="1096" t="inlineStr">
        <is>
          <t>1 enfant (c elui qui fait l'objet de l'analyse)
2
3
Plus de 4 enfants</t>
        </is>
      </c>
      <c r="E9" s="576" t="n"/>
      <c r="F9" s="576" t="n"/>
      <c r="G9" s="2468" t="n"/>
      <c r="I9" s="2468" t="n"/>
      <c r="J9" s="2468" t="n"/>
      <c r="K9" s="1088" t="n"/>
      <c r="L9" s="1088" t="inlineStr">
        <is>
          <t>✓</t>
        </is>
      </c>
      <c r="M9" s="1089" t="n"/>
      <c r="N9" s="1088" t="n"/>
      <c r="O9" s="1088" t="n"/>
    </row>
    <row r="10" ht="40" customHeight="1" s="2456">
      <c r="A10" s="501" t="n"/>
      <c r="B10" s="1195">
        <f>BIBLE!E26</f>
        <v/>
      </c>
      <c r="C10" s="1195">
        <f>BIBLE!F26</f>
        <v/>
      </c>
      <c r="D10" s="1095" t="inlineStr">
        <is>
          <t>Âge</t>
        </is>
      </c>
      <c r="E10" s="576" t="n">
        <v>0</v>
      </c>
      <c r="F10" s="576" t="n"/>
      <c r="G10" s="2468" t="inlineStr">
        <is>
          <t>Choix de réponses</t>
        </is>
      </c>
      <c r="I10" s="2468" t="n"/>
      <c r="J10" s="2468" t="n"/>
      <c r="K10" s="1088" t="inlineStr">
        <is>
          <t>✓</t>
        </is>
      </c>
      <c r="L10" s="1088" t="inlineStr">
        <is>
          <t>✓</t>
        </is>
      </c>
      <c r="M10" s="1089" t="n"/>
      <c r="N10" s="1088" t="inlineStr">
        <is>
          <t>✓</t>
        </is>
      </c>
      <c r="O10" s="1088" t="inlineStr">
        <is>
          <t>✓</t>
        </is>
      </c>
    </row>
    <row r="11" ht="51" customHeight="1" s="2456">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68" t="inlineStr">
        <is>
          <t>Choix de réponses</t>
        </is>
      </c>
      <c r="I11" s="2468" t="n"/>
      <c r="J11" s="2468" t="n"/>
      <c r="K11" s="1088" t="inlineStr">
        <is>
          <t>✓</t>
        </is>
      </c>
      <c r="L11" s="1088" t="inlineStr">
        <is>
          <t>✓</t>
        </is>
      </c>
      <c r="M11" s="1089" t="n"/>
      <c r="N11" s="1089" t="n"/>
      <c r="O11" s="1089" t="n"/>
    </row>
    <row r="12" ht="51" customHeight="1" s="2456">
      <c r="A12" s="501" t="n"/>
      <c r="B12" s="1195">
        <f>BIBLE!E28</f>
        <v/>
      </c>
      <c r="C12" s="1195">
        <f>BIBLE!F28</f>
        <v/>
      </c>
      <c r="D12" s="1096" t="inlineStr">
        <is>
          <t xml:space="preserve">Célibataire 
En couple 
Famille recomposée </t>
        </is>
      </c>
      <c r="E12" s="576" t="n">
        <v>0</v>
      </c>
      <c r="F12" s="576" t="n"/>
      <c r="G12" s="2468" t="inlineStr">
        <is>
          <t>Choix de réponses</t>
        </is>
      </c>
      <c r="I12" s="2468" t="n"/>
      <c r="J12" s="2468" t="n"/>
      <c r="K12" s="1088" t="inlineStr">
        <is>
          <t>✓</t>
        </is>
      </c>
      <c r="L12" s="1088" t="inlineStr">
        <is>
          <t>✓</t>
        </is>
      </c>
      <c r="M12" s="1089" t="n"/>
      <c r="N12" s="1089" t="n"/>
      <c r="O12" s="1089" t="n"/>
    </row>
    <row r="13" ht="40" customHeight="1" s="2456">
      <c r="A13" s="501" t="n"/>
      <c r="B13" s="1195">
        <f>BIBLE!E29</f>
        <v/>
      </c>
      <c r="C13" s="1195">
        <f>BIBLE!F29</f>
        <v/>
      </c>
      <c r="D13" s="1097" t="n"/>
      <c r="E13" s="544" t="n">
        <v>3</v>
      </c>
      <c r="F13" s="544" t="n"/>
      <c r="G13" s="2468"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56">
      <c r="A14" s="501" t="n"/>
      <c r="B14" s="1196">
        <f>BIBLE!E30</f>
        <v/>
      </c>
      <c r="C14" s="1196">
        <f>BIBLE!F30</f>
        <v/>
      </c>
      <c r="D14" s="1098" t="inlineStr">
        <is>
          <t>-Oui
-Non</t>
        </is>
      </c>
      <c r="E14" s="1058" t="n">
        <v>0</v>
      </c>
      <c r="F14" s="1058" t="n"/>
      <c r="G14" s="2468" t="inlineStr">
        <is>
          <t>O/N</t>
        </is>
      </c>
      <c r="I14" s="2468" t="n"/>
      <c r="J14" s="2468" t="n"/>
      <c r="K14" s="1088" t="inlineStr">
        <is>
          <t>✓</t>
        </is>
      </c>
      <c r="L14" s="1089" t="n"/>
      <c r="M14" s="1089" t="n"/>
      <c r="N14" s="1088" t="n"/>
      <c r="O14" s="1089" t="n"/>
    </row>
    <row r="15" ht="40" customHeight="1" s="2456">
      <c r="A15" s="501" t="n"/>
      <c r="B15" s="1196">
        <f>BIBLE!E31</f>
        <v/>
      </c>
      <c r="C15" s="1196">
        <f>BIBLE!F31</f>
        <v/>
      </c>
      <c r="D15" s="1098" t="n"/>
      <c r="E15" s="545" t="n">
        <v>2</v>
      </c>
      <c r="F15" s="545" t="n"/>
      <c r="G15" s="2468"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56">
      <c r="A16" s="501" t="n"/>
      <c r="B16" s="1196">
        <f>BIBLE!E32</f>
        <v/>
      </c>
      <c r="C16" s="1196">
        <f>BIBLE!F32</f>
        <v/>
      </c>
      <c r="D16" s="1099" t="n"/>
      <c r="E16" s="545" t="n">
        <v>2</v>
      </c>
      <c r="F16" s="545" t="n"/>
      <c r="G16" s="2468"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56">
      <c r="A17" s="501" t="n"/>
      <c r="B17" s="1195">
        <f>BIBLE!E33</f>
        <v/>
      </c>
      <c r="C17" s="1195">
        <f>BIBLE!F33</f>
        <v/>
      </c>
      <c r="D17" s="1392">
        <f>BIBLE!H33</f>
        <v/>
      </c>
      <c r="E17" s="1058" t="n">
        <v>0</v>
      </c>
      <c r="F17" s="1058" t="n"/>
      <c r="G17" s="2468" t="inlineStr">
        <is>
          <t>Choix de réponses</t>
        </is>
      </c>
      <c r="I17" s="2468" t="n"/>
      <c r="J17" s="2468" t="n"/>
      <c r="K17" s="1088" t="inlineStr">
        <is>
          <t>✓</t>
        </is>
      </c>
      <c r="L17" s="1088" t="inlineStr">
        <is>
          <t>✓</t>
        </is>
      </c>
      <c r="M17" s="1089" t="n"/>
      <c r="N17" s="1088" t="inlineStr">
        <is>
          <t>✓</t>
        </is>
      </c>
      <c r="O17" s="1088" t="inlineStr">
        <is>
          <t>✓</t>
        </is>
      </c>
    </row>
    <row r="18" ht="140" customHeight="1" s="2456">
      <c r="A18" s="501" t="n"/>
      <c r="B18" s="1196">
        <f>BIBLE!E34</f>
        <v/>
      </c>
      <c r="C18" s="1196">
        <f>BIBLE!F34</f>
        <v/>
      </c>
      <c r="D18" s="1100">
        <f>BIBLE!H34</f>
        <v/>
      </c>
      <c r="E18" s="1058" t="n">
        <v>0</v>
      </c>
      <c r="F18" s="1058" t="n"/>
      <c r="G18" s="2468" t="inlineStr">
        <is>
          <t>choix multiple</t>
        </is>
      </c>
      <c r="I18" s="2468" t="n"/>
      <c r="J18" s="2468" t="n"/>
      <c r="K18" s="1089" t="n"/>
      <c r="L18" s="1089" t="n"/>
      <c r="M18" s="1088" t="inlineStr">
        <is>
          <t>✓</t>
        </is>
      </c>
      <c r="N18" s="1089" t="n"/>
      <c r="O18" s="1088" t="n"/>
    </row>
    <row r="19" ht="87" customHeight="1" s="2456">
      <c r="A19" s="501" t="n"/>
      <c r="B19" s="1196">
        <f>BIBLE!E35</f>
        <v/>
      </c>
      <c r="C19" s="1196">
        <f>BIBLE!F35</f>
        <v/>
      </c>
      <c r="D19" s="1099" t="inlineStr">
        <is>
          <t>&lt; 9 mois
Entre 9 mois et 2 ans
Entre 2 ans et 5 ans
Entre 5 ans et 10 ans
Plus de 10 ans</t>
        </is>
      </c>
      <c r="E19" s="1058" t="n">
        <v>0</v>
      </c>
      <c r="F19" s="1058" t="n"/>
      <c r="G19" s="2468" t="inlineStr">
        <is>
          <t>choix multiple</t>
        </is>
      </c>
      <c r="I19" s="2468" t="n"/>
      <c r="J19" s="2468" t="n"/>
      <c r="K19" s="1089" t="n"/>
      <c r="L19" s="1089" t="n"/>
      <c r="M19" s="1088" t="inlineStr">
        <is>
          <t>✓</t>
        </is>
      </c>
      <c r="N19" s="1089" t="n"/>
      <c r="O19" s="1088" t="n"/>
    </row>
    <row r="20" ht="48" customHeight="1" s="2456">
      <c r="A20" s="501" t="n"/>
      <c r="B20" s="1196">
        <f>BIBLE!E36</f>
        <v/>
      </c>
      <c r="C20" s="1196">
        <f>BIBLE!F36</f>
        <v/>
      </c>
      <c r="D20" s="1098" t="inlineStr">
        <is>
          <t>-Oui
-Non</t>
        </is>
      </c>
      <c r="E20" s="1058" t="n">
        <v>0</v>
      </c>
      <c r="F20" s="1058" t="n"/>
      <c r="G20" s="2468" t="inlineStr">
        <is>
          <t>O/N</t>
        </is>
      </c>
      <c r="I20" s="2468" t="n"/>
      <c r="J20" s="2468" t="n"/>
      <c r="K20" s="1089" t="n"/>
      <c r="L20" s="1088" t="inlineStr">
        <is>
          <t>✓</t>
        </is>
      </c>
      <c r="M20" s="1088" t="inlineStr">
        <is>
          <t>✓</t>
        </is>
      </c>
      <c r="N20" s="1089" t="n"/>
      <c r="O20" s="1089" t="n"/>
    </row>
    <row r="21" ht="130" customHeight="1" s="2456">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68" t="inlineStr">
        <is>
          <t>choix multiple</t>
        </is>
      </c>
      <c r="I21" s="2468" t="n"/>
      <c r="J21" s="2468" t="n"/>
      <c r="K21" s="1089" t="n"/>
      <c r="L21" s="1088" t="inlineStr">
        <is>
          <t>✓</t>
        </is>
      </c>
      <c r="M21" s="1088" t="inlineStr">
        <is>
          <t>✓</t>
        </is>
      </c>
      <c r="N21" s="1089" t="n"/>
      <c r="O21" s="1088" t="n"/>
    </row>
    <row r="22" ht="40" customHeight="1" s="2456">
      <c r="A22" s="2520" t="n"/>
      <c r="B22" s="1047" t="n"/>
      <c r="C22" s="2578" t="n"/>
      <c r="D22" s="2578" t="n"/>
      <c r="E22" s="2520" t="n"/>
      <c r="F22" s="2520" t="n"/>
      <c r="G22" s="2468" t="n"/>
      <c r="I22" s="2468" t="n"/>
      <c r="J22" s="2468"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56">
      <c r="A24" s="1060" t="n"/>
      <c r="B24" s="1194">
        <f>BIBLE!E58</f>
        <v/>
      </c>
      <c r="C24" s="1194">
        <f>BIBLE!F58</f>
        <v/>
      </c>
      <c r="D24" s="1102" t="n"/>
      <c r="E24" s="545" t="n">
        <v>2</v>
      </c>
      <c r="F24" s="545" t="n"/>
      <c r="G24" s="2468"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56">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68"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69">
      <c r="A26" s="1060" t="n"/>
      <c r="B26" s="1194">
        <f>BIBLE!E66</f>
        <v/>
      </c>
      <c r="C26" s="1194">
        <f>BIBLE!F66</f>
        <v/>
      </c>
      <c r="D26" s="1104" t="n"/>
      <c r="E26" s="545" t="n">
        <v>2</v>
      </c>
      <c r="F26" s="545" t="n"/>
      <c r="G26" s="2468"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69">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68"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56">
      <c r="A28" s="1060" t="n"/>
      <c r="B28" s="1194">
        <f>BIBLE!E70</f>
        <v/>
      </c>
      <c r="C28" s="1194">
        <f>BIBLE!F70</f>
        <v/>
      </c>
      <c r="D28" s="1102" t="n"/>
      <c r="E28" s="545" t="n">
        <v>2</v>
      </c>
      <c r="F28" s="544" t="n">
        <v>3</v>
      </c>
      <c r="G28" s="2468"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56">
      <c r="A29" s="1060" t="n"/>
      <c r="B29" s="1196">
        <f>BIBLE!E71</f>
        <v/>
      </c>
      <c r="C29" s="1196">
        <f>BIBLE!F71</f>
        <v/>
      </c>
      <c r="D29" s="1106" t="inlineStr">
        <is>
          <t>-Oui
-Non</t>
        </is>
      </c>
      <c r="E29" s="593" t="n">
        <v>0</v>
      </c>
      <c r="F29" s="593" t="n"/>
      <c r="G29" s="2468" t="inlineStr">
        <is>
          <t>O/N</t>
        </is>
      </c>
      <c r="I29" s="1061" t="n"/>
      <c r="J29" s="1061" t="n"/>
      <c r="K29" s="1089" t="n"/>
      <c r="L29" s="1089" t="n"/>
      <c r="M29" s="1088" t="inlineStr">
        <is>
          <t>✓</t>
        </is>
      </c>
      <c r="N29" s="1089" t="n"/>
      <c r="O29" s="1088" t="inlineStr">
        <is>
          <t>✓</t>
        </is>
      </c>
    </row>
    <row r="30" ht="31" customHeight="1" s="2456">
      <c r="A30" s="1064" t="n"/>
      <c r="B30" s="2520" t="n"/>
      <c r="C30" s="2578" t="n"/>
      <c r="D30" s="1065" t="n"/>
      <c r="E30" s="2468" t="n"/>
      <c r="F30" s="2468" t="n"/>
      <c r="G30" s="2468" t="n"/>
      <c r="I30" s="1061" t="n"/>
      <c r="J30" s="1061" t="n"/>
      <c r="M30" s="1056" t="n"/>
      <c r="O30" s="1056" t="n"/>
    </row>
    <row r="31" ht="36" customHeight="1" s="2456">
      <c r="A31" s="1066" t="inlineStr">
        <is>
          <t>Co-parent</t>
        </is>
      </c>
      <c r="B31" s="532" t="n"/>
      <c r="C31" s="914" t="n"/>
      <c r="D31" s="914" t="n"/>
      <c r="E31" s="914" t="n"/>
      <c r="F31" s="914" t="n"/>
      <c r="G31" s="914" t="n"/>
      <c r="H31" s="914" t="n"/>
      <c r="I31" s="914" t="n"/>
      <c r="J31" s="914" t="n"/>
    </row>
    <row r="32" ht="34" customHeight="1" s="2456">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56">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68" t="inlineStr">
        <is>
          <t>échelle à deux pôles</t>
        </is>
      </c>
      <c r="I33" s="2468" t="n"/>
      <c r="J33" s="2468" t="n"/>
      <c r="K33" s="1089" t="n"/>
      <c r="L33" s="1089" t="n"/>
      <c r="M33" s="1088" t="n"/>
      <c r="N33" s="1088" t="inlineStr">
        <is>
          <t>✓ indice d'exclusion</t>
        </is>
      </c>
      <c r="O33" s="1088" t="inlineStr">
        <is>
          <t>✓</t>
        </is>
      </c>
    </row>
    <row r="34" ht="34" customFormat="1" customHeight="1" s="2469">
      <c r="A34" s="383" t="n"/>
      <c r="B34" s="1107">
        <f>BIBLE!E125</f>
        <v/>
      </c>
      <c r="C34" s="1108" t="inlineStr">
        <is>
          <t>Dans quelle mesure l'autre parent vous appelle par votre prénom devant votre enfant (versus maman ou papa) ?</t>
        </is>
      </c>
      <c r="D34" s="1109" t="n"/>
      <c r="E34" s="537" t="n">
        <v>1</v>
      </c>
      <c r="F34" s="537" t="n"/>
      <c r="G34" s="2468"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69">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68" t="inlineStr">
        <is>
          <t>choix de réponses</t>
        </is>
      </c>
      <c r="H35" s="543" t="inlineStr">
        <is>
          <t>Usuel / Normal
Nouveau</t>
        </is>
      </c>
      <c r="I35" s="2463" t="n"/>
      <c r="J35" s="2463" t="n"/>
      <c r="K35" s="1091" t="n"/>
      <c r="L35" s="1091" t="n"/>
      <c r="M35" s="1091" t="n"/>
      <c r="N35" s="1088" t="inlineStr">
        <is>
          <t>✓</t>
        </is>
      </c>
      <c r="O35" s="1091" t="n"/>
    </row>
    <row r="36" ht="51" customFormat="1" customHeight="1" s="2469">
      <c r="A36" s="383" t="n"/>
      <c r="B36" s="1197">
        <f>BIBLE!E131</f>
        <v/>
      </c>
      <c r="C36" s="1197">
        <f>BIBLE!F131</f>
        <v/>
      </c>
      <c r="D36" s="1111" t="n"/>
      <c r="E36" s="544" t="n">
        <v>3</v>
      </c>
      <c r="F36" s="544" t="n"/>
      <c r="G36" s="2468"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69">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68"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69">
      <c r="A38" s="383" t="n"/>
      <c r="B38" s="1196">
        <f>BIBLE!E134</f>
        <v/>
      </c>
      <c r="C38" s="1196">
        <f>BIBLE!F134</f>
        <v/>
      </c>
      <c r="D38" s="1112" t="inlineStr">
        <is>
          <t>-Oui
- Non</t>
        </is>
      </c>
      <c r="E38" s="537" t="n">
        <v>1</v>
      </c>
      <c r="F38" s="537" t="n"/>
      <c r="G38" s="2468" t="inlineStr">
        <is>
          <t>O/N</t>
        </is>
      </c>
      <c r="H38" s="541" t="n"/>
      <c r="I38" s="1063" t="n"/>
      <c r="J38" s="1063" t="n"/>
      <c r="K38" s="1091" t="n"/>
      <c r="L38" s="1091" t="n"/>
      <c r="M38" s="1091" t="n"/>
      <c r="N38" s="1091" t="n"/>
      <c r="O38" s="1088" t="inlineStr">
        <is>
          <t>✓</t>
        </is>
      </c>
    </row>
    <row r="39" ht="46" customHeight="1" s="2456">
      <c r="A39" s="383" t="n"/>
      <c r="B39" s="1196">
        <f>BIBLE!E136</f>
        <v/>
      </c>
      <c r="C39" s="1196">
        <f>BIBLE!F136</f>
        <v/>
      </c>
      <c r="D39" s="1113" t="n"/>
      <c r="E39" s="544" t="n">
        <v>3</v>
      </c>
      <c r="F39" s="544" t="n"/>
      <c r="G39" s="2468"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56">
      <c r="A40" s="383" t="n"/>
      <c r="B40" s="1196">
        <f>BIBLE!E137</f>
        <v/>
      </c>
      <c r="C40" s="1198">
        <f>BIBLE!F137</f>
        <v/>
      </c>
      <c r="D40" s="1114" t="n"/>
      <c r="E40" s="544" t="n">
        <v>3</v>
      </c>
      <c r="F40" s="544" t="n"/>
      <c r="G40" s="2468"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56">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68" t="inlineStr">
        <is>
          <t>choix multiple</t>
        </is>
      </c>
      <c r="I41" s="2468" t="n"/>
      <c r="J41" s="2468" t="n"/>
      <c r="K41" s="1089" t="n"/>
      <c r="L41" s="1089" t="n"/>
      <c r="M41" s="1088" t="inlineStr">
        <is>
          <t>✓</t>
        </is>
      </c>
      <c r="N41" s="1088" t="inlineStr">
        <is>
          <t>✓ indice d'exclusion</t>
        </is>
      </c>
      <c r="O41" s="1088" t="inlineStr">
        <is>
          <t>✓</t>
        </is>
      </c>
    </row>
    <row r="42" ht="34" customFormat="1" customHeight="1" s="2469">
      <c r="A42" s="383" t="n"/>
      <c r="B42" s="1197">
        <f>BIBLE!E146</f>
        <v/>
      </c>
      <c r="C42" s="1197">
        <f>BIBLE!F146</f>
        <v/>
      </c>
      <c r="D42" s="1115" t="n"/>
      <c r="E42" s="561" t="n">
        <v>3</v>
      </c>
      <c r="F42" s="561" t="n"/>
      <c r="G42" s="2468"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56">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68"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68" t="n"/>
      <c r="J43" s="2468" t="n"/>
      <c r="K43" s="1089" t="n"/>
      <c r="L43" s="1089" t="n"/>
      <c r="M43" s="1088" t="inlineStr">
        <is>
          <t>✓</t>
        </is>
      </c>
      <c r="N43" s="1088" t="inlineStr">
        <is>
          <t>✓ indice d'exclusion</t>
        </is>
      </c>
      <c r="O43" s="1088" t="inlineStr">
        <is>
          <t>✓</t>
        </is>
      </c>
    </row>
    <row r="44" ht="55" customHeight="1" s="2456">
      <c r="A44" s="2520" t="n"/>
      <c r="B44" s="1047" t="n"/>
      <c r="C44" s="2578" t="n"/>
      <c r="D44" s="1048" t="n"/>
      <c r="E44" s="2468" t="n"/>
      <c r="F44" s="2468" t="n"/>
      <c r="G44" s="2468" t="n"/>
      <c r="I44" s="2468" t="n"/>
      <c r="J44" s="2468" t="n"/>
    </row>
    <row r="45" ht="42" customHeight="1" s="2456">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68"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68"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68"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68"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68" t="inlineStr">
        <is>
          <t>choix
multiples</t>
        </is>
      </c>
      <c r="H51" s="541" t="n"/>
      <c r="I51" s="1080" t="n"/>
      <c r="J51" s="1080" t="n"/>
      <c r="K51" s="1089" t="n"/>
      <c r="L51" s="1089" t="n"/>
      <c r="M51" s="1088" t="inlineStr">
        <is>
          <t>✓</t>
        </is>
      </c>
      <c r="N51" s="1089" t="n"/>
      <c r="O51" s="1088" t="inlineStr">
        <is>
          <t>✓</t>
        </is>
      </c>
    </row>
    <row r="52" ht="42" customHeight="1" s="2456">
      <c r="A52" s="1081" t="n"/>
      <c r="B52" s="1117">
        <f>BIBLE!E206</f>
        <v/>
      </c>
      <c r="C52" s="1117">
        <f>BIBLE!F206</f>
        <v/>
      </c>
      <c r="D52" s="1119" t="inlineStr">
        <is>
          <t>-Oui
-Non</t>
        </is>
      </c>
      <c r="E52" s="551" t="n">
        <v>0</v>
      </c>
      <c r="F52" s="551" t="n"/>
      <c r="G52" s="2468" t="inlineStr">
        <is>
          <t>O/N</t>
        </is>
      </c>
      <c r="H52" s="541" t="n"/>
      <c r="I52" s="1062" t="n"/>
      <c r="J52" s="1062" t="n"/>
      <c r="K52" s="1090" t="n"/>
      <c r="L52" s="1090" t="n"/>
      <c r="M52" s="1090" t="n"/>
      <c r="N52" s="1090" t="n"/>
      <c r="O52" s="1090" t="n"/>
    </row>
    <row r="53" ht="170" customHeight="1" s="2456">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68"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56">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68" t="inlineStr">
        <is>
          <t>choix
multiples + E1A</t>
        </is>
      </c>
      <c r="H54" s="541" t="inlineStr">
        <is>
          <t>Jamais / Rarement / Parfois / Régulièrement / Souvent / Toujours / S.O.</t>
        </is>
      </c>
      <c r="I54" s="2468" t="n"/>
      <c r="J54" s="2468" t="n"/>
      <c r="K54" s="1091" t="n"/>
      <c r="L54" s="1091" t="n"/>
      <c r="M54" s="1088" t="inlineStr">
        <is>
          <t>✓</t>
        </is>
      </c>
      <c r="N54" s="1091" t="n"/>
      <c r="O54" s="1088" t="inlineStr">
        <is>
          <t>✓</t>
        </is>
      </c>
    </row>
    <row r="55" ht="77" customHeight="1" s="2456">
      <c r="A55" s="1081" t="n"/>
      <c r="B55" s="1117">
        <f>BIBLE!E209</f>
        <v/>
      </c>
      <c r="C55" s="1196">
        <f>BIBLE!F209</f>
        <v/>
      </c>
      <c r="D55" s="1120" t="n"/>
      <c r="E55" s="551" t="n"/>
      <c r="F55" s="551" t="n"/>
      <c r="G55" s="2468" t="n"/>
      <c r="H55" s="541" t="n"/>
      <c r="I55" s="2468" t="n"/>
      <c r="J55" s="2468" t="n"/>
      <c r="K55" s="1092" t="n"/>
      <c r="L55" s="1092" t="n"/>
      <c r="M55" s="1276" t="n"/>
      <c r="N55" s="1092" t="n"/>
      <c r="O55" s="1276" t="n"/>
    </row>
    <row r="56" ht="39" customFormat="1" customHeight="1" s="2469">
      <c r="A56" s="1081" t="n"/>
      <c r="B56" s="1117">
        <f>BIBLE!E210</f>
        <v/>
      </c>
      <c r="C56" s="1196">
        <f>BIBLE!F210</f>
        <v/>
      </c>
      <c r="D56" s="1105" t="inlineStr">
        <is>
          <t>calme (0)/ neutre(0) / enjoué.e(0) / taciturne(1) / anxieux(1) / agressif (1). - ON/OFF</t>
        </is>
      </c>
      <c r="E56" s="551" t="n"/>
      <c r="F56" s="551" t="n"/>
      <c r="G56" s="2468" t="n"/>
      <c r="H56" s="541" t="n"/>
      <c r="I56" s="2468" t="n"/>
      <c r="J56" s="2468" t="n"/>
      <c r="K56" s="1091" t="n"/>
      <c r="L56" s="1091" t="n"/>
      <c r="M56" s="1088" t="inlineStr">
        <is>
          <t>✓</t>
        </is>
      </c>
      <c r="N56" s="1089" t="n"/>
      <c r="O56" s="1088" t="inlineStr">
        <is>
          <t>✓</t>
        </is>
      </c>
    </row>
    <row r="57" ht="39" customFormat="1" customHeight="1" s="2469">
      <c r="A57" s="1064" t="n"/>
      <c r="B57" s="2520" t="n"/>
      <c r="C57" s="2578" t="n"/>
      <c r="D57" s="1214" t="n"/>
      <c r="E57" s="2468" t="n"/>
      <c r="F57" s="2468" t="n"/>
      <c r="G57" s="2468" t="n"/>
      <c r="H57" s="541" t="n"/>
      <c r="I57" s="2468" t="n"/>
      <c r="J57" s="2468" t="n"/>
      <c r="M57" s="1056" t="n"/>
      <c r="O57" s="1056" t="n"/>
    </row>
    <row r="58" ht="51" customFormat="1" customHeight="1" s="2469">
      <c r="A58" s="1394" t="inlineStr">
        <is>
          <t>Questionnaire
NOUVEAU CONJOINT.E</t>
        </is>
      </c>
      <c r="B58" s="1395" t="n"/>
      <c r="C58" s="1396" t="n"/>
      <c r="D58" s="1397" t="n"/>
      <c r="E58" s="563" t="n"/>
      <c r="F58" s="563" t="n"/>
      <c r="G58" s="1077" t="n"/>
      <c r="H58" s="1078" t="n"/>
      <c r="I58" s="1077" t="n"/>
      <c r="J58" s="1077" t="n"/>
    </row>
    <row r="59" ht="95" customHeight="1" s="2456">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56">
      <c r="A60" s="1064" t="n"/>
      <c r="B60" s="1047" t="n"/>
      <c r="C60" s="2578" t="n"/>
      <c r="D60" s="1082" t="n"/>
      <c r="E60" s="2468" t="n"/>
      <c r="F60" s="2468" t="n"/>
      <c r="G60" s="2468" t="n"/>
      <c r="H60" s="541" t="n"/>
      <c r="I60" s="2468" t="n"/>
      <c r="J60" s="2468" t="n"/>
      <c r="K60" s="2469" t="n"/>
      <c r="L60" s="2469" t="n"/>
      <c r="M60" s="2469" t="n"/>
      <c r="N60" s="2469" t="n"/>
      <c r="O60" s="2469" t="n"/>
    </row>
    <row r="61" ht="150" customHeight="1" s="2456">
      <c r="A61" s="2609"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56">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56">
      <c r="A63" s="494" t="n"/>
      <c r="B63" s="2520" t="n"/>
      <c r="C63" s="2578" t="n"/>
      <c r="D63" s="1083" t="n"/>
      <c r="E63" s="604" t="n"/>
      <c r="F63" s="604" t="n"/>
      <c r="G63" s="1062" t="n"/>
      <c r="I63" s="1062" t="n"/>
      <c r="J63" s="1062" t="n"/>
      <c r="N63" s="1128" t="n"/>
      <c r="O63" s="1056" t="n"/>
    </row>
    <row r="64" ht="86" customHeight="1" s="2456">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56">
      <c r="A65" s="1424" t="n"/>
      <c r="B65" s="1424" t="n"/>
      <c r="C65" s="1424" t="n"/>
      <c r="D65" s="1425" t="n"/>
      <c r="E65" s="1426" t="n"/>
      <c r="F65" s="1426" t="n"/>
      <c r="G65" s="1427" t="n"/>
      <c r="H65" s="1428" t="n"/>
      <c r="I65" s="1427" t="n"/>
      <c r="J65" s="1427" t="n"/>
      <c r="K65" s="88" t="n"/>
      <c r="L65" s="88" t="n"/>
      <c r="M65" s="88" t="n"/>
      <c r="N65" s="1429" t="n"/>
      <c r="O65" s="1430" t="n"/>
    </row>
    <row r="66" ht="49" customHeight="1" s="2456">
      <c r="A66" s="1424" t="n"/>
      <c r="B66" s="1424" t="n"/>
      <c r="C66" s="1424" t="n"/>
      <c r="D66" s="1425" t="n"/>
      <c r="E66" s="1426" t="n"/>
      <c r="F66" s="1426" t="n"/>
      <c r="G66" s="1427" t="n"/>
      <c r="H66" s="1428" t="n"/>
      <c r="I66" s="1427" t="n"/>
      <c r="J66" s="1427" t="n"/>
      <c r="K66" s="88" t="n"/>
      <c r="L66" s="88" t="n"/>
      <c r="M66" s="88" t="n"/>
      <c r="N66" s="1429" t="n"/>
      <c r="O66" s="1430" t="n"/>
    </row>
    <row r="67" ht="16" customHeight="1" s="2456">
      <c r="A67" s="494" t="n"/>
      <c r="B67" s="1047" t="n"/>
      <c r="C67" s="2578" t="n"/>
      <c r="D67" s="1083" t="n"/>
      <c r="E67" s="604" t="n"/>
      <c r="F67" s="604" t="n"/>
      <c r="G67" s="1062" t="n"/>
      <c r="I67" s="1062" t="n"/>
      <c r="J67" s="1062" t="n"/>
    </row>
    <row r="68" ht="102" customHeight="1" s="2456">
      <c r="A68" s="246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68" t="inlineStr">
        <is>
          <t>Choix de réponses</t>
        </is>
      </c>
      <c r="I68" s="2468" t="n"/>
      <c r="J68" s="2468" t="n"/>
      <c r="K68" s="1088" t="n"/>
      <c r="L68" s="1088" t="inlineStr">
        <is>
          <t>✓</t>
        </is>
      </c>
      <c r="M68" s="1089" t="n"/>
      <c r="N68" s="1089" t="n"/>
      <c r="O68" s="1089" t="n"/>
    </row>
    <row r="69" ht="189" customHeight="1" s="2456">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68" t="inlineStr">
        <is>
          <t>Choix de réponses</t>
        </is>
      </c>
      <c r="I69" s="2468" t="n"/>
      <c r="J69" s="2468" t="n"/>
      <c r="K69" s="1089" t="n"/>
      <c r="L69" s="1088" t="inlineStr">
        <is>
          <t>✓</t>
        </is>
      </c>
      <c r="M69" s="1089" t="n"/>
      <c r="N69" s="1089" t="n"/>
      <c r="O69" s="1089" t="n"/>
    </row>
    <row r="70" ht="54" customHeight="1" s="2456">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68" t="inlineStr">
        <is>
          <t>Choix de réponses</t>
        </is>
      </c>
      <c r="I70" s="2468" t="n"/>
      <c r="J70" s="2468" t="n"/>
      <c r="K70" s="1089" t="n"/>
      <c r="L70" s="1088" t="inlineStr">
        <is>
          <t>✓</t>
        </is>
      </c>
      <c r="M70" s="1089" t="n"/>
      <c r="N70" s="1089" t="n"/>
      <c r="O70" s="1089" t="n"/>
    </row>
    <row r="71" ht="40" customHeight="1" s="2456">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68" t="inlineStr">
        <is>
          <t>Choix de réponses</t>
        </is>
      </c>
      <c r="I71" s="2468" t="n"/>
      <c r="J71" s="2468" t="n"/>
      <c r="K71" s="1089" t="n"/>
      <c r="L71" s="1088" t="inlineStr">
        <is>
          <t>✓</t>
        </is>
      </c>
      <c r="M71" s="1089" t="n"/>
      <c r="N71" s="1089" t="n"/>
      <c r="O71" s="1089" t="n"/>
    </row>
    <row r="72" ht="69" customHeight="1" s="2456">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68" t="n"/>
      <c r="J72" s="2468" t="n"/>
      <c r="K72" s="1089" t="n"/>
      <c r="L72" s="1088" t="inlineStr">
        <is>
          <t>✓</t>
        </is>
      </c>
      <c r="M72" s="1089" t="n"/>
      <c r="N72" s="1089" t="n"/>
      <c r="O72" s="1089" t="n"/>
    </row>
    <row r="73" ht="40" customHeight="1" s="2456">
      <c r="A73" s="2520" t="inlineStr">
        <is>
          <t>Fin du questionnaire</t>
        </is>
      </c>
      <c r="B73" s="1047" t="n"/>
      <c r="C73" s="2578" t="n"/>
      <c r="D73" s="579" t="n"/>
      <c r="E73" s="2468" t="n"/>
      <c r="F73" s="2468" t="n"/>
      <c r="G73" s="2468" t="n"/>
      <c r="I73" s="2468" t="n"/>
      <c r="J73" s="2468" t="n"/>
    </row>
    <row r="75" ht="40" customHeight="1" s="2456">
      <c r="A75" s="2520" t="n"/>
      <c r="B75" s="1047" t="n"/>
      <c r="C75" s="1085" t="n"/>
      <c r="D75" s="2578" t="n"/>
      <c r="E75" s="2468" t="n"/>
      <c r="F75" s="2468" t="n"/>
      <c r="G75" s="2468" t="n"/>
      <c r="I75" s="2468" t="n"/>
      <c r="J75" s="2468" t="n"/>
    </row>
    <row r="76" ht="40" customHeight="1" s="2456">
      <c r="B76" s="1086" t="n"/>
      <c r="C76" s="2465" t="n"/>
      <c r="D76" s="2465" t="n"/>
      <c r="E76" s="575" t="n"/>
      <c r="H76" s="830" t="n"/>
      <c r="I76" s="2485" t="n"/>
      <c r="J76" s="2485" t="n"/>
    </row>
    <row r="77" ht="40" customHeight="1" s="2456">
      <c r="B77" s="1086" t="n"/>
      <c r="C77" s="2465" t="n"/>
      <c r="D77" s="2465" t="n"/>
      <c r="E77" s="575" t="n"/>
      <c r="H77" s="830" t="n"/>
      <c r="I77" s="2485" t="n"/>
      <c r="J77" s="2485" t="n"/>
    </row>
    <row r="78" ht="40" customHeight="1" s="2456">
      <c r="B78" s="1086" t="n"/>
      <c r="C78" s="2465" t="n"/>
      <c r="D78" s="2465" t="n"/>
      <c r="E78" s="575" t="n"/>
      <c r="H78" s="830" t="n"/>
      <c r="I78" s="2485" t="n"/>
      <c r="J78" s="2485" t="n"/>
    </row>
    <row r="79" ht="40" customHeight="1" s="2456">
      <c r="B79" s="1086" t="n"/>
      <c r="C79" s="2465" t="n"/>
      <c r="D79" s="2465" t="n"/>
      <c r="E79" s="575" t="n"/>
      <c r="H79" s="830" t="n"/>
      <c r="I79" s="2485" t="n"/>
      <c r="J79" s="2485" t="n"/>
    </row>
    <row r="80" ht="40" customHeight="1" s="2456">
      <c r="B80" s="1086" t="n"/>
      <c r="C80" s="2465" t="n"/>
      <c r="D80" s="2465" t="n"/>
      <c r="E80" s="575" t="n"/>
      <c r="H80" s="830" t="n"/>
      <c r="I80" s="2485" t="n"/>
      <c r="J80" s="2485" t="n"/>
    </row>
    <row r="81" ht="40" customHeight="1" s="2456">
      <c r="B81" s="1086" t="n"/>
      <c r="C81" s="2465" t="n"/>
      <c r="D81" s="2465" t="n"/>
      <c r="E81" s="575" t="n"/>
      <c r="H81" s="830" t="n"/>
      <c r="I81" s="2485" t="n"/>
      <c r="J81" s="2485" t="n"/>
    </row>
    <row r="82" ht="40" customHeight="1" s="2456">
      <c r="B82" s="1086" t="n"/>
      <c r="C82" s="2465" t="n"/>
      <c r="D82" s="2465" t="n"/>
      <c r="E82" s="575" t="n"/>
      <c r="H82" s="830" t="n"/>
      <c r="I82" s="2485" t="n"/>
      <c r="J82" s="2485" t="n"/>
    </row>
    <row r="83" ht="40" customHeight="1" s="2456">
      <c r="B83" s="1086" t="n"/>
      <c r="C83" s="2465" t="n"/>
      <c r="D83" s="2465" t="n"/>
      <c r="E83" s="575" t="n"/>
      <c r="H83" s="830" t="n"/>
      <c r="I83" s="2485" t="n"/>
      <c r="J83" s="2485" t="n"/>
    </row>
    <row r="84" ht="40" customHeight="1" s="2456">
      <c r="B84" s="1086" t="n"/>
      <c r="C84" s="2465" t="n"/>
      <c r="D84" s="2465" t="n"/>
      <c r="E84" s="575" t="n"/>
      <c r="H84" s="830" t="n"/>
      <c r="I84" s="2485" t="n"/>
      <c r="J84" s="2485" t="n"/>
    </row>
    <row r="85" ht="40" customHeight="1" s="2456">
      <c r="B85" s="1086" t="n"/>
      <c r="C85" s="2465" t="n"/>
      <c r="D85" s="2465" t="n"/>
      <c r="E85" s="575" t="n"/>
      <c r="H85" s="830" t="n"/>
      <c r="I85" s="2485" t="n"/>
      <c r="J85" s="2485" t="n"/>
    </row>
    <row r="86" ht="40" customHeight="1" s="2456">
      <c r="B86" s="1086" t="n"/>
      <c r="C86" s="2465" t="n"/>
      <c r="D86" s="2465" t="n"/>
      <c r="E86" s="575" t="n"/>
      <c r="H86" s="830" t="n"/>
      <c r="I86" s="2485" t="n"/>
      <c r="J86" s="2485" t="n"/>
    </row>
    <row r="87" ht="40" customHeight="1" s="2456">
      <c r="B87" s="1086" t="n"/>
      <c r="C87" s="2465" t="n"/>
      <c r="D87" s="2465" t="n"/>
      <c r="E87" s="575" t="n"/>
      <c r="H87" s="830" t="n"/>
      <c r="I87" s="2485" t="n"/>
      <c r="J87" s="2485" t="n"/>
    </row>
    <row r="88" ht="40" customHeight="1" s="2456">
      <c r="B88" s="1086" t="n"/>
      <c r="C88" s="2465" t="n"/>
      <c r="D88" s="2465" t="n"/>
      <c r="E88" s="575" t="n"/>
      <c r="H88" s="830" t="n"/>
      <c r="I88" s="2485" t="n"/>
      <c r="J88" s="2485"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63">
      <c r="A95" s="2465" t="n"/>
      <c r="B95" s="1087" t="n"/>
      <c r="C95" s="2501" t="n"/>
      <c r="D95" s="2501" t="n"/>
      <c r="H95" s="575" t="n"/>
    </row>
    <row r="96" ht="40" customFormat="1" customHeight="1" s="2463">
      <c r="A96" s="2465" t="n"/>
      <c r="B96" s="1087" t="n"/>
      <c r="C96" s="2501" t="n"/>
      <c r="D96" s="2501" t="n"/>
      <c r="H96" s="575" t="n"/>
    </row>
    <row r="97" ht="40" customFormat="1" customHeight="1" s="2463">
      <c r="A97" s="2465" t="n"/>
      <c r="B97" s="1087" t="n"/>
      <c r="C97" s="2501" t="n"/>
      <c r="D97" s="2501" t="n"/>
      <c r="H97" s="575" t="n"/>
    </row>
    <row r="98" ht="40" customFormat="1" customHeight="1" s="2463">
      <c r="A98" s="2465" t="n"/>
      <c r="B98" s="1087" t="n"/>
      <c r="C98" s="2501" t="n"/>
      <c r="D98" s="2501" t="n"/>
      <c r="H98" s="575" t="n"/>
    </row>
    <row r="99" ht="40" customFormat="1" customHeight="1" s="2463">
      <c r="A99" s="2465" t="n"/>
      <c r="B99" s="1087" t="n"/>
      <c r="C99" s="2501" t="n"/>
      <c r="D99" s="2501" t="n"/>
      <c r="H99" s="575" t="n"/>
    </row>
    <row r="100" ht="40" customFormat="1" customHeight="1" s="2463">
      <c r="A100" s="2465" t="n"/>
      <c r="B100" s="1087" t="n"/>
      <c r="C100" s="2501" t="n"/>
      <c r="D100" s="2501" t="n"/>
      <c r="H100" s="575" t="n"/>
    </row>
    <row r="101" ht="40" customFormat="1" customHeight="1" s="2463">
      <c r="A101" s="2465" t="n"/>
      <c r="B101" s="1087" t="n"/>
      <c r="C101" s="2501" t="n"/>
      <c r="D101" s="2501" t="n"/>
      <c r="H101" s="575" t="n"/>
    </row>
    <row r="102" ht="40" customFormat="1" customHeight="1" s="2463">
      <c r="A102" s="2465" t="n"/>
      <c r="B102" s="1087" t="n"/>
      <c r="C102" s="2501" t="n"/>
      <c r="D102" s="2501" t="n"/>
      <c r="H102" s="575" t="n"/>
    </row>
    <row r="103" ht="40" customFormat="1" customHeight="1" s="2463">
      <c r="A103" s="2465" t="n"/>
      <c r="B103" s="1087" t="n"/>
      <c r="C103" s="2501" t="n"/>
      <c r="D103" s="2501" t="n"/>
      <c r="H103" s="575" t="n"/>
    </row>
    <row r="104" ht="40" customFormat="1" customHeight="1" s="2463">
      <c r="A104" s="2465" t="n"/>
      <c r="B104" s="1087" t="n"/>
      <c r="C104" s="2501" t="n"/>
      <c r="D104" s="2501" t="n"/>
      <c r="H104" s="575" t="n"/>
    </row>
    <row r="105" ht="40" customFormat="1" customHeight="1" s="2463">
      <c r="A105" s="2465" t="n"/>
      <c r="B105" s="1087" t="n"/>
      <c r="C105" s="2501" t="n"/>
      <c r="D105" s="2501" t="n"/>
      <c r="H105" s="575" t="n"/>
    </row>
    <row r="106" ht="40" customFormat="1" customHeight="1" s="2463">
      <c r="A106" s="2465" t="n"/>
      <c r="B106" s="1087" t="n"/>
      <c r="C106" s="2501" t="n"/>
      <c r="D106" s="2501" t="n"/>
      <c r="H106" s="575" t="n"/>
    </row>
    <row r="107" ht="40" customFormat="1" customHeight="1" s="2463">
      <c r="A107" s="2465" t="n"/>
      <c r="B107" s="1087" t="n"/>
      <c r="C107" s="2501" t="n"/>
      <c r="D107" s="2501" t="n"/>
      <c r="H107" s="575" t="n"/>
    </row>
    <row r="108" ht="40" customFormat="1" customHeight="1" s="2463">
      <c r="A108" s="2465" t="n"/>
      <c r="B108" s="1087" t="n"/>
      <c r="C108" s="2501" t="n"/>
      <c r="D108" s="2501" t="n"/>
      <c r="H108" s="575" t="n"/>
    </row>
    <row r="109" ht="40" customFormat="1" customHeight="1" s="2463">
      <c r="A109" s="2465" t="n"/>
      <c r="B109" s="1087" t="n"/>
      <c r="C109" s="2501" t="n"/>
      <c r="D109" s="2501" t="n"/>
      <c r="H109" s="575" t="n"/>
    </row>
    <row r="110" ht="40" customFormat="1" customHeight="1" s="2463">
      <c r="A110" s="2465" t="n"/>
      <c r="B110" s="1087" t="n"/>
      <c r="C110" s="2501" t="n"/>
      <c r="D110" s="2501" t="n"/>
      <c r="H110" s="575" t="n"/>
    </row>
    <row r="111" ht="40" customFormat="1" customHeight="1" s="2463">
      <c r="A111" s="2465" t="n"/>
      <c r="B111" s="1087" t="n"/>
      <c r="C111" s="2501" t="n"/>
      <c r="D111" s="2501" t="n"/>
      <c r="H111" s="575" t="n"/>
    </row>
    <row r="112" ht="40" customFormat="1" customHeight="1" s="2463">
      <c r="A112" s="2465" t="n"/>
      <c r="B112" s="1087" t="n"/>
      <c r="C112" s="2501" t="n"/>
      <c r="D112" s="2501" t="n"/>
      <c r="H112" s="575" t="n"/>
    </row>
    <row r="113" ht="40" customFormat="1" customHeight="1" s="2463">
      <c r="A113" s="2465" t="n"/>
      <c r="B113" s="1087" t="n"/>
      <c r="C113" s="2501" t="n"/>
      <c r="D113" s="2501" t="n"/>
      <c r="H113" s="575" t="n"/>
    </row>
    <row r="114" ht="40" customFormat="1" customHeight="1" s="2463">
      <c r="A114" s="2465" t="n"/>
      <c r="B114" s="1087" t="n"/>
      <c r="C114" s="2501" t="n"/>
      <c r="D114" s="2501" t="n"/>
      <c r="H114" s="575" t="n"/>
    </row>
    <row r="115" ht="40" customFormat="1" customHeight="1" s="2463">
      <c r="A115" s="2465" t="n"/>
      <c r="B115" s="1087" t="n"/>
      <c r="C115" s="2501" t="n"/>
      <c r="D115" s="2501" t="n"/>
      <c r="H115" s="575" t="n"/>
    </row>
    <row r="116" ht="40" customFormat="1" customHeight="1" s="2463">
      <c r="A116" s="2465" t="n"/>
      <c r="B116" s="1087" t="n"/>
      <c r="C116" s="2501" t="n"/>
      <c r="D116" s="2501" t="n"/>
      <c r="H116" s="575" t="n"/>
    </row>
    <row r="117" ht="40" customFormat="1" customHeight="1" s="2463">
      <c r="A117" s="2465" t="n"/>
      <c r="B117" s="1087" t="n"/>
      <c r="C117" s="2501" t="n"/>
      <c r="D117" s="2501" t="n"/>
      <c r="H117" s="575" t="n"/>
    </row>
    <row r="118" ht="40" customFormat="1" customHeight="1" s="2463">
      <c r="A118" s="2465" t="n"/>
      <c r="B118" s="1087" t="n"/>
      <c r="C118" s="2501" t="n"/>
      <c r="D118" s="2501" t="n"/>
      <c r="H118" s="575" t="n"/>
    </row>
    <row r="119" ht="40" customFormat="1" customHeight="1" s="2463">
      <c r="A119" s="2465" t="n"/>
      <c r="B119" s="1087" t="n"/>
      <c r="C119" s="2501" t="n"/>
      <c r="D119" s="2501" t="n"/>
      <c r="H119" s="575" t="n"/>
    </row>
    <row r="120" ht="40" customFormat="1" customHeight="1" s="2463">
      <c r="A120" s="2465" t="n"/>
      <c r="B120" s="1087" t="n"/>
      <c r="C120" s="2501" t="n"/>
      <c r="D120" s="2501" t="n"/>
      <c r="H120" s="575" t="n"/>
    </row>
    <row r="121" ht="40" customFormat="1" customHeight="1" s="2463">
      <c r="A121" s="2465" t="n"/>
      <c r="B121" s="1087" t="n"/>
      <c r="C121" s="2501" t="n"/>
      <c r="D121" s="2501" t="n"/>
      <c r="H121" s="575" t="n"/>
    </row>
    <row r="122" ht="40" customFormat="1" customHeight="1" s="2463">
      <c r="A122" s="2465" t="n"/>
      <c r="B122" s="1087" t="n"/>
      <c r="C122" s="2501" t="n"/>
      <c r="D122" s="2501" t="n"/>
      <c r="H122" s="575" t="n"/>
    </row>
    <row r="123" ht="40" customFormat="1" customHeight="1" s="2463">
      <c r="A123" s="2465" t="n"/>
      <c r="B123" s="1087" t="n"/>
      <c r="C123" s="2501" t="n"/>
      <c r="D123" s="2501" t="n"/>
      <c r="H123" s="575" t="n"/>
    </row>
    <row r="124" ht="40" customFormat="1" customHeight="1" s="2463">
      <c r="A124" s="2465" t="n"/>
      <c r="B124" s="1087" t="n"/>
      <c r="C124" s="2501" t="n"/>
      <c r="D124" s="2501" t="n"/>
      <c r="H124" s="575" t="n"/>
    </row>
    <row r="125" ht="40" customFormat="1" customHeight="1" s="2463">
      <c r="A125" s="2465" t="n"/>
      <c r="B125" s="1087" t="n"/>
      <c r="C125" s="2501" t="n"/>
      <c r="D125" s="2501" t="n"/>
      <c r="H125" s="575" t="n"/>
    </row>
    <row r="126" ht="40" customFormat="1" customHeight="1" s="2463">
      <c r="A126" s="2465" t="n"/>
      <c r="B126" s="1087" t="n"/>
      <c r="C126" s="2501" t="n"/>
      <c r="D126" s="2501" t="n"/>
      <c r="H126" s="575" t="n"/>
    </row>
    <row r="127" ht="40" customFormat="1" customHeight="1" s="2463">
      <c r="A127" s="2465" t="n"/>
      <c r="B127" s="1087" t="n"/>
      <c r="C127" s="2501" t="n"/>
      <c r="D127" s="2501" t="n"/>
      <c r="H127" s="575" t="n"/>
    </row>
    <row r="128" ht="40" customFormat="1" customHeight="1" s="2463">
      <c r="A128" s="2465" t="n"/>
      <c r="B128" s="1087" t="n"/>
      <c r="C128" s="2501" t="n"/>
      <c r="D128" s="2501" t="n"/>
      <c r="H128" s="575" t="n"/>
    </row>
    <row r="129" ht="40" customFormat="1" customHeight="1" s="2463">
      <c r="A129" s="2465" t="n"/>
      <c r="B129" s="1087" t="n"/>
      <c r="C129" s="2501" t="n"/>
      <c r="D129" s="2501" t="n"/>
      <c r="H129" s="575" t="n"/>
    </row>
    <row r="130" ht="40" customFormat="1" customHeight="1" s="2463">
      <c r="A130" s="2465" t="n"/>
      <c r="B130" s="1087" t="n"/>
      <c r="C130" s="2501" t="n"/>
      <c r="D130" s="2501" t="n"/>
      <c r="H130" s="575" t="n"/>
    </row>
    <row r="131" ht="40" customFormat="1" customHeight="1" s="2463">
      <c r="A131" s="2465" t="n"/>
      <c r="B131" s="1087" t="n"/>
      <c r="C131" s="2501" t="n"/>
      <c r="D131" s="2501" t="n"/>
      <c r="H131" s="575" t="n"/>
    </row>
    <row r="132" ht="40" customFormat="1" customHeight="1" s="2463">
      <c r="A132" s="2465" t="n"/>
      <c r="B132" s="1087" t="n"/>
      <c r="C132" s="2501" t="n"/>
      <c r="D132" s="2501" t="n"/>
      <c r="H132" s="575" t="n"/>
    </row>
    <row r="133" ht="40" customFormat="1" customHeight="1" s="2463">
      <c r="A133" s="2465" t="n"/>
      <c r="B133" s="1087" t="n"/>
      <c r="C133" s="2501" t="n"/>
      <c r="D133" s="2501" t="n"/>
      <c r="H133" s="575" t="n"/>
    </row>
    <row r="134" ht="40" customFormat="1" customHeight="1" s="2463">
      <c r="A134" s="2465" t="n"/>
      <c r="B134" s="1087" t="n"/>
      <c r="C134" s="2501" t="n"/>
      <c r="D134" s="2501" t="n"/>
      <c r="H134" s="575" t="n"/>
    </row>
    <row r="135" ht="40" customFormat="1" customHeight="1" s="2463">
      <c r="A135" s="2465" t="n"/>
      <c r="B135" s="1087" t="n"/>
      <c r="C135" s="2501" t="n"/>
      <c r="D135" s="2501" t="n"/>
      <c r="H135" s="575" t="n"/>
    </row>
    <row r="136" ht="40" customFormat="1" customHeight="1" s="2463">
      <c r="A136" s="2465" t="n"/>
      <c r="B136" s="1087" t="n"/>
      <c r="C136" s="2501" t="n"/>
      <c r="D136" s="2501" t="n"/>
      <c r="H136" s="575" t="n"/>
    </row>
    <row r="137" ht="40" customFormat="1" customHeight="1" s="2463">
      <c r="A137" s="2465" t="n"/>
      <c r="B137" s="1087" t="n"/>
      <c r="C137" s="2501" t="n"/>
      <c r="D137" s="2501" t="n"/>
      <c r="H137" s="575" t="n"/>
    </row>
    <row r="138" ht="40" customFormat="1" customHeight="1" s="2463">
      <c r="A138" s="2465" t="n"/>
      <c r="B138" s="1087" t="n"/>
      <c r="C138" s="2501" t="n"/>
      <c r="D138" s="2501" t="n"/>
      <c r="H138" s="575" t="n"/>
    </row>
    <row r="139" ht="40" customFormat="1" customHeight="1" s="2463">
      <c r="A139" s="2465" t="n"/>
      <c r="B139" s="1087" t="n"/>
      <c r="C139" s="2501" t="n"/>
      <c r="D139" s="2501" t="n"/>
      <c r="H139" s="575" t="n"/>
    </row>
    <row r="140" ht="40" customFormat="1" customHeight="1" s="2463">
      <c r="A140" s="2465" t="n"/>
      <c r="B140" s="1087" t="n"/>
      <c r="C140" s="2501" t="n"/>
      <c r="D140" s="2501" t="n"/>
      <c r="H140" s="575" t="n"/>
    </row>
    <row r="141" ht="40" customFormat="1" customHeight="1" s="2463">
      <c r="A141" s="2465" t="n"/>
      <c r="B141" s="1087" t="n"/>
      <c r="C141" s="2501" t="n"/>
      <c r="D141" s="2501" t="n"/>
      <c r="H141" s="575" t="n"/>
    </row>
    <row r="142" ht="40" customFormat="1" customHeight="1" s="2463">
      <c r="A142" s="2465" t="n"/>
      <c r="B142" s="1087" t="n"/>
      <c r="C142" s="2501" t="n"/>
      <c r="D142" s="2501" t="n"/>
      <c r="H142" s="575" t="n"/>
    </row>
    <row r="143" ht="40" customFormat="1" customHeight="1" s="2463">
      <c r="A143" s="2465" t="n"/>
      <c r="B143" s="1087" t="n"/>
      <c r="C143" s="2501" t="n"/>
      <c r="D143" s="2501" t="n"/>
      <c r="H143" s="575" t="n"/>
    </row>
    <row r="144" ht="40" customFormat="1" customHeight="1" s="2463">
      <c r="A144" s="2465" t="n"/>
      <c r="B144" s="1087" t="n"/>
      <c r="C144" s="2501" t="n"/>
      <c r="D144" s="2501" t="n"/>
      <c r="H144" s="575" t="n"/>
    </row>
    <row r="145" ht="40" customFormat="1" customHeight="1" s="2463">
      <c r="A145" s="2465" t="n"/>
      <c r="B145" s="1087" t="n"/>
      <c r="C145" s="2501" t="n"/>
      <c r="D145" s="2501" t="n"/>
      <c r="H145" s="575" t="n"/>
    </row>
    <row r="146" ht="40" customFormat="1" customHeight="1" s="2463">
      <c r="A146" s="2465" t="n"/>
      <c r="B146" s="1087" t="n"/>
      <c r="C146" s="2501" t="n"/>
      <c r="D146" s="2501" t="n"/>
      <c r="H146" s="575" t="n"/>
    </row>
    <row r="147" ht="40" customFormat="1" customHeight="1" s="2463">
      <c r="A147" s="2465" t="n"/>
      <c r="B147" s="1087" t="n"/>
      <c r="C147" s="2501" t="n"/>
      <c r="D147" s="2501" t="n"/>
      <c r="H147" s="575" t="n"/>
    </row>
    <row r="148" ht="40" customFormat="1" customHeight="1" s="2463">
      <c r="A148" s="2465" t="n"/>
      <c r="B148" s="1087" t="n"/>
      <c r="C148" s="2501" t="n"/>
      <c r="D148" s="2501" t="n"/>
      <c r="H148" s="575" t="n"/>
    </row>
    <row r="149" ht="40" customFormat="1" customHeight="1" s="2463">
      <c r="A149" s="2465" t="n"/>
      <c r="B149" s="1087" t="n"/>
      <c r="C149" s="2501" t="n"/>
      <c r="D149" s="2501" t="n"/>
      <c r="H149" s="575" t="n"/>
    </row>
    <row r="150" ht="40" customFormat="1" customHeight="1" s="2463">
      <c r="A150" s="2465" t="n"/>
      <c r="B150" s="1087" t="n"/>
      <c r="C150" s="2501" t="n"/>
      <c r="D150" s="2501" t="n"/>
      <c r="H150" s="575" t="n"/>
    </row>
    <row r="151" ht="40" customFormat="1" customHeight="1" s="2463">
      <c r="A151" s="2465" t="n"/>
      <c r="B151" s="1087" t="n"/>
      <c r="C151" s="2501" t="n"/>
      <c r="D151" s="2501" t="n"/>
      <c r="H151" s="575" t="n"/>
    </row>
    <row r="152" ht="40" customFormat="1" customHeight="1" s="2463">
      <c r="A152" s="2465" t="n"/>
      <c r="B152" s="1087" t="n"/>
      <c r="C152" s="2501" t="n"/>
      <c r="D152" s="2501" t="n"/>
      <c r="H152" s="575" t="n"/>
    </row>
    <row r="153" ht="40" customFormat="1" customHeight="1" s="2463">
      <c r="A153" s="2465" t="n"/>
      <c r="B153" s="1087" t="n"/>
      <c r="C153" s="2501" t="n"/>
      <c r="D153" s="2501" t="n"/>
      <c r="H153" s="575" t="n"/>
    </row>
    <row r="154" ht="40" customFormat="1" customHeight="1" s="2463">
      <c r="A154" s="2465" t="n"/>
      <c r="B154" s="1087" t="n"/>
      <c r="C154" s="2501" t="n"/>
      <c r="D154" s="2501" t="n"/>
      <c r="H154" s="575" t="n"/>
    </row>
    <row r="155" ht="40" customFormat="1" customHeight="1" s="2463">
      <c r="A155" s="2465" t="n"/>
      <c r="B155" s="1087" t="n"/>
      <c r="C155" s="2501" t="n"/>
      <c r="D155" s="2501" t="n"/>
      <c r="H155" s="575" t="n"/>
    </row>
    <row r="156" ht="40" customFormat="1" customHeight="1" s="2463">
      <c r="A156" s="2465" t="n"/>
      <c r="B156" s="1087" t="n"/>
      <c r="C156" s="2501" t="n"/>
      <c r="D156" s="2501" t="n"/>
      <c r="H156" s="575" t="n"/>
    </row>
    <row r="157" ht="40" customFormat="1" customHeight="1" s="2463">
      <c r="A157" s="2465" t="n"/>
      <c r="B157" s="1087" t="n"/>
      <c r="C157" s="2501" t="n"/>
      <c r="D157" s="2501" t="n"/>
      <c r="H157" s="575" t="n"/>
    </row>
    <row r="158" ht="40" customFormat="1" customHeight="1" s="2463">
      <c r="A158" s="2465" t="n"/>
      <c r="B158" s="1087" t="n"/>
      <c r="C158" s="2501" t="n"/>
      <c r="D158" s="2501" t="n"/>
      <c r="H158" s="575" t="n"/>
    </row>
    <row r="159" ht="40" customFormat="1" customHeight="1" s="2463">
      <c r="A159" s="2465" t="n"/>
      <c r="B159" s="1087" t="n"/>
      <c r="C159" s="2501" t="n"/>
      <c r="D159" s="2501" t="n"/>
      <c r="H159" s="575" t="n"/>
    </row>
    <row r="160" ht="40" customFormat="1" customHeight="1" s="2463">
      <c r="A160" s="2465" t="n"/>
      <c r="B160" s="1087" t="n"/>
      <c r="C160" s="2501" t="n"/>
      <c r="D160" s="2501" t="n"/>
      <c r="H160" s="575" t="n"/>
    </row>
    <row r="161" ht="40" customFormat="1" customHeight="1" s="2463">
      <c r="A161" s="2465" t="n"/>
      <c r="B161" s="1087" t="n"/>
      <c r="C161" s="2501" t="n"/>
      <c r="D161" s="2501" t="n"/>
      <c r="H161" s="575" t="n"/>
    </row>
    <row r="162" ht="40" customFormat="1" customHeight="1" s="2463">
      <c r="A162" s="2465" t="n"/>
      <c r="B162" s="1087" t="n"/>
      <c r="C162" s="2501" t="n"/>
      <c r="D162" s="2501" t="n"/>
      <c r="H162" s="575" t="n"/>
    </row>
    <row r="163" ht="40" customFormat="1" customHeight="1" s="2463">
      <c r="A163" s="2465" t="n"/>
      <c r="B163" s="1087" t="n"/>
      <c r="C163" s="2501" t="n"/>
      <c r="D163" s="2501" t="n"/>
      <c r="H163" s="575" t="n"/>
    </row>
    <row r="164" ht="40" customFormat="1" customHeight="1" s="2463">
      <c r="A164" s="2465" t="n"/>
      <c r="B164" s="1087" t="n"/>
      <c r="C164" s="2501" t="n"/>
      <c r="D164" s="2501" t="n"/>
      <c r="H164" s="575" t="n"/>
    </row>
    <row r="165" ht="40" customFormat="1" customHeight="1" s="2463">
      <c r="A165" s="2465" t="n"/>
      <c r="B165" s="1087" t="n"/>
      <c r="C165" s="2501" t="n"/>
      <c r="D165" s="2501" t="n"/>
      <c r="H165" s="575" t="n"/>
    </row>
    <row r="166" ht="40" customFormat="1" customHeight="1" s="2463">
      <c r="A166" s="2465" t="n"/>
      <c r="B166" s="1087" t="n"/>
      <c r="C166" s="2501" t="n"/>
      <c r="D166" s="2501" t="n"/>
      <c r="H166" s="575" t="n"/>
    </row>
    <row r="167" ht="40" customFormat="1" customHeight="1" s="2463">
      <c r="A167" s="2465" t="n"/>
      <c r="B167" s="1087" t="n"/>
      <c r="C167" s="2501" t="n"/>
      <c r="D167" s="2501" t="n"/>
      <c r="H167" s="575" t="n"/>
    </row>
    <row r="168" ht="40" customFormat="1" customHeight="1" s="2463">
      <c r="A168" s="2465" t="n"/>
      <c r="B168" s="1087" t="n"/>
      <c r="C168" s="2501" t="n"/>
      <c r="D168" s="2501" t="n"/>
      <c r="H168" s="575" t="n"/>
    </row>
    <row r="169" ht="40" customFormat="1" customHeight="1" s="2463">
      <c r="A169" s="2465" t="n"/>
      <c r="B169" s="1087" t="n"/>
      <c r="C169" s="2501" t="n"/>
      <c r="D169" s="2501" t="n"/>
      <c r="H169" s="575" t="n"/>
    </row>
    <row r="170" ht="40" customFormat="1" customHeight="1" s="2463">
      <c r="A170" s="2465" t="n"/>
      <c r="B170" s="1087" t="n"/>
      <c r="C170" s="2501" t="n"/>
      <c r="D170" s="2501" t="n"/>
      <c r="H170" s="575" t="n"/>
    </row>
    <row r="171" ht="40" customFormat="1" customHeight="1" s="2463">
      <c r="A171" s="2465" t="n"/>
      <c r="B171" s="1087" t="n"/>
      <c r="C171" s="2501" t="n"/>
      <c r="D171" s="2501" t="n"/>
      <c r="H171" s="575" t="n"/>
    </row>
    <row r="172" ht="40" customFormat="1" customHeight="1" s="2463">
      <c r="A172" s="2465" t="n"/>
      <c r="B172" s="1087" t="n"/>
      <c r="C172" s="2501" t="n"/>
      <c r="D172" s="2501" t="n"/>
      <c r="H172" s="575" t="n"/>
    </row>
    <row r="173" ht="40" customFormat="1" customHeight="1" s="2463">
      <c r="A173" s="2465" t="n"/>
      <c r="B173" s="1087" t="n"/>
      <c r="C173" s="2501" t="n"/>
      <c r="D173" s="2501" t="n"/>
      <c r="H173" s="575" t="n"/>
    </row>
    <row r="174" ht="40" customFormat="1" customHeight="1" s="2463">
      <c r="A174" s="2465" t="n"/>
      <c r="B174" s="1087" t="n"/>
      <c r="C174" s="2501" t="n"/>
      <c r="D174" s="2501" t="n"/>
      <c r="H174" s="575" t="n"/>
    </row>
    <row r="175" ht="40" customFormat="1" customHeight="1" s="2463">
      <c r="A175" s="2465" t="n"/>
      <c r="B175" s="1087" t="n"/>
      <c r="C175" s="2501" t="n"/>
      <c r="D175" s="2501" t="n"/>
      <c r="H175" s="575" t="n"/>
    </row>
    <row r="176" ht="40" customFormat="1" customHeight="1" s="2463">
      <c r="A176" s="2465" t="n"/>
      <c r="B176" s="1087" t="n"/>
      <c r="C176" s="2501" t="n"/>
      <c r="D176" s="2501" t="n"/>
      <c r="H176" s="575" t="n"/>
    </row>
    <row r="177" ht="40" customFormat="1" customHeight="1" s="2463">
      <c r="A177" s="2465" t="n"/>
      <c r="B177" s="1087" t="n"/>
      <c r="C177" s="2501" t="n"/>
      <c r="D177" s="2501" t="n"/>
      <c r="H177" s="575" t="n"/>
    </row>
    <row r="178" ht="40" customFormat="1" customHeight="1" s="2463">
      <c r="A178" s="2465" t="n"/>
      <c r="B178" s="1087" t="n"/>
      <c r="C178" s="2501" t="n"/>
      <c r="D178" s="2501" t="n"/>
      <c r="H178" s="575" t="n"/>
    </row>
    <row r="179" ht="40" customFormat="1" customHeight="1" s="2463">
      <c r="A179" s="2465" t="n"/>
      <c r="B179" s="1087" t="n"/>
      <c r="C179" s="2501" t="n"/>
      <c r="D179" s="2501" t="n"/>
      <c r="H179" s="575" t="n"/>
    </row>
    <row r="180" ht="40" customFormat="1" customHeight="1" s="2463">
      <c r="A180" s="2465" t="n"/>
      <c r="B180" s="1087" t="n"/>
      <c r="C180" s="2501" t="n"/>
      <c r="D180" s="2501" t="n"/>
      <c r="H180" s="575" t="n"/>
    </row>
    <row r="181" ht="40" customFormat="1" customHeight="1" s="2463">
      <c r="A181" s="2465" t="n"/>
      <c r="B181" s="1087" t="n"/>
      <c r="C181" s="2501" t="n"/>
      <c r="D181" s="2501" t="n"/>
      <c r="H181" s="575" t="n"/>
    </row>
    <row r="182" ht="40" customFormat="1" customHeight="1" s="2463">
      <c r="A182" s="2465" t="n"/>
      <c r="B182" s="1087" t="n"/>
      <c r="C182" s="2501" t="n"/>
      <c r="D182" s="2501" t="n"/>
      <c r="H182" s="575" t="n"/>
    </row>
    <row r="183" ht="40" customFormat="1" customHeight="1" s="2463">
      <c r="A183" s="2465" t="n"/>
      <c r="B183" s="1087" t="n"/>
      <c r="C183" s="2501" t="n"/>
      <c r="D183" s="2501" t="n"/>
      <c r="H183" s="575" t="n"/>
    </row>
    <row r="184" ht="40" customFormat="1" customHeight="1" s="2463">
      <c r="A184" s="2465" t="n"/>
      <c r="B184" s="1087" t="n"/>
      <c r="C184" s="2501" t="n"/>
      <c r="D184" s="2501" t="n"/>
      <c r="H184" s="575" t="n"/>
    </row>
    <row r="185" ht="40" customFormat="1" customHeight="1" s="2463">
      <c r="A185" s="2465" t="n"/>
      <c r="B185" s="1087" t="n"/>
      <c r="C185" s="2501" t="n"/>
      <c r="D185" s="2501" t="n"/>
      <c r="H185" s="575" t="n"/>
    </row>
    <row r="186" ht="40" customFormat="1" customHeight="1" s="2463">
      <c r="A186" s="2465" t="n"/>
      <c r="B186" s="1087" t="n"/>
      <c r="C186" s="2501" t="n"/>
      <c r="D186" s="2501" t="n"/>
      <c r="H186" s="575" t="n"/>
    </row>
    <row r="187" ht="40" customFormat="1" customHeight="1" s="2463">
      <c r="A187" s="2465" t="n"/>
      <c r="B187" s="1087" t="n"/>
      <c r="C187" s="2501" t="n"/>
      <c r="D187" s="2501" t="n"/>
      <c r="H187" s="575" t="n"/>
    </row>
    <row r="188" ht="40" customFormat="1" customHeight="1" s="2463">
      <c r="A188" s="2465" t="n"/>
      <c r="B188" s="1087" t="n"/>
      <c r="C188" s="2501" t="n"/>
      <c r="D188" s="2501" t="n"/>
      <c r="H188" s="575" t="n"/>
    </row>
    <row r="189" ht="40" customFormat="1" customHeight="1" s="2463">
      <c r="A189" s="2465" t="n"/>
      <c r="B189" s="1087" t="n"/>
      <c r="C189" s="2501" t="n"/>
      <c r="D189" s="2501" t="n"/>
      <c r="H189" s="575" t="n"/>
    </row>
    <row r="190" ht="40" customFormat="1" customHeight="1" s="2463">
      <c r="A190" s="2465" t="n"/>
      <c r="B190" s="1087" t="n"/>
      <c r="C190" s="2501" t="n"/>
      <c r="D190" s="2501" t="n"/>
      <c r="H190" s="575" t="n"/>
    </row>
    <row r="191" ht="40" customFormat="1" customHeight="1" s="2463">
      <c r="A191" s="2465" t="n"/>
      <c r="B191" s="1087" t="n"/>
      <c r="C191" s="2501" t="n"/>
      <c r="D191" s="2501" t="n"/>
      <c r="H191" s="575" t="n"/>
    </row>
    <row r="192" ht="40" customFormat="1" customHeight="1" s="2463">
      <c r="A192" s="2465" t="n"/>
      <c r="B192" s="1087" t="n"/>
      <c r="C192" s="2501" t="n"/>
      <c r="D192" s="2501" t="n"/>
      <c r="H192" s="575" t="n"/>
    </row>
    <row r="193" ht="40" customFormat="1" customHeight="1" s="2463">
      <c r="A193" s="2465" t="n"/>
      <c r="B193" s="1087" t="n"/>
      <c r="C193" s="2501" t="n"/>
      <c r="D193" s="2501" t="n"/>
      <c r="H193" s="575" t="n"/>
    </row>
    <row r="194" ht="40" customFormat="1" customHeight="1" s="2463">
      <c r="A194" s="2465" t="n"/>
      <c r="B194" s="1087" t="n"/>
      <c r="C194" s="2501" t="n"/>
      <c r="D194" s="2501"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56" min="1" max="1"/>
    <col width="12" customWidth="1" style="2456" min="2" max="2"/>
    <col width="12.33203125" customWidth="1" style="2456" min="12" max="12"/>
  </cols>
  <sheetData>
    <row r="1">
      <c r="A1" t="inlineStr">
        <is>
          <t xml:space="preserve">Test comparatif des baromètres de l'AP </t>
        </is>
      </c>
    </row>
    <row r="3">
      <c r="B3" s="2457" t="inlineStr">
        <is>
          <t>Provient du calcul Test_Bible</t>
        </is>
      </c>
      <c r="J3" t="inlineStr">
        <is>
          <t>Provient des calculs AP, CL et CSS</t>
        </is>
      </c>
    </row>
    <row r="4" ht="27" customHeight="1" s="2456">
      <c r="B4" s="2216" t="inlineStr">
        <is>
          <t>Valeur</t>
        </is>
      </c>
      <c r="C4" s="2514" t="inlineStr">
        <is>
          <t>Min (vert-&gt;)</t>
        </is>
      </c>
      <c r="D4" s="2514" t="inlineStr">
        <is>
          <t>vert</t>
        </is>
      </c>
      <c r="E4" s="2457" t="inlineStr">
        <is>
          <t>Jaune-&gt;</t>
        </is>
      </c>
      <c r="F4" s="2457" t="inlineStr">
        <is>
          <t>orange-&gt;</t>
        </is>
      </c>
      <c r="G4" s="2457" t="inlineStr">
        <is>
          <t>rouge-&gt;</t>
        </is>
      </c>
      <c r="H4" s="2514" t="inlineStr">
        <is>
          <t>Max</t>
        </is>
      </c>
      <c r="J4" s="2216" t="inlineStr">
        <is>
          <t>Valeur</t>
        </is>
      </c>
      <c r="K4" s="2514" t="inlineStr">
        <is>
          <t>Min</t>
        </is>
      </c>
      <c r="L4" s="2514" t="inlineStr">
        <is>
          <t>Min Zone AP</t>
        </is>
      </c>
      <c r="O4" s="251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57" t="inlineStr">
        <is>
          <t>Vert-&gt;</t>
        </is>
      </c>
      <c r="L5" s="2457" t="inlineStr">
        <is>
          <t>Jaune-&gt;</t>
        </is>
      </c>
      <c r="M5" s="2457" t="inlineStr">
        <is>
          <t>orange-&gt;</t>
        </is>
      </c>
      <c r="N5" s="2457" t="inlineStr">
        <is>
          <t>rouge-&gt;</t>
        </is>
      </c>
    </row>
    <row r="6" hidden="1" s="2456">
      <c r="B6" s="589" t="n"/>
      <c r="C6" s="2457" t="n"/>
      <c r="D6" s="2457" t="n"/>
      <c r="E6" s="2457" t="n"/>
      <c r="F6" s="2457" t="n"/>
      <c r="G6" s="2457" t="n"/>
      <c r="H6" s="2457" t="n"/>
      <c r="J6" s="589" t="n"/>
      <c r="K6" s="2457" t="n"/>
      <c r="L6" s="141">
        <f>'TEST_pour PROTOTYPE'!AA424</f>
        <v/>
      </c>
      <c r="M6" s="141">
        <f>'TEST_pour PROTOTYPE'!AB424</f>
        <v/>
      </c>
      <c r="N6" s="141">
        <f>'TEST_pour PROTOTYPE'!AC424</f>
        <v/>
      </c>
    </row>
    <row r="7" ht="20" customHeight="1" s="2456">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56">
      <c r="B8" s="589" t="n"/>
      <c r="C8" s="2457" t="n"/>
      <c r="D8" s="2457" t="n"/>
      <c r="E8" s="2457" t="n"/>
      <c r="F8" s="2457" t="n"/>
      <c r="G8" s="2457" t="n"/>
      <c r="H8" s="2457"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56">
      <c r="B9" s="589" t="n"/>
      <c r="C9" s="2457" t="n"/>
      <c r="D9" s="2457" t="n"/>
      <c r="E9" s="2457" t="n"/>
      <c r="F9" s="2457" t="n"/>
      <c r="G9" s="2457" t="n"/>
      <c r="H9" s="2457"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56">
      <c r="B10" s="589" t="n"/>
      <c r="C10" s="2457" t="n"/>
      <c r="D10" s="2457" t="n"/>
      <c r="E10" s="2457" t="n"/>
      <c r="F10" s="2457" t="n"/>
      <c r="G10" s="2457" t="n"/>
      <c r="H10" s="2457" t="n"/>
      <c r="J10" s="589" t="n"/>
      <c r="K10" s="2457" t="n"/>
    </row>
    <row r="11" ht="20" customHeight="1" s="2456">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56">
      <c r="B12" s="589" t="n"/>
      <c r="C12" s="2457" t="n"/>
      <c r="D12" s="2457" t="n"/>
      <c r="E12" s="2457" t="n"/>
      <c r="F12" s="2457" t="n"/>
      <c r="G12" s="2457" t="n"/>
      <c r="H12" s="2457"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56">
      <c r="B13" s="589" t="n"/>
      <c r="C13" s="2457" t="n"/>
      <c r="D13" s="2457" t="n"/>
      <c r="E13" s="2457" t="n"/>
      <c r="F13" s="2457" t="n"/>
      <c r="G13" s="2457" t="n"/>
      <c r="H13" s="2457" t="n"/>
      <c r="I13" s="2" t="inlineStr">
        <is>
          <t>CSS</t>
        </is>
      </c>
      <c r="J13" s="589">
        <f>'Modèle Calcul A-R + Sommaire'!AI15</f>
        <v/>
      </c>
      <c r="K13" s="2457" t="n">
        <v>0</v>
      </c>
      <c r="L13" s="809">
        <f>'Modèle Calcul A-R + Sommaire'!AN15</f>
        <v/>
      </c>
      <c r="M13" s="2217">
        <f>L13+((O13-L13)*L$6)</f>
        <v/>
      </c>
      <c r="N13" s="2217">
        <f>M13+((O13-L13)*M$6)</f>
        <v/>
      </c>
      <c r="O13">
        <f>'Modèle Calcul A-R + Sommaire'!AO15</f>
        <v/>
      </c>
    </row>
    <row r="14" ht="30" customHeight="1" s="2456">
      <c r="B14" s="589" t="n"/>
      <c r="C14" s="2457" t="n"/>
      <c r="D14" s="2457" t="n"/>
      <c r="E14" s="2457" t="n"/>
      <c r="F14" s="2457" t="n"/>
      <c r="G14" s="2457" t="n"/>
      <c r="H14" s="2457" t="n"/>
      <c r="J14" s="589" t="n"/>
      <c r="K14" s="2457" t="n"/>
    </row>
    <row r="15" ht="20" customHeight="1" s="2456">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56">
      <c r="B16" s="589" t="n"/>
      <c r="C16" s="2457" t="n"/>
      <c r="D16" s="2457" t="n"/>
      <c r="E16" s="2457" t="n"/>
      <c r="F16" s="2457" t="n"/>
      <c r="G16" s="2457" t="n"/>
      <c r="H16" s="2457" t="n"/>
      <c r="I16" s="2" t="inlineStr">
        <is>
          <t>CL</t>
        </is>
      </c>
      <c r="J16" s="589">
        <f>'Modèle Calcul A-R + Sommaire'!AH17</f>
        <v/>
      </c>
      <c r="K16" s="2457" t="n">
        <v>0</v>
      </c>
      <c r="L16">
        <f>'Modèle Calcul A-R + Sommaire'!AL17</f>
        <v/>
      </c>
      <c r="M16" s="2218">
        <f>L16+((O16-L16)*L$6)</f>
        <v/>
      </c>
      <c r="N16" s="2217">
        <f>M16+((O16-L16)*M$6)</f>
        <v/>
      </c>
      <c r="O16">
        <f>'Modèle Calcul A-R + Sommaire'!AM17</f>
        <v/>
      </c>
    </row>
    <row r="17" ht="20" customHeight="1" s="2456">
      <c r="B17" s="589" t="n"/>
      <c r="C17" s="2457" t="n"/>
      <c r="D17" s="2457" t="n"/>
      <c r="E17" s="2457" t="n"/>
      <c r="F17" s="2457" t="n"/>
      <c r="G17" s="2457" t="n"/>
      <c r="H17" s="2457" t="n"/>
      <c r="I17" s="2" t="inlineStr">
        <is>
          <t>CSS</t>
        </is>
      </c>
      <c r="J17" s="589" t="n"/>
      <c r="K17" s="2457" t="n"/>
    </row>
    <row r="18" ht="28" customHeight="1" s="2456">
      <c r="B18" s="589" t="n"/>
      <c r="C18" s="2457" t="n"/>
      <c r="D18" s="2457" t="n"/>
      <c r="E18" s="2457" t="n"/>
      <c r="F18" s="2457" t="n"/>
      <c r="G18" s="2457" t="n"/>
      <c r="H18" s="2457" t="n"/>
      <c r="J18" s="589" t="n"/>
      <c r="K18" s="2457" t="n"/>
    </row>
    <row r="19" ht="20" customHeight="1" s="2456">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56">
      <c r="B20" s="589" t="n"/>
      <c r="I20" s="2" t="inlineStr">
        <is>
          <t>CL</t>
        </is>
      </c>
      <c r="J20" s="1672">
        <f>'Modèle Calcul A-R + Sommaire'!AH19</f>
        <v/>
      </c>
      <c r="K20" s="2457" t="n">
        <v>0</v>
      </c>
      <c r="L20" s="2219">
        <f>'Modèle Calcul A-R + Sommaire'!AL19</f>
        <v/>
      </c>
      <c r="M20" s="2217">
        <f>L20+((O20-L20)*L$6)</f>
        <v/>
      </c>
      <c r="N20" s="2217">
        <f>M20+((O20-L20)*M$6)</f>
        <v/>
      </c>
      <c r="O20" s="55">
        <f>'Modèle Calcul A-R + Sommaire'!AM19</f>
        <v/>
      </c>
    </row>
    <row r="21" ht="20" customHeight="1" s="2456">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2023-06-14T17:21:02Z</dcterms:modified>
  <cp:lastModifiedBy>Microsoft Office User</cp:lastModifiedBy>
  <cp:lastPrinted>2022-11-12T21:56:14Z</cp:lastPrinted>
</cp:coreProperties>
</file>