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comments4.xml" ContentType="application/vnd.openxmlformats-officedocument.spreadsheetml.comment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fileSharing readOnlyRecommended="1"/>
  <workbookPr hidePivotFieldList="1" defaultThemeVersion="166925"/>
  <mc:AlternateContent xmlns:mc="http://schemas.openxmlformats.org/markup-compatibility/2006">
    <mc:Choice Requires="x15">
      <x15ac:absPath xmlns:x15ac="http://schemas.microsoft.com/office/spreadsheetml/2010/11/ac" url="/Users/je_bert/Documents/GitHub/e-barometre/flask-app/"/>
    </mc:Choice>
  </mc:AlternateContent>
  <xr:revisionPtr revIDLastSave="0" documentId="13_ncr:1_{06C5CD53-0E77-284C-B9BE-260B5C346A68}" xr6:coauthVersionLast="47" xr6:coauthVersionMax="47" xr10:uidLastSave="{00000000-0000-0000-0000-000000000000}"/>
  <bookViews>
    <workbookView xWindow="0" yWindow="500" windowWidth="36220" windowHeight="19400" xr2:uid="{E4433F4C-D305-2C4B-88B6-36BCCED5531F}"/>
    <workbookView xWindow="17960" yWindow="500" windowWidth="20440" windowHeight="19040" activeTab="2" xr2:uid="{42D98C26-4667-024F-A228-CA5CA9E440F6}"/>
  </bookViews>
  <sheets>
    <sheet name="TEST_pour PROTOTYPE" sheetId="34" r:id="rId1"/>
    <sheet name="BIBLE" sheetId="14" r:id="rId2"/>
    <sheet name="Test_Bible" sheetId="15" r:id="rId3"/>
    <sheet name="Constat Final" sheetId="28" r:id="rId4"/>
    <sheet name="Analyse spectre enfant" sheetId="33" r:id="rId5"/>
    <sheet name="Analyse Catégories_CEV" sheetId="36" r:id="rId6"/>
    <sheet name="Baromètre" sheetId="16" r:id="rId7"/>
    <sheet name="Q_qualitatives" sheetId="27" r:id="rId8"/>
    <sheet name="Indice D'exclusion" sheetId="31" r:id="rId9"/>
    <sheet name="Contexte" sheetId="32" r:id="rId10"/>
    <sheet name="Indice VC" sheetId="17" r:id="rId11"/>
    <sheet name="Action-Réaction finale" sheetId="19" r:id="rId12"/>
    <sheet name="Cpts miroirs des parents" sheetId="22" r:id="rId13"/>
    <sheet name="Modèle Calcul A-R + miroir" sheetId="24" r:id="rId14"/>
    <sheet name="Modèle Miroir_divergence" sheetId="25" r:id="rId15"/>
    <sheet name="Diff" sheetId="20" r:id="rId16"/>
    <sheet name="CPTS indépendants" sheetId="23" r:id="rId17"/>
    <sheet name="Modèle Cpts Indépendants" sheetId="30" r:id="rId18"/>
    <sheet name="TEMP_Différentiel" sheetId="10" r:id="rId19"/>
  </sheets>
  <externalReferences>
    <externalReference r:id="rId20"/>
  </externalReferences>
  <definedNames>
    <definedName name="_xlchart.v2.0" hidden="1">'Modèle Miroir_divergence'!$AW$7:$AW$19</definedName>
    <definedName name="_xlchart.v2.1" hidden="1">'Modèle Miroir_divergence'!$AX$6</definedName>
    <definedName name="_xlchart.v2.2" hidden="1">'Modèle Miroir_divergence'!$AX$7:$AX$19</definedName>
    <definedName name="_xlchart.v2.3" hidden="1">'Modèle Miroir_divergence'!$AW$7:$AW$19</definedName>
    <definedName name="_xlchart.v2.4" hidden="1">'Modèle Miroir_divergence'!$AX$6</definedName>
    <definedName name="_xlchart.v2.5" hidden="1">'Modèle Miroir_divergence'!$AX$7:$AX$19</definedName>
    <definedName name="Echelle_croissante" localSheetId="7">Q_qualitatives!#REF!</definedName>
    <definedName name="Echelle_croissante">BIBLE!$M$2:$P$8</definedName>
    <definedName name="Échelle_de_sévérité_des_actions_réactions" localSheetId="13">'Modèle Calcul A-R + miroir'!$BP$3:$BQ$8</definedName>
    <definedName name="Échelle_de_sévérité_des_actions_réactions" localSheetId="14">'Modèle Miroir_divergence'!$AP$3:$AQ$8</definedName>
    <definedName name="Échelle_de_sévérité_des_actions_réactions">#REF!</definedName>
    <definedName name="Echelle_decroissante" localSheetId="7">Q_qualitatives!#REF!</definedName>
    <definedName name="Echelle_decroissante">BIBLE!$M$9:$P$13</definedName>
    <definedName name="OLE_LINK12" localSheetId="1">BIBLE!$F$74</definedName>
    <definedName name="OLE_LINK12" localSheetId="7">Q_qualitatives!#REF!</definedName>
    <definedName name="solver_cvg" localSheetId="13" hidden="1">0.0001</definedName>
    <definedName name="solver_cvg" localSheetId="14" hidden="1">0.0001</definedName>
    <definedName name="solver_drv" localSheetId="13" hidden="1">1</definedName>
    <definedName name="solver_drv" localSheetId="14" hidden="1">1</definedName>
    <definedName name="solver_eng" localSheetId="13" hidden="1">1</definedName>
    <definedName name="solver_eng" localSheetId="14" hidden="1">1</definedName>
    <definedName name="solver_itr" localSheetId="13" hidden="1">2147483647</definedName>
    <definedName name="solver_itr" localSheetId="14" hidden="1">2147483647</definedName>
    <definedName name="solver_lin" localSheetId="13" hidden="1">2</definedName>
    <definedName name="solver_lin" localSheetId="14" hidden="1">2</definedName>
    <definedName name="solver_mip" localSheetId="13" hidden="1">2147483647</definedName>
    <definedName name="solver_mip" localSheetId="14" hidden="1">2147483647</definedName>
    <definedName name="solver_mni" localSheetId="13" hidden="1">30</definedName>
    <definedName name="solver_mni" localSheetId="14" hidden="1">30</definedName>
    <definedName name="solver_mrt" localSheetId="13" hidden="1">0.075</definedName>
    <definedName name="solver_mrt" localSheetId="14" hidden="1">0.075</definedName>
    <definedName name="solver_msl" localSheetId="13" hidden="1">2</definedName>
    <definedName name="solver_msl" localSheetId="14" hidden="1">2</definedName>
    <definedName name="solver_neg" localSheetId="13" hidden="1">1</definedName>
    <definedName name="solver_neg" localSheetId="14" hidden="1">1</definedName>
    <definedName name="solver_nod" localSheetId="13" hidden="1">2147483647</definedName>
    <definedName name="solver_nod" localSheetId="14" hidden="1">2147483647</definedName>
    <definedName name="solver_num" localSheetId="13" hidden="1">0</definedName>
    <definedName name="solver_num" localSheetId="14" hidden="1">0</definedName>
    <definedName name="solver_opt" localSheetId="13" hidden="1">'Modèle Calcul A-R + miroir'!#REF!</definedName>
    <definedName name="solver_opt" localSheetId="14" hidden="1">'Modèle Miroir_divergence'!#REF!</definedName>
    <definedName name="solver_pre" localSheetId="13" hidden="1">0.000001</definedName>
    <definedName name="solver_pre" localSheetId="14" hidden="1">0.000001</definedName>
    <definedName name="solver_rbv" localSheetId="13" hidden="1">1</definedName>
    <definedName name="solver_rbv" localSheetId="14" hidden="1">1</definedName>
    <definedName name="solver_rlx" localSheetId="13" hidden="1">2</definedName>
    <definedName name="solver_rlx" localSheetId="14" hidden="1">2</definedName>
    <definedName name="solver_rsd" localSheetId="13" hidden="1">0</definedName>
    <definedName name="solver_rsd" localSheetId="14" hidden="1">0</definedName>
    <definedName name="solver_scl" localSheetId="13" hidden="1">1</definedName>
    <definedName name="solver_scl" localSheetId="14" hidden="1">1</definedName>
    <definedName name="solver_sho" localSheetId="13" hidden="1">2</definedName>
    <definedName name="solver_sho" localSheetId="14" hidden="1">2</definedName>
    <definedName name="solver_ssz" localSheetId="13" hidden="1">100</definedName>
    <definedName name="solver_ssz" localSheetId="14" hidden="1">100</definedName>
    <definedName name="solver_tim" localSheetId="13" hidden="1">2147483647</definedName>
    <definedName name="solver_tim" localSheetId="14" hidden="1">2147483647</definedName>
    <definedName name="solver_tol" localSheetId="13" hidden="1">0.01</definedName>
    <definedName name="solver_tol" localSheetId="14" hidden="1">0.01</definedName>
    <definedName name="solver_typ" localSheetId="13" hidden="1">1</definedName>
    <definedName name="solver_typ" localSheetId="14" hidden="1">1</definedName>
    <definedName name="solver_val" localSheetId="13" hidden="1">0</definedName>
    <definedName name="solver_val" localSheetId="14" hidden="1">0</definedName>
    <definedName name="solver_ver" localSheetId="13" hidden="1">2</definedName>
    <definedName name="solver_ver" localSheetId="14" hidden="1">2</definedName>
    <definedName name="Table_Échelles" localSheetId="7">Q_qualitatives!#REF!</definedName>
    <definedName name="Table_Échelles">BIBLE!$AX$2:$AY$13</definedName>
  </definedNames>
  <calcPr calcId="191028"/>
  <pivotCaches>
    <pivotCache cacheId="1"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32" i="34" l="1"/>
  <c r="D602" i="34"/>
  <c r="D601" i="34"/>
  <c r="D596" i="34"/>
  <c r="D595" i="34"/>
  <c r="D592" i="34"/>
  <c r="D593" i="34"/>
  <c r="D591" i="34"/>
  <c r="D588" i="34"/>
  <c r="D586" i="34"/>
  <c r="D585" i="34"/>
  <c r="D582" i="34"/>
  <c r="F22" i="20"/>
  <c r="F21" i="20"/>
  <c r="D491" i="34"/>
  <c r="D492" i="34"/>
  <c r="D493" i="34"/>
  <c r="G58" i="20"/>
  <c r="G57" i="20"/>
  <c r="G52" i="20"/>
  <c r="G51" i="20"/>
  <c r="G49" i="20"/>
  <c r="C465" i="34"/>
  <c r="AV641" i="24"/>
  <c r="AU641" i="24"/>
  <c r="AP641" i="24"/>
  <c r="AJ643" i="24"/>
  <c r="AK643" i="24"/>
  <c r="AM643" i="24"/>
  <c r="AP642" i="24"/>
  <c r="AU642" i="24"/>
  <c r="AV642" i="24"/>
  <c r="AR524" i="24"/>
  <c r="AQ524" i="24"/>
  <c r="AR519" i="24"/>
  <c r="AQ519" i="24"/>
  <c r="AV515" i="24"/>
  <c r="AU515" i="24"/>
  <c r="AV514" i="24"/>
  <c r="AV516" i="24" s="1"/>
  <c r="AU514" i="24"/>
  <c r="AT514" i="24"/>
  <c r="AS514" i="24"/>
  <c r="AR514" i="24"/>
  <c r="AQ514" i="24"/>
  <c r="AT511" i="24"/>
  <c r="AS511" i="24"/>
  <c r="AR511" i="24"/>
  <c r="AQ511" i="24"/>
  <c r="AS400" i="24"/>
  <c r="AV410" i="24"/>
  <c r="AU410" i="24"/>
  <c r="AT410" i="24"/>
  <c r="AS410" i="24"/>
  <c r="AR410" i="24"/>
  <c r="AQ410" i="24"/>
  <c r="AR409" i="24"/>
  <c r="AQ409" i="24"/>
  <c r="AP404" i="24"/>
  <c r="AQ404" i="24"/>
  <c r="AR404" i="24"/>
  <c r="AP405" i="24"/>
  <c r="AQ405" i="24"/>
  <c r="AR405" i="24"/>
  <c r="AS405" i="24"/>
  <c r="AT405" i="24"/>
  <c r="AU405" i="24"/>
  <c r="AV405" i="24"/>
  <c r="AT400" i="24"/>
  <c r="AS401" i="24"/>
  <c r="AT401" i="24"/>
  <c r="AT399" i="24"/>
  <c r="AS399" i="24"/>
  <c r="AS402" i="24" s="1"/>
  <c r="AV397" i="24"/>
  <c r="AU397" i="24"/>
  <c r="AT397" i="24"/>
  <c r="AS397" i="24"/>
  <c r="AR397" i="24"/>
  <c r="AQ397" i="24"/>
  <c r="AR396" i="24"/>
  <c r="AR398" i="24" s="1"/>
  <c r="AQ396" i="24"/>
  <c r="AV390" i="24"/>
  <c r="AU390" i="24"/>
  <c r="AT390" i="24"/>
  <c r="AS390" i="24"/>
  <c r="AR390" i="24"/>
  <c r="AQ390" i="24"/>
  <c r="AT389" i="24"/>
  <c r="AS389" i="24"/>
  <c r="AV380" i="24"/>
  <c r="AU380" i="24"/>
  <c r="AT380" i="24"/>
  <c r="AS380" i="24"/>
  <c r="AR380" i="24"/>
  <c r="AQ380" i="24"/>
  <c r="AV379" i="24"/>
  <c r="AV381" i="24" s="1"/>
  <c r="AU379" i="24"/>
  <c r="AT379" i="24"/>
  <c r="AS379" i="24"/>
  <c r="AR379" i="24"/>
  <c r="AR381" i="24" s="1"/>
  <c r="AQ379" i="24"/>
  <c r="AV377" i="24"/>
  <c r="AU377" i="24"/>
  <c r="AT377" i="24"/>
  <c r="AS377" i="24"/>
  <c r="AR377" i="24"/>
  <c r="AQ377" i="24"/>
  <c r="AV128" i="24"/>
  <c r="AU128" i="24"/>
  <c r="AV142" i="24"/>
  <c r="AU142" i="24"/>
  <c r="AT142" i="24"/>
  <c r="AS142" i="24"/>
  <c r="AR142" i="24"/>
  <c r="AQ142" i="24"/>
  <c r="AV141" i="24"/>
  <c r="AU141" i="24"/>
  <c r="AT141" i="24"/>
  <c r="AS141" i="24"/>
  <c r="AR141" i="24"/>
  <c r="AQ141" i="24"/>
  <c r="AT137" i="24"/>
  <c r="AS137" i="24"/>
  <c r="AR137" i="24"/>
  <c r="AQ137" i="24"/>
  <c r="AV133" i="24"/>
  <c r="AU133" i="24"/>
  <c r="AT133" i="24"/>
  <c r="AS133" i="24"/>
  <c r="AR133" i="24"/>
  <c r="AQ133" i="24"/>
  <c r="AV132" i="24"/>
  <c r="AV134" i="24" s="1"/>
  <c r="AU132" i="24"/>
  <c r="AT132" i="24"/>
  <c r="AS132" i="24"/>
  <c r="AR132" i="24"/>
  <c r="AR134" i="24" s="1"/>
  <c r="AQ132" i="24"/>
  <c r="AV130" i="24"/>
  <c r="AU130" i="24"/>
  <c r="AV129" i="24"/>
  <c r="AU129" i="24"/>
  <c r="AV631" i="24"/>
  <c r="AU631" i="24"/>
  <c r="AT631" i="24"/>
  <c r="AS631" i="24"/>
  <c r="AR631" i="24"/>
  <c r="AQ631" i="24"/>
  <c r="AT630" i="24"/>
  <c r="AS630" i="24"/>
  <c r="AT627" i="24"/>
  <c r="AS627" i="24"/>
  <c r="AR627" i="24"/>
  <c r="AQ627" i="24"/>
  <c r="AO627" i="24"/>
  <c r="AN627" i="24"/>
  <c r="AT626" i="24"/>
  <c r="AS626" i="24"/>
  <c r="AR626" i="24"/>
  <c r="AQ626" i="24"/>
  <c r="AO626" i="24"/>
  <c r="AN626" i="24"/>
  <c r="AT625" i="24"/>
  <c r="AS625" i="24"/>
  <c r="AR625" i="24"/>
  <c r="AQ625" i="24"/>
  <c r="AO625" i="24"/>
  <c r="AN625" i="24"/>
  <c r="AV622" i="24"/>
  <c r="AU622" i="24"/>
  <c r="AT622" i="24"/>
  <c r="AS622" i="24"/>
  <c r="AR622" i="24"/>
  <c r="AQ622" i="24"/>
  <c r="AV621" i="24"/>
  <c r="AU621" i="24"/>
  <c r="AT621" i="24"/>
  <c r="AS621" i="24"/>
  <c r="AR621" i="24"/>
  <c r="AQ621" i="24"/>
  <c r="AV619" i="24"/>
  <c r="AU619" i="24"/>
  <c r="AT619" i="24"/>
  <c r="AS619" i="24"/>
  <c r="AR619" i="24"/>
  <c r="AQ619" i="24"/>
  <c r="AT618" i="24"/>
  <c r="AS618" i="24"/>
  <c r="AS620" i="24" s="1"/>
  <c r="AV611" i="24"/>
  <c r="AU611" i="24"/>
  <c r="AT611" i="24"/>
  <c r="AS611" i="24"/>
  <c r="AR611" i="24"/>
  <c r="AQ611" i="24"/>
  <c r="AT610" i="24"/>
  <c r="AS610" i="24"/>
  <c r="AR610" i="24"/>
  <c r="AQ610" i="24"/>
  <c r="AT606" i="24"/>
  <c r="AS606" i="24"/>
  <c r="AR606" i="24"/>
  <c r="AQ606" i="24"/>
  <c r="AT605" i="24"/>
  <c r="AS605" i="24"/>
  <c r="AR605" i="24"/>
  <c r="AQ605" i="24"/>
  <c r="AV602" i="24"/>
  <c r="AU602" i="24"/>
  <c r="AT602" i="24"/>
  <c r="AS602" i="24"/>
  <c r="AR602" i="24"/>
  <c r="AQ602" i="24"/>
  <c r="AV601" i="24"/>
  <c r="AU601" i="24"/>
  <c r="AT601" i="24"/>
  <c r="AT603" i="24" s="1"/>
  <c r="AS601" i="24"/>
  <c r="AR601" i="24"/>
  <c r="AQ601" i="24"/>
  <c r="AV599" i="24"/>
  <c r="AU599" i="24"/>
  <c r="AT599" i="24"/>
  <c r="AS599" i="24"/>
  <c r="AR599" i="24"/>
  <c r="AQ599" i="24"/>
  <c r="AT598" i="24"/>
  <c r="AT600" i="24" s="1"/>
  <c r="AS598" i="24"/>
  <c r="AS600" i="24" s="1"/>
  <c r="AR598" i="24"/>
  <c r="AQ598" i="24"/>
  <c r="AQ600" i="24" s="1"/>
  <c r="AV591" i="24"/>
  <c r="AU591" i="24"/>
  <c r="AT591" i="24"/>
  <c r="AS591" i="24"/>
  <c r="AR591" i="24"/>
  <c r="AQ591" i="24"/>
  <c r="AT590" i="24"/>
  <c r="AS590" i="24"/>
  <c r="AR590" i="24"/>
  <c r="AQ590" i="24"/>
  <c r="AT587" i="24"/>
  <c r="AS587" i="24"/>
  <c r="AR587" i="24"/>
  <c r="AQ587" i="24"/>
  <c r="AO587" i="24"/>
  <c r="AN587" i="24"/>
  <c r="AT586" i="24"/>
  <c r="AS586" i="24"/>
  <c r="AR586" i="24"/>
  <c r="AQ586" i="24"/>
  <c r="AO586" i="24"/>
  <c r="AN586" i="24"/>
  <c r="AT585" i="24"/>
  <c r="AS585" i="24"/>
  <c r="AR585" i="24"/>
  <c r="AQ585" i="24"/>
  <c r="AO585" i="24"/>
  <c r="AN585" i="24"/>
  <c r="AV582" i="24"/>
  <c r="AU582" i="24"/>
  <c r="AT582" i="24"/>
  <c r="AS582" i="24"/>
  <c r="AR582" i="24"/>
  <c r="AQ582" i="24"/>
  <c r="AV581" i="24"/>
  <c r="AU581" i="24"/>
  <c r="AU583" i="24" s="1"/>
  <c r="AT581" i="24"/>
  <c r="AS581" i="24"/>
  <c r="AR581" i="24"/>
  <c r="AQ581" i="24"/>
  <c r="AQ583" i="24" s="1"/>
  <c r="AV579" i="24"/>
  <c r="AU579" i="24"/>
  <c r="AT579" i="24"/>
  <c r="AS579" i="24"/>
  <c r="AT578" i="24"/>
  <c r="AS578" i="24"/>
  <c r="AR578" i="24"/>
  <c r="AQ578" i="24"/>
  <c r="AV571" i="24"/>
  <c r="AU571" i="24"/>
  <c r="AT571" i="24"/>
  <c r="AS571" i="24"/>
  <c r="AR571" i="24"/>
  <c r="AQ571" i="24"/>
  <c r="AT570" i="24"/>
  <c r="AS570" i="24"/>
  <c r="AR570" i="24"/>
  <c r="AQ570" i="24"/>
  <c r="AT567" i="24"/>
  <c r="AS567" i="24"/>
  <c r="AR567" i="24"/>
  <c r="AQ567" i="24"/>
  <c r="AO567" i="24"/>
  <c r="AN567" i="24"/>
  <c r="AT566" i="24"/>
  <c r="AS566" i="24"/>
  <c r="AR566" i="24"/>
  <c r="AQ566" i="24"/>
  <c r="AO566" i="24"/>
  <c r="AN566" i="24"/>
  <c r="AT565" i="24"/>
  <c r="AS565" i="24"/>
  <c r="AR565" i="24"/>
  <c r="AQ565" i="24"/>
  <c r="AO565" i="24"/>
  <c r="AN565" i="24"/>
  <c r="AV562" i="24"/>
  <c r="AU562" i="24"/>
  <c r="AT562" i="24"/>
  <c r="AS562" i="24"/>
  <c r="AS563" i="24" s="1"/>
  <c r="AR562" i="24"/>
  <c r="AQ562" i="24"/>
  <c r="AV561" i="24"/>
  <c r="AU561" i="24"/>
  <c r="AU563" i="24" s="1"/>
  <c r="AT561" i="24"/>
  <c r="AS561" i="24"/>
  <c r="AR561" i="24"/>
  <c r="AQ561" i="24"/>
  <c r="AQ563" i="24" s="1"/>
  <c r="AV559" i="24"/>
  <c r="AU559" i="24"/>
  <c r="AT559" i="24"/>
  <c r="AS559" i="24"/>
  <c r="AR559" i="24"/>
  <c r="AQ559" i="24"/>
  <c r="AT558" i="24"/>
  <c r="AS558" i="24"/>
  <c r="AS560" i="24" s="1"/>
  <c r="AR558" i="24"/>
  <c r="AQ558" i="24"/>
  <c r="AT551" i="24"/>
  <c r="AS551" i="24"/>
  <c r="AR550" i="24"/>
  <c r="AQ550" i="24"/>
  <c r="AT546" i="24"/>
  <c r="AS546" i="24"/>
  <c r="AR546" i="24"/>
  <c r="AQ546" i="24"/>
  <c r="AT545" i="24"/>
  <c r="AS545" i="24"/>
  <c r="AR545" i="24"/>
  <c r="AQ545" i="24"/>
  <c r="AV542" i="24"/>
  <c r="AU542" i="24"/>
  <c r="AT542" i="24"/>
  <c r="AS542" i="24"/>
  <c r="AR542" i="24"/>
  <c r="AQ542" i="24"/>
  <c r="AV541" i="24"/>
  <c r="AU541" i="24"/>
  <c r="AT541" i="24"/>
  <c r="AS541" i="24"/>
  <c r="AR541" i="24"/>
  <c r="AQ541" i="24"/>
  <c r="AV539" i="24"/>
  <c r="AU539" i="24"/>
  <c r="AT539" i="24"/>
  <c r="AS539" i="24"/>
  <c r="AR539" i="24"/>
  <c r="AQ539" i="24"/>
  <c r="AP539" i="24"/>
  <c r="AO539" i="24"/>
  <c r="AN539" i="24"/>
  <c r="AR538" i="24"/>
  <c r="AQ538" i="24"/>
  <c r="AV505" i="24"/>
  <c r="AU505" i="24"/>
  <c r="AT505" i="24"/>
  <c r="AS505" i="24"/>
  <c r="AR505" i="24"/>
  <c r="AQ505" i="24"/>
  <c r="AR504" i="24"/>
  <c r="AQ504" i="24"/>
  <c r="AR499" i="24"/>
  <c r="AQ499" i="24"/>
  <c r="AV496" i="24"/>
  <c r="AU496" i="24"/>
  <c r="AT496" i="24"/>
  <c r="AS496" i="24"/>
  <c r="AR496" i="24"/>
  <c r="AQ496" i="24"/>
  <c r="AV495" i="24"/>
  <c r="AU495" i="24"/>
  <c r="AT495" i="24"/>
  <c r="AT497" i="24" s="1"/>
  <c r="AS495" i="24"/>
  <c r="AS497" i="24" s="1"/>
  <c r="AR495" i="24"/>
  <c r="AQ495" i="24"/>
  <c r="AV493" i="24"/>
  <c r="AU493" i="24"/>
  <c r="AT493" i="24"/>
  <c r="AS493" i="24"/>
  <c r="AR492" i="24"/>
  <c r="AQ492" i="24"/>
  <c r="AV486" i="24"/>
  <c r="AU486" i="24"/>
  <c r="AT486" i="24"/>
  <c r="AS486" i="24"/>
  <c r="AR486" i="24"/>
  <c r="AQ486" i="24"/>
  <c r="AV485" i="24"/>
  <c r="AU485" i="24"/>
  <c r="AT485" i="24"/>
  <c r="AS485" i="24"/>
  <c r="AR485" i="24"/>
  <c r="AQ485" i="24"/>
  <c r="AT481" i="24"/>
  <c r="AS481" i="24"/>
  <c r="AR481" i="24"/>
  <c r="AQ481" i="24"/>
  <c r="AV477" i="24"/>
  <c r="AU477" i="24"/>
  <c r="AT477" i="24"/>
  <c r="AT478" i="24" s="1"/>
  <c r="AS477" i="24"/>
  <c r="AR477" i="24"/>
  <c r="AQ477" i="24"/>
  <c r="AV476" i="24"/>
  <c r="AV478" i="24" s="1"/>
  <c r="AU476" i="24"/>
  <c r="AU478" i="24" s="1"/>
  <c r="AT476" i="24"/>
  <c r="AS476" i="24"/>
  <c r="AR476" i="24"/>
  <c r="AR478" i="24" s="1"/>
  <c r="AQ476" i="24"/>
  <c r="AQ478" i="24" s="1"/>
  <c r="AV474" i="24"/>
  <c r="AU474" i="24"/>
  <c r="AV473" i="24"/>
  <c r="AU473" i="24"/>
  <c r="AU475" i="24" s="1"/>
  <c r="AV467" i="24"/>
  <c r="AU467" i="24"/>
  <c r="AT467" i="24"/>
  <c r="AS467" i="24"/>
  <c r="AR467" i="24"/>
  <c r="AQ467" i="24"/>
  <c r="AV466" i="24"/>
  <c r="AU466" i="24"/>
  <c r="AT466" i="24"/>
  <c r="AS466" i="24"/>
  <c r="AR466" i="24"/>
  <c r="AQ466" i="24"/>
  <c r="AT462" i="24"/>
  <c r="AS462" i="24"/>
  <c r="AR462" i="24"/>
  <c r="AQ462" i="24"/>
  <c r="AT461" i="24"/>
  <c r="AS461" i="24"/>
  <c r="AV458" i="24"/>
  <c r="AU458" i="24"/>
  <c r="AT458" i="24"/>
  <c r="AS458" i="24"/>
  <c r="AR458" i="24"/>
  <c r="AQ458" i="24"/>
  <c r="AT457" i="24"/>
  <c r="AS457" i="24"/>
  <c r="AS459" i="24" s="1"/>
  <c r="AV455" i="24"/>
  <c r="AU455" i="24"/>
  <c r="AT455" i="24"/>
  <c r="AS455" i="24"/>
  <c r="AR455" i="24"/>
  <c r="AQ455" i="24"/>
  <c r="AT454" i="24"/>
  <c r="AS454" i="24"/>
  <c r="AS456" i="24" s="1"/>
  <c r="AV448" i="24"/>
  <c r="AU448" i="24"/>
  <c r="AT448" i="24"/>
  <c r="AS448" i="24"/>
  <c r="AR448" i="24"/>
  <c r="AQ448" i="24"/>
  <c r="AV447" i="24"/>
  <c r="AU447" i="24"/>
  <c r="AT447" i="24"/>
  <c r="AS447" i="24"/>
  <c r="AT443" i="24"/>
  <c r="AS443" i="24"/>
  <c r="AR443" i="24"/>
  <c r="AQ443" i="24"/>
  <c r="AV439" i="24"/>
  <c r="AU439" i="24"/>
  <c r="AT439" i="24"/>
  <c r="AT440" i="24" s="1"/>
  <c r="AS439" i="24"/>
  <c r="AR439" i="24"/>
  <c r="AQ439" i="24"/>
  <c r="AV438" i="24"/>
  <c r="AV440" i="24" s="1"/>
  <c r="AU438" i="24"/>
  <c r="AT438" i="24"/>
  <c r="AS438" i="24"/>
  <c r="AR438" i="24"/>
  <c r="AR440" i="24" s="1"/>
  <c r="AQ438" i="24"/>
  <c r="AV436" i="24"/>
  <c r="AU436" i="24"/>
  <c r="AT436" i="24"/>
  <c r="AS436" i="24"/>
  <c r="AV435" i="24"/>
  <c r="AU435" i="24"/>
  <c r="AU437" i="24" s="1"/>
  <c r="AT435" i="24"/>
  <c r="AS435" i="24"/>
  <c r="AS437" i="24" s="1"/>
  <c r="AV429" i="24"/>
  <c r="AU429" i="24"/>
  <c r="AT429" i="24"/>
  <c r="AS429" i="24"/>
  <c r="AR429" i="24"/>
  <c r="AQ429" i="24"/>
  <c r="AT428" i="24"/>
  <c r="AS428" i="24"/>
  <c r="AT424" i="24"/>
  <c r="AS424" i="24"/>
  <c r="AR424" i="24"/>
  <c r="AQ424" i="24"/>
  <c r="AO424" i="24"/>
  <c r="AN424" i="24"/>
  <c r="AV420" i="24"/>
  <c r="AU420" i="24"/>
  <c r="AU421" i="24" s="1"/>
  <c r="AT420" i="24"/>
  <c r="AS420" i="24"/>
  <c r="AR420" i="24"/>
  <c r="AQ420" i="24"/>
  <c r="AQ421" i="24" s="1"/>
  <c r="AV419" i="24"/>
  <c r="AU419" i="24"/>
  <c r="AT419" i="24"/>
  <c r="AS419" i="24"/>
  <c r="AS421" i="24" s="1"/>
  <c r="AR419" i="24"/>
  <c r="AQ419" i="24"/>
  <c r="AV417" i="24"/>
  <c r="AU417" i="24"/>
  <c r="AT417" i="24"/>
  <c r="AS417" i="24"/>
  <c r="AR417" i="24"/>
  <c r="AQ417" i="24"/>
  <c r="AV370" i="24"/>
  <c r="AU370" i="24"/>
  <c r="AT370" i="24"/>
  <c r="AS370" i="24"/>
  <c r="AR370" i="24"/>
  <c r="AQ370" i="24"/>
  <c r="AV369" i="24"/>
  <c r="AU369" i="24"/>
  <c r="AT369" i="24"/>
  <c r="AS369" i="24"/>
  <c r="AR369" i="24"/>
  <c r="AQ369" i="24"/>
  <c r="AT365" i="24"/>
  <c r="AS365" i="24"/>
  <c r="AR365" i="24"/>
  <c r="AQ365" i="24"/>
  <c r="AV361" i="24"/>
  <c r="AU361" i="24"/>
  <c r="AT361" i="24"/>
  <c r="AS361" i="24"/>
  <c r="AR361" i="24"/>
  <c r="AQ361" i="24"/>
  <c r="AV360" i="24"/>
  <c r="AV362" i="24" s="1"/>
  <c r="AU360" i="24"/>
  <c r="AU362" i="24" s="1"/>
  <c r="AT360" i="24"/>
  <c r="AS360" i="24"/>
  <c r="AR360" i="24"/>
  <c r="AR362" i="24" s="1"/>
  <c r="AQ360" i="24"/>
  <c r="AQ362" i="24" s="1"/>
  <c r="AV358" i="24"/>
  <c r="AU358" i="24"/>
  <c r="AT358" i="24"/>
  <c r="AS358" i="24"/>
  <c r="AR358" i="24"/>
  <c r="AQ358" i="24"/>
  <c r="AV357" i="24"/>
  <c r="AU357" i="24"/>
  <c r="AU359" i="24" s="1"/>
  <c r="AV351" i="24"/>
  <c r="AU351" i="24"/>
  <c r="AT351" i="24"/>
  <c r="AS351" i="24"/>
  <c r="AR351" i="24"/>
  <c r="AQ351" i="24"/>
  <c r="AV350" i="24"/>
  <c r="AU350" i="24"/>
  <c r="AT350" i="24"/>
  <c r="AS350" i="24"/>
  <c r="AR350" i="24"/>
  <c r="AQ350" i="24"/>
  <c r="AT346" i="24"/>
  <c r="AS346" i="24"/>
  <c r="AR346" i="24"/>
  <c r="AQ346" i="24"/>
  <c r="AV342" i="24"/>
  <c r="AU342" i="24"/>
  <c r="AT342" i="24"/>
  <c r="AS342" i="24"/>
  <c r="AR342" i="24"/>
  <c r="AQ342" i="24"/>
  <c r="AV341" i="24"/>
  <c r="AV343" i="24" s="1"/>
  <c r="AU341" i="24"/>
  <c r="AT341" i="24"/>
  <c r="AS341" i="24"/>
  <c r="AR341" i="24"/>
  <c r="AR343" i="24" s="1"/>
  <c r="AQ341" i="24"/>
  <c r="AV339" i="24"/>
  <c r="AU339" i="24"/>
  <c r="AT339" i="24"/>
  <c r="AS339" i="24"/>
  <c r="AR339" i="24"/>
  <c r="AQ339" i="24"/>
  <c r="AV332" i="24"/>
  <c r="AU332" i="24"/>
  <c r="AT332" i="24"/>
  <c r="AS332" i="24"/>
  <c r="AR332" i="24"/>
  <c r="AQ332" i="24"/>
  <c r="AV331" i="24"/>
  <c r="AU331" i="24"/>
  <c r="AT331" i="24"/>
  <c r="AS331" i="24"/>
  <c r="AR331" i="24"/>
  <c r="AQ331" i="24"/>
  <c r="AT327" i="24"/>
  <c r="AS327" i="24"/>
  <c r="AV323" i="24"/>
  <c r="AU323" i="24"/>
  <c r="AT323" i="24"/>
  <c r="AS323" i="24"/>
  <c r="AR323" i="24"/>
  <c r="AQ323" i="24"/>
  <c r="AT322" i="24"/>
  <c r="AT324" i="24" s="1"/>
  <c r="AS322" i="24"/>
  <c r="AT320" i="24"/>
  <c r="AS320" i="24"/>
  <c r="AV319" i="24"/>
  <c r="AU319" i="24"/>
  <c r="AT319" i="24"/>
  <c r="AT321" i="24" s="1"/>
  <c r="AS319" i="24"/>
  <c r="AS321" i="24" s="1"/>
  <c r="AV313" i="24"/>
  <c r="AU313" i="24"/>
  <c r="AT313" i="24"/>
  <c r="AS313" i="24"/>
  <c r="AR313" i="24"/>
  <c r="AQ313" i="24"/>
  <c r="AV312" i="24"/>
  <c r="AU312" i="24"/>
  <c r="AT312" i="24"/>
  <c r="AS312" i="24"/>
  <c r="AT308" i="24"/>
  <c r="AS308" i="24"/>
  <c r="AR308" i="24"/>
  <c r="AQ308" i="24"/>
  <c r="AV304" i="24"/>
  <c r="AU304" i="24"/>
  <c r="AT304" i="24"/>
  <c r="AS304" i="24"/>
  <c r="AR304" i="24"/>
  <c r="AQ304" i="24"/>
  <c r="AV303" i="24"/>
  <c r="AU303" i="24"/>
  <c r="AV301" i="24"/>
  <c r="AU301" i="24"/>
  <c r="AT301" i="24"/>
  <c r="AS301" i="24"/>
  <c r="AR301" i="24"/>
  <c r="AQ301" i="24"/>
  <c r="AV300" i="24"/>
  <c r="AU300" i="24"/>
  <c r="AT300" i="24"/>
  <c r="AS300" i="24"/>
  <c r="AS302" i="24" s="1"/>
  <c r="AV294" i="24"/>
  <c r="AU294" i="24"/>
  <c r="AT294" i="24"/>
  <c r="AS294" i="24"/>
  <c r="AR294" i="24"/>
  <c r="AQ294" i="24"/>
  <c r="AV293" i="24"/>
  <c r="AU293" i="24"/>
  <c r="AT293" i="24"/>
  <c r="AS293" i="24"/>
  <c r="AR293" i="24"/>
  <c r="AQ293" i="24"/>
  <c r="AV285" i="24"/>
  <c r="AU285" i="24"/>
  <c r="AT285" i="24"/>
  <c r="AS285" i="24"/>
  <c r="AR285" i="24"/>
  <c r="AQ285" i="24"/>
  <c r="AT284" i="24"/>
  <c r="AT286" i="24" s="1"/>
  <c r="AS284" i="24"/>
  <c r="AS286" i="24" s="1"/>
  <c r="AV281" i="24"/>
  <c r="AU281" i="24"/>
  <c r="AV275" i="24"/>
  <c r="AU275" i="24"/>
  <c r="AT275" i="24"/>
  <c r="AS275" i="24"/>
  <c r="AR275" i="24"/>
  <c r="AQ275" i="24"/>
  <c r="AT274" i="24"/>
  <c r="AS274" i="24"/>
  <c r="AT270" i="24"/>
  <c r="AS270" i="24"/>
  <c r="AV266" i="24"/>
  <c r="AU266" i="24"/>
  <c r="AT266" i="24"/>
  <c r="AS266" i="24"/>
  <c r="AR266" i="24"/>
  <c r="AQ266" i="24"/>
  <c r="AT265" i="24"/>
  <c r="AS265" i="24"/>
  <c r="AS267" i="24" s="1"/>
  <c r="AT263" i="24"/>
  <c r="AS263" i="24"/>
  <c r="AT262" i="24"/>
  <c r="AS262" i="24"/>
  <c r="AV256" i="24"/>
  <c r="AU256" i="24"/>
  <c r="AT256" i="24"/>
  <c r="AS256" i="24"/>
  <c r="AR256" i="24"/>
  <c r="AQ256" i="24"/>
  <c r="AV255" i="24"/>
  <c r="AU255" i="24"/>
  <c r="AT255" i="24"/>
  <c r="AS255" i="24"/>
  <c r="AR255" i="24"/>
  <c r="AQ255" i="24"/>
  <c r="AV247" i="24"/>
  <c r="AU247" i="24"/>
  <c r="AT247" i="24"/>
  <c r="AS247" i="24"/>
  <c r="AR247" i="24"/>
  <c r="AQ247" i="24"/>
  <c r="AV244" i="24"/>
  <c r="AU244" i="24"/>
  <c r="AT244" i="24"/>
  <c r="AS244" i="24"/>
  <c r="AR244" i="24"/>
  <c r="AQ244" i="24"/>
  <c r="AV243" i="24"/>
  <c r="AU243" i="24"/>
  <c r="AV237" i="24"/>
  <c r="AU237" i="24"/>
  <c r="AT237" i="24"/>
  <c r="AS237" i="24"/>
  <c r="AR237" i="24"/>
  <c r="AQ237" i="24"/>
  <c r="AV236" i="24"/>
  <c r="AU236" i="24"/>
  <c r="AT236" i="24"/>
  <c r="AS236" i="24"/>
  <c r="AR236" i="24"/>
  <c r="AQ236" i="24"/>
  <c r="AT232" i="24"/>
  <c r="AS232" i="24"/>
  <c r="AV228" i="24"/>
  <c r="AU228" i="24"/>
  <c r="AT228" i="24"/>
  <c r="AS228" i="24"/>
  <c r="AR228" i="24"/>
  <c r="AQ228" i="24"/>
  <c r="AV227" i="24"/>
  <c r="AU227" i="24"/>
  <c r="AT227" i="24"/>
  <c r="AT229" i="24" s="1"/>
  <c r="AS227" i="24"/>
  <c r="AR227" i="24"/>
  <c r="AQ227" i="24"/>
  <c r="AV225" i="24"/>
  <c r="AU225" i="24"/>
  <c r="AT225" i="24"/>
  <c r="AS225" i="24"/>
  <c r="AR225" i="24"/>
  <c r="AQ225" i="24"/>
  <c r="AV218" i="24"/>
  <c r="AU218" i="24"/>
  <c r="AT218" i="24"/>
  <c r="AS218" i="24"/>
  <c r="AR218" i="24"/>
  <c r="AQ218" i="24"/>
  <c r="AV217" i="24"/>
  <c r="AU217" i="24"/>
  <c r="AT217" i="24"/>
  <c r="AS217" i="24"/>
  <c r="AR217" i="24"/>
  <c r="AQ217" i="24"/>
  <c r="AT213" i="24"/>
  <c r="AS213" i="24"/>
  <c r="AR213" i="24"/>
  <c r="AQ213" i="24"/>
  <c r="AV209" i="24"/>
  <c r="AU209" i="24"/>
  <c r="AT209" i="24"/>
  <c r="AS209" i="24"/>
  <c r="AR209" i="24"/>
  <c r="AQ209" i="24"/>
  <c r="AV199" i="24"/>
  <c r="AU199" i="24"/>
  <c r="AT199" i="24"/>
  <c r="AS199" i="24"/>
  <c r="AR199" i="24"/>
  <c r="AQ199" i="24"/>
  <c r="AT198" i="24"/>
  <c r="AS198" i="24"/>
  <c r="AT194" i="24"/>
  <c r="AS194" i="24"/>
  <c r="AR194" i="24"/>
  <c r="AQ194" i="24"/>
  <c r="AT190" i="24"/>
  <c r="AS190" i="24"/>
  <c r="AV187" i="24"/>
  <c r="AU187" i="24"/>
  <c r="AT187" i="24"/>
  <c r="AS187" i="24"/>
  <c r="AR187" i="24"/>
  <c r="AQ187" i="24"/>
  <c r="AV180" i="24"/>
  <c r="AU180" i="24"/>
  <c r="AT180" i="24"/>
  <c r="AS180" i="24"/>
  <c r="AR180" i="24"/>
  <c r="AQ180" i="24"/>
  <c r="AT179" i="24"/>
  <c r="AS179" i="24"/>
  <c r="AV171" i="24"/>
  <c r="AU171" i="24"/>
  <c r="AT171" i="24"/>
  <c r="AS171" i="24"/>
  <c r="AR171" i="24"/>
  <c r="AQ171" i="24"/>
  <c r="AV170" i="24"/>
  <c r="AU170" i="24"/>
  <c r="AU172" i="24" s="1"/>
  <c r="AV168" i="24"/>
  <c r="AU168" i="24"/>
  <c r="AT168" i="24"/>
  <c r="AS168" i="24"/>
  <c r="AR168" i="24"/>
  <c r="AQ168" i="24"/>
  <c r="AV161" i="24"/>
  <c r="AU161" i="24"/>
  <c r="AT161" i="24"/>
  <c r="AS161" i="24"/>
  <c r="AR161" i="24"/>
  <c r="AQ161" i="24"/>
  <c r="AV160" i="24"/>
  <c r="AU160" i="24"/>
  <c r="AT160" i="24"/>
  <c r="AS160" i="24"/>
  <c r="AR160" i="24"/>
  <c r="AQ160" i="24"/>
  <c r="AV152" i="24"/>
  <c r="AU152" i="24"/>
  <c r="AT152" i="24"/>
  <c r="AT153" i="24" s="1"/>
  <c r="AS152" i="24"/>
  <c r="AR152" i="24"/>
  <c r="AQ152" i="24"/>
  <c r="AV151" i="24"/>
  <c r="AU151" i="24"/>
  <c r="AT151" i="24"/>
  <c r="AS151" i="24"/>
  <c r="AS153" i="24" s="1"/>
  <c r="AR151" i="24"/>
  <c r="AQ151" i="24"/>
  <c r="AV149" i="24"/>
  <c r="AU149" i="24"/>
  <c r="AT149" i="24"/>
  <c r="AS149" i="24"/>
  <c r="AR149" i="24"/>
  <c r="AQ149" i="24"/>
  <c r="AT148" i="24"/>
  <c r="AT150" i="24" s="1"/>
  <c r="AS148" i="24"/>
  <c r="AS150" i="24" s="1"/>
  <c r="AV122" i="24"/>
  <c r="AU122" i="24"/>
  <c r="AT122" i="24"/>
  <c r="AS122" i="24"/>
  <c r="AR122" i="24"/>
  <c r="AQ122" i="24"/>
  <c r="AV121" i="24"/>
  <c r="AU121" i="24"/>
  <c r="AT121" i="24"/>
  <c r="AS121" i="24"/>
  <c r="AR121" i="24"/>
  <c r="AQ121" i="24"/>
  <c r="AT117" i="24"/>
  <c r="AS117" i="24"/>
  <c r="AR117" i="24"/>
  <c r="AQ117" i="24"/>
  <c r="AT116" i="24"/>
  <c r="AS116" i="24"/>
  <c r="AV113" i="24"/>
  <c r="AU113" i="24"/>
  <c r="AT113" i="24"/>
  <c r="AS113" i="24"/>
  <c r="AR113" i="24"/>
  <c r="AQ113" i="24"/>
  <c r="AV112" i="24"/>
  <c r="AU112" i="24"/>
  <c r="AU114" i="24" s="1"/>
  <c r="AT112" i="24"/>
  <c r="AS112" i="24"/>
  <c r="AR112" i="24"/>
  <c r="AQ112" i="24"/>
  <c r="AQ114" i="24" s="1"/>
  <c r="AV110" i="24"/>
  <c r="AU110" i="24"/>
  <c r="AT110" i="24"/>
  <c r="AS110" i="24"/>
  <c r="AV109" i="24"/>
  <c r="AV111" i="24" s="1"/>
  <c r="AU109" i="24"/>
  <c r="AV103" i="24"/>
  <c r="AU103" i="24"/>
  <c r="AT103" i="24"/>
  <c r="AS103" i="24"/>
  <c r="AR103" i="24"/>
  <c r="AQ103" i="24"/>
  <c r="AV102" i="24"/>
  <c r="AU102" i="24"/>
  <c r="AT102" i="24"/>
  <c r="AS102" i="24"/>
  <c r="AR102" i="24"/>
  <c r="AQ102" i="24"/>
  <c r="AT98" i="24"/>
  <c r="AS98" i="24"/>
  <c r="AR98" i="24"/>
  <c r="AQ98" i="24"/>
  <c r="AV94" i="24"/>
  <c r="AU94" i="24"/>
  <c r="AT94" i="24"/>
  <c r="AS94" i="24"/>
  <c r="AR94" i="24"/>
  <c r="AQ94" i="24"/>
  <c r="AV91" i="24"/>
  <c r="AU91" i="24"/>
  <c r="AT91" i="24"/>
  <c r="AS91" i="24"/>
  <c r="AR91" i="24"/>
  <c r="AQ91" i="24"/>
  <c r="AV84" i="24"/>
  <c r="AU84" i="24"/>
  <c r="AT84" i="24"/>
  <c r="AS84" i="24"/>
  <c r="AR84" i="24"/>
  <c r="AQ84" i="24"/>
  <c r="AV83" i="24"/>
  <c r="AU83" i="24"/>
  <c r="AT83" i="24"/>
  <c r="AS83" i="24"/>
  <c r="AR83" i="24"/>
  <c r="AQ83" i="24"/>
  <c r="AT79" i="24"/>
  <c r="AS79" i="24"/>
  <c r="AR79" i="24"/>
  <c r="AQ79" i="24"/>
  <c r="AT78" i="24"/>
  <c r="AS78" i="24"/>
  <c r="AV75" i="24"/>
  <c r="AU75" i="24"/>
  <c r="AT75" i="24"/>
  <c r="AS75" i="24"/>
  <c r="AR75" i="24"/>
  <c r="AQ75" i="24"/>
  <c r="AV74" i="24"/>
  <c r="AU74" i="24"/>
  <c r="AU76" i="24" s="1"/>
  <c r="AT74" i="24"/>
  <c r="AS74" i="24"/>
  <c r="AR74" i="24"/>
  <c r="AQ74" i="24"/>
  <c r="AQ76" i="24" s="1"/>
  <c r="AV72" i="24"/>
  <c r="AU72" i="24"/>
  <c r="AT72" i="24"/>
  <c r="AS72" i="24"/>
  <c r="AR72" i="24"/>
  <c r="AQ72" i="24"/>
  <c r="AT71" i="24"/>
  <c r="AT73" i="24" s="1"/>
  <c r="AS71" i="24"/>
  <c r="AS73" i="24" s="1"/>
  <c r="AV65" i="24"/>
  <c r="AU65" i="24"/>
  <c r="AT65" i="24"/>
  <c r="AS65" i="24"/>
  <c r="AR65" i="24"/>
  <c r="AQ65" i="24"/>
  <c r="AV64" i="24"/>
  <c r="AU64" i="24"/>
  <c r="AT64" i="24"/>
  <c r="AS64" i="24"/>
  <c r="AR64" i="24"/>
  <c r="AQ64" i="24"/>
  <c r="AT60" i="24"/>
  <c r="AS60" i="24"/>
  <c r="AR60" i="24"/>
  <c r="AQ60" i="24"/>
  <c r="AV56" i="24"/>
  <c r="AU56" i="24"/>
  <c r="AT56" i="24"/>
  <c r="AS56" i="24"/>
  <c r="AR56" i="24"/>
  <c r="AQ56" i="24"/>
  <c r="AV55" i="24"/>
  <c r="AU55" i="24"/>
  <c r="AT55" i="24"/>
  <c r="AS55" i="24"/>
  <c r="AR55" i="24"/>
  <c r="AQ55" i="24"/>
  <c r="AV53" i="24"/>
  <c r="AU53" i="24"/>
  <c r="AT53" i="24"/>
  <c r="AS53" i="24"/>
  <c r="AV52" i="24"/>
  <c r="AU52" i="24"/>
  <c r="AU54" i="24" s="1"/>
  <c r="H380" i="24"/>
  <c r="H379" i="24"/>
  <c r="H377" i="24"/>
  <c r="H132" i="24"/>
  <c r="AS44" i="24"/>
  <c r="AQ45" i="24"/>
  <c r="AQ44" i="24"/>
  <c r="AR45" i="24"/>
  <c r="AR44" i="24"/>
  <c r="AS45" i="24"/>
  <c r="AT45" i="24"/>
  <c r="AT44" i="24"/>
  <c r="AU45" i="24"/>
  <c r="AU44" i="24"/>
  <c r="AV45" i="24"/>
  <c r="AV44" i="24"/>
  <c r="H390" i="24"/>
  <c r="H631" i="24"/>
  <c r="H626" i="24"/>
  <c r="H625" i="24"/>
  <c r="H622" i="24"/>
  <c r="H621" i="24"/>
  <c r="H619" i="24"/>
  <c r="H611" i="24"/>
  <c r="H606" i="24"/>
  <c r="H605" i="24"/>
  <c r="H602" i="24"/>
  <c r="H601" i="24"/>
  <c r="H599" i="24"/>
  <c r="H591" i="24"/>
  <c r="H586" i="24"/>
  <c r="H585" i="24"/>
  <c r="H582" i="24"/>
  <c r="H581" i="24"/>
  <c r="H571" i="24"/>
  <c r="H566" i="24"/>
  <c r="H565" i="24"/>
  <c r="H562" i="24"/>
  <c r="H561" i="24"/>
  <c r="H559" i="24"/>
  <c r="H542" i="24"/>
  <c r="H541" i="24"/>
  <c r="H539" i="24"/>
  <c r="H505" i="24"/>
  <c r="H496" i="24"/>
  <c r="H495" i="24"/>
  <c r="H486" i="24"/>
  <c r="H485" i="24"/>
  <c r="H481" i="24"/>
  <c r="H477" i="24"/>
  <c r="H476" i="24"/>
  <c r="H467" i="24"/>
  <c r="H466" i="24"/>
  <c r="H462" i="24"/>
  <c r="H458" i="24"/>
  <c r="H455" i="24"/>
  <c r="H448" i="24"/>
  <c r="H443" i="24"/>
  <c r="H439" i="24"/>
  <c r="H438" i="24"/>
  <c r="H429" i="24"/>
  <c r="H424" i="24"/>
  <c r="H420" i="24"/>
  <c r="H419" i="24"/>
  <c r="H417" i="24"/>
  <c r="H370" i="24"/>
  <c r="H369" i="24"/>
  <c r="H365" i="24"/>
  <c r="H361" i="24"/>
  <c r="H360" i="24"/>
  <c r="H358" i="24"/>
  <c r="H351" i="24"/>
  <c r="H350" i="24"/>
  <c r="H346" i="24"/>
  <c r="H342" i="24"/>
  <c r="H341" i="24"/>
  <c r="H339" i="24"/>
  <c r="H332" i="24"/>
  <c r="H331" i="24"/>
  <c r="H323" i="24"/>
  <c r="H313" i="24"/>
  <c r="H308" i="24"/>
  <c r="H304" i="24"/>
  <c r="H301" i="24"/>
  <c r="H294" i="24"/>
  <c r="H293" i="24"/>
  <c r="H285" i="24"/>
  <c r="H275" i="24"/>
  <c r="H266" i="24"/>
  <c r="H256" i="24"/>
  <c r="H255" i="24"/>
  <c r="H247" i="24"/>
  <c r="H244" i="24"/>
  <c r="H237" i="24"/>
  <c r="H236" i="24"/>
  <c r="H228" i="24"/>
  <c r="H227" i="24"/>
  <c r="H225" i="24"/>
  <c r="H218" i="24"/>
  <c r="H217" i="24"/>
  <c r="H213" i="24"/>
  <c r="H209" i="24"/>
  <c r="H199" i="24"/>
  <c r="H194" i="24"/>
  <c r="H187" i="24"/>
  <c r="H180" i="24"/>
  <c r="H171" i="24"/>
  <c r="H168" i="24"/>
  <c r="H161" i="24"/>
  <c r="H160" i="24"/>
  <c r="H152" i="24"/>
  <c r="H151" i="24"/>
  <c r="H149" i="24"/>
  <c r="H122" i="24"/>
  <c r="H121" i="24"/>
  <c r="H117" i="24"/>
  <c r="H113" i="24"/>
  <c r="H112" i="24"/>
  <c r="H103" i="24"/>
  <c r="H102" i="24"/>
  <c r="H98" i="24"/>
  <c r="H94" i="24"/>
  <c r="H91" i="24"/>
  <c r="H84" i="24"/>
  <c r="H83" i="24"/>
  <c r="H79" i="24"/>
  <c r="H75" i="24"/>
  <c r="H74" i="24"/>
  <c r="H72" i="24"/>
  <c r="H65" i="24"/>
  <c r="H64" i="24"/>
  <c r="H60" i="24"/>
  <c r="H56" i="24"/>
  <c r="H55" i="24"/>
  <c r="AV36" i="24"/>
  <c r="AU36" i="24"/>
  <c r="AT36" i="24"/>
  <c r="AS36" i="24"/>
  <c r="AR36" i="24"/>
  <c r="AQ36" i="24"/>
  <c r="AV35" i="24"/>
  <c r="AU35" i="24"/>
  <c r="AT35" i="24"/>
  <c r="AS35" i="24"/>
  <c r="AR35" i="24"/>
  <c r="AQ35" i="24"/>
  <c r="H405" i="24"/>
  <c r="H410" i="24"/>
  <c r="H397" i="24"/>
  <c r="G345" i="24"/>
  <c r="H142" i="24"/>
  <c r="H141" i="24"/>
  <c r="H137" i="24"/>
  <c r="H133" i="24"/>
  <c r="AV33" i="24"/>
  <c r="AU33" i="24"/>
  <c r="AT33" i="24"/>
  <c r="AS33" i="24"/>
  <c r="AR33" i="24"/>
  <c r="AQ33" i="24"/>
  <c r="AV32" i="24"/>
  <c r="AU32" i="24"/>
  <c r="AU34" i="24" s="1"/>
  <c r="H45" i="24"/>
  <c r="H44" i="24"/>
  <c r="H36" i="24"/>
  <c r="H35" i="24"/>
  <c r="H33" i="24"/>
  <c r="U106" i="36"/>
  <c r="O106" i="36"/>
  <c r="I106" i="36"/>
  <c r="A109" i="36"/>
  <c r="B109" i="36"/>
  <c r="C109" i="36"/>
  <c r="A110" i="36"/>
  <c r="B110" i="36"/>
  <c r="C110" i="36"/>
  <c r="A111" i="36"/>
  <c r="B111" i="36"/>
  <c r="C111" i="36"/>
  <c r="A112" i="36"/>
  <c r="B112" i="36"/>
  <c r="C112" i="36"/>
  <c r="A113" i="36"/>
  <c r="B113" i="36"/>
  <c r="C113" i="36"/>
  <c r="A114" i="36"/>
  <c r="B114" i="36"/>
  <c r="C114" i="36"/>
  <c r="A115" i="36"/>
  <c r="B115" i="36"/>
  <c r="C115" i="36"/>
  <c r="A116" i="36"/>
  <c r="B116" i="36"/>
  <c r="C116" i="36"/>
  <c r="A117" i="36"/>
  <c r="B117" i="36"/>
  <c r="C117" i="36"/>
  <c r="A118" i="36"/>
  <c r="B118" i="36"/>
  <c r="C118" i="36"/>
  <c r="A119" i="36"/>
  <c r="B119" i="36"/>
  <c r="C119" i="36"/>
  <c r="A120" i="36"/>
  <c r="B120" i="36"/>
  <c r="C120" i="36"/>
  <c r="A121" i="36"/>
  <c r="B121" i="36"/>
  <c r="C121" i="36"/>
  <c r="A122" i="36"/>
  <c r="B122" i="36"/>
  <c r="C122" i="36"/>
  <c r="A123" i="36"/>
  <c r="B123" i="36"/>
  <c r="C123" i="36"/>
  <c r="A124" i="36"/>
  <c r="B124" i="36"/>
  <c r="C124" i="36"/>
  <c r="A125" i="36"/>
  <c r="B125" i="36"/>
  <c r="C125" i="36"/>
  <c r="A126" i="36"/>
  <c r="B126" i="36"/>
  <c r="C126" i="36"/>
  <c r="A127" i="36"/>
  <c r="B127" i="36"/>
  <c r="C127" i="36"/>
  <c r="A128" i="36"/>
  <c r="B128" i="36"/>
  <c r="C128" i="36"/>
  <c r="A129" i="36"/>
  <c r="B129" i="36"/>
  <c r="C129" i="36"/>
  <c r="A130" i="36"/>
  <c r="B130" i="36"/>
  <c r="C130" i="36"/>
  <c r="A131" i="36"/>
  <c r="B131" i="36"/>
  <c r="C131" i="36"/>
  <c r="A132" i="36"/>
  <c r="B132" i="36"/>
  <c r="C132" i="36"/>
  <c r="A133" i="36"/>
  <c r="B133" i="36"/>
  <c r="C133" i="36"/>
  <c r="A134" i="36"/>
  <c r="B134" i="36"/>
  <c r="C134" i="36"/>
  <c r="A135" i="36"/>
  <c r="B135" i="36"/>
  <c r="C135" i="36"/>
  <c r="A136" i="36"/>
  <c r="B136" i="36"/>
  <c r="C136" i="36"/>
  <c r="A137" i="36"/>
  <c r="B137" i="36"/>
  <c r="C137" i="36"/>
  <c r="A138" i="36"/>
  <c r="B138" i="36"/>
  <c r="C138" i="36"/>
  <c r="A139" i="36"/>
  <c r="B139" i="36"/>
  <c r="C139" i="36"/>
  <c r="A140" i="36"/>
  <c r="B140" i="36"/>
  <c r="C140" i="36"/>
  <c r="A141" i="36"/>
  <c r="B141" i="36"/>
  <c r="C141" i="36"/>
  <c r="A142" i="36"/>
  <c r="B142" i="36"/>
  <c r="C142" i="36"/>
  <c r="A143" i="36"/>
  <c r="B143" i="36"/>
  <c r="C143" i="36"/>
  <c r="A144" i="36"/>
  <c r="B144" i="36"/>
  <c r="C144" i="36"/>
  <c r="A145" i="36"/>
  <c r="B145" i="36"/>
  <c r="C145" i="36"/>
  <c r="A146" i="36"/>
  <c r="B146" i="36"/>
  <c r="C146" i="36"/>
  <c r="A147" i="36"/>
  <c r="B147" i="36"/>
  <c r="C147" i="36"/>
  <c r="A148" i="36"/>
  <c r="B148" i="36"/>
  <c r="C148" i="36"/>
  <c r="A149" i="36"/>
  <c r="B149" i="36"/>
  <c r="C149" i="36"/>
  <c r="A150" i="36"/>
  <c r="B150" i="36"/>
  <c r="C150" i="36"/>
  <c r="A151" i="36"/>
  <c r="B151" i="36"/>
  <c r="C151" i="36"/>
  <c r="A152" i="36"/>
  <c r="B152" i="36"/>
  <c r="C152" i="36"/>
  <c r="A153" i="36"/>
  <c r="B153" i="36"/>
  <c r="C153" i="36"/>
  <c r="A154" i="36"/>
  <c r="B154" i="36"/>
  <c r="C154" i="36"/>
  <c r="A155" i="36"/>
  <c r="B155" i="36"/>
  <c r="C155" i="36"/>
  <c r="A156" i="36"/>
  <c r="B156" i="36"/>
  <c r="C156" i="36"/>
  <c r="BC34" i="24"/>
  <c r="BC33" i="24"/>
  <c r="BC32" i="24"/>
  <c r="BC31" i="24"/>
  <c r="BC30" i="24"/>
  <c r="BC29" i="24"/>
  <c r="BC28" i="24"/>
  <c r="BC27" i="24"/>
  <c r="BC26" i="24"/>
  <c r="BC25" i="24"/>
  <c r="BC24" i="24"/>
  <c r="BC23" i="24"/>
  <c r="BC22" i="24"/>
  <c r="BC21" i="24"/>
  <c r="BC20" i="24"/>
  <c r="BC19" i="24"/>
  <c r="BC18" i="24"/>
  <c r="BC17" i="24"/>
  <c r="BC16" i="24"/>
  <c r="BC15" i="24"/>
  <c r="BC14" i="24"/>
  <c r="BC13" i="24"/>
  <c r="BC12" i="24"/>
  <c r="BC11" i="24"/>
  <c r="BC10" i="24"/>
  <c r="BC9" i="24"/>
  <c r="BC8" i="24"/>
  <c r="BC7" i="24"/>
  <c r="BC6" i="24"/>
  <c r="BC5" i="24"/>
  <c r="BC4" i="24"/>
  <c r="BB34" i="24"/>
  <c r="BB33" i="24"/>
  <c r="BB32" i="24"/>
  <c r="BB31" i="24"/>
  <c r="BB30" i="24"/>
  <c r="BB29" i="24"/>
  <c r="BB28" i="24"/>
  <c r="BB27" i="24"/>
  <c r="BB26" i="24"/>
  <c r="BB25" i="24"/>
  <c r="BB24" i="24"/>
  <c r="BB23" i="24"/>
  <c r="BB22" i="24"/>
  <c r="BB21" i="24"/>
  <c r="BB20" i="24"/>
  <c r="BB19" i="24"/>
  <c r="BB18" i="24"/>
  <c r="BB17" i="24"/>
  <c r="BB16" i="24"/>
  <c r="BB15" i="24"/>
  <c r="BB14" i="24"/>
  <c r="BB13" i="24"/>
  <c r="BB12" i="24"/>
  <c r="BB11" i="24"/>
  <c r="BB10" i="24"/>
  <c r="BB9" i="24"/>
  <c r="BB8" i="24"/>
  <c r="BB7" i="24"/>
  <c r="BB6" i="24"/>
  <c r="BB5" i="24"/>
  <c r="BB4" i="24"/>
  <c r="BA34" i="24"/>
  <c r="BA33" i="24"/>
  <c r="BA32" i="24"/>
  <c r="BA31" i="24"/>
  <c r="BA30" i="24"/>
  <c r="BA29" i="24"/>
  <c r="BA28" i="24"/>
  <c r="BA27" i="24"/>
  <c r="BA26" i="24"/>
  <c r="BA25" i="24"/>
  <c r="BA24" i="24"/>
  <c r="BA23" i="24"/>
  <c r="BA22" i="24"/>
  <c r="BA21" i="24"/>
  <c r="BA20" i="24"/>
  <c r="BA19" i="24"/>
  <c r="BA18" i="24"/>
  <c r="BA17" i="24"/>
  <c r="BA16" i="24"/>
  <c r="BA15" i="24"/>
  <c r="BA14" i="24"/>
  <c r="BA13" i="24"/>
  <c r="BA12" i="24"/>
  <c r="BA11" i="24"/>
  <c r="BA10" i="24"/>
  <c r="BA9" i="24"/>
  <c r="BA8" i="24"/>
  <c r="BA7" i="24"/>
  <c r="BA6" i="24"/>
  <c r="BA5" i="24"/>
  <c r="BA4" i="24"/>
  <c r="AZ27" i="24"/>
  <c r="AZ10" i="24"/>
  <c r="AZ9" i="24"/>
  <c r="AZ7" i="24"/>
  <c r="B69" i="36"/>
  <c r="C69" i="36"/>
  <c r="B68" i="36"/>
  <c r="G68" i="36" s="1"/>
  <c r="C594" i="34" s="1"/>
  <c r="C68" i="36"/>
  <c r="C7" i="36"/>
  <c r="C8" i="36"/>
  <c r="C37" i="36"/>
  <c r="C50" i="36"/>
  <c r="D497" i="34" s="1"/>
  <c r="C67" i="36"/>
  <c r="C6" i="36"/>
  <c r="C9" i="36"/>
  <c r="C10" i="36"/>
  <c r="C11" i="36"/>
  <c r="C12" i="36"/>
  <c r="C13" i="36"/>
  <c r="C14" i="36"/>
  <c r="D489" i="34" s="1"/>
  <c r="C20" i="36"/>
  <c r="C21" i="36"/>
  <c r="C22" i="36"/>
  <c r="C23" i="36"/>
  <c r="C24" i="36"/>
  <c r="C76" i="36"/>
  <c r="C77" i="36"/>
  <c r="C29" i="36"/>
  <c r="C30" i="36"/>
  <c r="C31" i="36"/>
  <c r="C32" i="36"/>
  <c r="C33" i="36"/>
  <c r="C34" i="36"/>
  <c r="C35" i="36"/>
  <c r="C40" i="36"/>
  <c r="C41" i="36"/>
  <c r="C42" i="36"/>
  <c r="C43" i="36"/>
  <c r="C44" i="36"/>
  <c r="C45" i="36"/>
  <c r="C46" i="36"/>
  <c r="C47" i="36"/>
  <c r="C48" i="36"/>
  <c r="C36" i="36"/>
  <c r="C49" i="36"/>
  <c r="C55" i="36"/>
  <c r="C56" i="36"/>
  <c r="C57" i="36"/>
  <c r="C58" i="36"/>
  <c r="C59" i="36"/>
  <c r="C60" i="36"/>
  <c r="C61" i="36"/>
  <c r="C62" i="36"/>
  <c r="C63" i="36"/>
  <c r="C64" i="36"/>
  <c r="C65" i="36"/>
  <c r="C66" i="36"/>
  <c r="C74" i="36"/>
  <c r="C75" i="36"/>
  <c r="C78" i="36"/>
  <c r="C79" i="36"/>
  <c r="D494" i="34" s="1"/>
  <c r="C80" i="36"/>
  <c r="C25" i="36"/>
  <c r="B9" i="36"/>
  <c r="B10" i="36"/>
  <c r="B11" i="36"/>
  <c r="B12" i="36"/>
  <c r="B13" i="36"/>
  <c r="B14" i="36"/>
  <c r="G14" i="36" s="1"/>
  <c r="C581" i="34" s="1"/>
  <c r="B20" i="36"/>
  <c r="B21" i="36"/>
  <c r="B22" i="36"/>
  <c r="B23" i="36"/>
  <c r="B24" i="36"/>
  <c r="B76" i="36"/>
  <c r="B77" i="36"/>
  <c r="B29" i="36"/>
  <c r="B30" i="36"/>
  <c r="B31" i="36"/>
  <c r="B32" i="36"/>
  <c r="B33" i="36"/>
  <c r="B34" i="36"/>
  <c r="B35" i="36"/>
  <c r="B40" i="36"/>
  <c r="B41" i="36"/>
  <c r="B42" i="36"/>
  <c r="B43" i="36"/>
  <c r="B44" i="36"/>
  <c r="B45" i="36"/>
  <c r="B46" i="36"/>
  <c r="B47" i="36"/>
  <c r="B48" i="36"/>
  <c r="B36" i="36"/>
  <c r="B49" i="36"/>
  <c r="B55" i="36"/>
  <c r="B56" i="36"/>
  <c r="B57" i="36"/>
  <c r="B58" i="36"/>
  <c r="B59" i="36"/>
  <c r="B60" i="36"/>
  <c r="B61" i="36"/>
  <c r="B62" i="36"/>
  <c r="B63" i="36"/>
  <c r="B64" i="36"/>
  <c r="B65" i="36"/>
  <c r="B66" i="36"/>
  <c r="B74" i="36"/>
  <c r="B75" i="36"/>
  <c r="G75" i="36" s="1"/>
  <c r="C597" i="34" s="1"/>
  <c r="B78" i="36"/>
  <c r="B79" i="36"/>
  <c r="B80" i="36"/>
  <c r="G80" i="36" s="1"/>
  <c r="C600" i="34" s="1"/>
  <c r="B25" i="36"/>
  <c r="G25" i="36" s="1"/>
  <c r="C584" i="34" s="1"/>
  <c r="B7" i="36"/>
  <c r="B8" i="36"/>
  <c r="G8" i="36" s="1"/>
  <c r="C578" i="34" s="1"/>
  <c r="B37" i="36"/>
  <c r="G37" i="36" s="1"/>
  <c r="C587" i="34" s="1"/>
  <c r="B50" i="36"/>
  <c r="G50" i="36" s="1"/>
  <c r="C590" i="34" s="1"/>
  <c r="B67" i="36"/>
  <c r="C15" i="36"/>
  <c r="C16" i="36"/>
  <c r="C26" i="36"/>
  <c r="C17" i="36"/>
  <c r="C18" i="36"/>
  <c r="C19" i="36"/>
  <c r="C27" i="36"/>
  <c r="C28" i="36"/>
  <c r="C38" i="36"/>
  <c r="D490" i="34" s="1"/>
  <c r="C39" i="36"/>
  <c r="C54" i="36"/>
  <c r="C51" i="36"/>
  <c r="C52" i="36"/>
  <c r="C53" i="36"/>
  <c r="C70" i="36"/>
  <c r="C71" i="36"/>
  <c r="C72" i="36"/>
  <c r="C73" i="36"/>
  <c r="B15" i="36"/>
  <c r="B16" i="36"/>
  <c r="B26" i="36"/>
  <c r="B17" i="36"/>
  <c r="B18" i="36"/>
  <c r="B19" i="36"/>
  <c r="B27" i="36"/>
  <c r="B28" i="36"/>
  <c r="B38" i="36"/>
  <c r="B39" i="36"/>
  <c r="B54" i="36"/>
  <c r="B51" i="36"/>
  <c r="B52" i="36"/>
  <c r="B53" i="36"/>
  <c r="B70" i="36"/>
  <c r="B71" i="36"/>
  <c r="B72" i="36"/>
  <c r="B73" i="36"/>
  <c r="B6" i="36"/>
  <c r="B551" i="24"/>
  <c r="B630" i="24"/>
  <c r="B618" i="24"/>
  <c r="I19" i="22"/>
  <c r="E19" i="22"/>
  <c r="I17" i="22"/>
  <c r="B610" i="24" s="1"/>
  <c r="E17" i="22"/>
  <c r="B598" i="24" s="1"/>
  <c r="B590" i="24"/>
  <c r="B579" i="24"/>
  <c r="B578" i="24"/>
  <c r="B570" i="24"/>
  <c r="B558" i="24"/>
  <c r="I9" i="22"/>
  <c r="B550" i="24" s="1"/>
  <c r="E9" i="22"/>
  <c r="B538" i="24" s="1"/>
  <c r="B525" i="24"/>
  <c r="B524" i="24"/>
  <c r="B519" i="24"/>
  <c r="B520" i="24"/>
  <c r="B518" i="24"/>
  <c r="B515" i="24"/>
  <c r="B514" i="24"/>
  <c r="B512" i="24"/>
  <c r="B511" i="24"/>
  <c r="B504" i="24"/>
  <c r="B500" i="24"/>
  <c r="B499" i="24"/>
  <c r="B493" i="24"/>
  <c r="H79" i="19"/>
  <c r="I79" i="19"/>
  <c r="G79" i="19"/>
  <c r="B492" i="24"/>
  <c r="B480" i="24"/>
  <c r="B474" i="24"/>
  <c r="B473" i="24"/>
  <c r="B461" i="24"/>
  <c r="B457" i="24"/>
  <c r="B454" i="24"/>
  <c r="B447" i="24"/>
  <c r="B442" i="24"/>
  <c r="B436" i="24"/>
  <c r="B435" i="24"/>
  <c r="B428" i="24"/>
  <c r="B423" i="24"/>
  <c r="B416" i="24"/>
  <c r="B409" i="24"/>
  <c r="B404" i="24"/>
  <c r="B401" i="24"/>
  <c r="B400" i="24"/>
  <c r="B399" i="24"/>
  <c r="B396" i="24"/>
  <c r="B389" i="24"/>
  <c r="B384" i="24"/>
  <c r="B385" i="24"/>
  <c r="B383" i="24"/>
  <c r="B376" i="24"/>
  <c r="B364" i="24"/>
  <c r="B357" i="24"/>
  <c r="B345" i="24"/>
  <c r="B338" i="24"/>
  <c r="B326" i="24"/>
  <c r="B322" i="24"/>
  <c r="B320" i="24"/>
  <c r="B319" i="24"/>
  <c r="B312" i="24"/>
  <c r="B307" i="24"/>
  <c r="B303" i="24"/>
  <c r="B300" i="24"/>
  <c r="B289" i="24"/>
  <c r="B288" i="24"/>
  <c r="B284" i="24"/>
  <c r="B282" i="24"/>
  <c r="B281" i="24"/>
  <c r="B274" i="24"/>
  <c r="B270" i="24"/>
  <c r="B269" i="24"/>
  <c r="B265" i="24"/>
  <c r="B263" i="24"/>
  <c r="B262" i="24"/>
  <c r="B251" i="24"/>
  <c r="B250" i="24"/>
  <c r="B246" i="24"/>
  <c r="B243" i="24"/>
  <c r="B232" i="24"/>
  <c r="B231" i="24"/>
  <c r="B224" i="24"/>
  <c r="B212" i="24"/>
  <c r="B208" i="24"/>
  <c r="B206" i="24"/>
  <c r="B205" i="24"/>
  <c r="B198" i="24"/>
  <c r="B193" i="24"/>
  <c r="B190" i="24"/>
  <c r="B189" i="24"/>
  <c r="B186" i="24"/>
  <c r="B179" i="24"/>
  <c r="B175" i="24"/>
  <c r="B174" i="24"/>
  <c r="B170" i="24"/>
  <c r="B167" i="24"/>
  <c r="B156" i="24"/>
  <c r="B155" i="24"/>
  <c r="B148" i="24"/>
  <c r="B136" i="24"/>
  <c r="B129" i="24"/>
  <c r="B130" i="24"/>
  <c r="B128" i="24"/>
  <c r="B116" i="24"/>
  <c r="B110" i="24"/>
  <c r="B109" i="24"/>
  <c r="B97" i="24"/>
  <c r="B93" i="24"/>
  <c r="B90" i="24"/>
  <c r="B78" i="24"/>
  <c r="B71" i="24"/>
  <c r="B59" i="24"/>
  <c r="B53" i="24"/>
  <c r="B52" i="24"/>
  <c r="B40" i="24"/>
  <c r="B39" i="24"/>
  <c r="B32" i="24"/>
  <c r="B17" i="25"/>
  <c r="B16" i="25"/>
  <c r="B15" i="25"/>
  <c r="C436" i="34" s="1"/>
  <c r="Y607" i="34"/>
  <c r="D515" i="34"/>
  <c r="D516" i="34"/>
  <c r="D517" i="34"/>
  <c r="D514" i="34"/>
  <c r="C515" i="34"/>
  <c r="C516" i="34"/>
  <c r="C517" i="34"/>
  <c r="C514" i="34"/>
  <c r="D466" i="34"/>
  <c r="D467" i="34"/>
  <c r="D468" i="34"/>
  <c r="D465" i="34"/>
  <c r="C466" i="34"/>
  <c r="C467" i="34"/>
  <c r="C468" i="34"/>
  <c r="AH3" i="30"/>
  <c r="AF5" i="30"/>
  <c r="AG5" i="30"/>
  <c r="AH5" i="30"/>
  <c r="E89" i="15"/>
  <c r="E90" i="15"/>
  <c r="E91" i="15"/>
  <c r="E92" i="15"/>
  <c r="E93" i="15"/>
  <c r="E88" i="15"/>
  <c r="E587" i="34"/>
  <c r="E602" i="34"/>
  <c r="E601" i="34"/>
  <c r="E590" i="34"/>
  <c r="E584" i="34"/>
  <c r="E592" i="34"/>
  <c r="E594" i="34"/>
  <c r="E585" i="34"/>
  <c r="E586" i="34"/>
  <c r="E600" i="34"/>
  <c r="E578" i="34"/>
  <c r="E595" i="34"/>
  <c r="E591" i="34"/>
  <c r="E581" i="34"/>
  <c r="E588" i="34"/>
  <c r="E593" i="34"/>
  <c r="E596" i="34"/>
  <c r="E597" i="34"/>
  <c r="E582" i="34"/>
  <c r="AS264" i="24" l="1"/>
  <c r="AR37" i="24"/>
  <c r="AV37" i="24"/>
  <c r="AR57" i="24"/>
  <c r="AV57" i="24"/>
  <c r="AR76" i="24"/>
  <c r="AV76" i="24"/>
  <c r="AR114" i="24"/>
  <c r="AV114" i="24"/>
  <c r="AT114" i="24"/>
  <c r="AV172" i="24"/>
  <c r="AR229" i="24"/>
  <c r="AV229" i="24"/>
  <c r="AT343" i="24"/>
  <c r="AR421" i="24"/>
  <c r="AV421" i="24"/>
  <c r="AS623" i="24"/>
  <c r="AQ623" i="24"/>
  <c r="AU623" i="24"/>
  <c r="AQ134" i="24"/>
  <c r="AU134" i="24"/>
  <c r="AQ381" i="24"/>
  <c r="AU381" i="24"/>
  <c r="AS37" i="24"/>
  <c r="H627" i="24"/>
  <c r="AS114" i="24"/>
  <c r="AU302" i="24"/>
  <c r="AU305" i="24"/>
  <c r="AR543" i="24"/>
  <c r="AV543" i="24"/>
  <c r="AT563" i="24"/>
  <c r="AT580" i="24"/>
  <c r="AU131" i="24"/>
  <c r="AT37" i="24"/>
  <c r="AT267" i="24"/>
  <c r="AT402" i="24"/>
  <c r="AV34" i="24"/>
  <c r="AQ37" i="24"/>
  <c r="AU37" i="24"/>
  <c r="AT57" i="24"/>
  <c r="AT76" i="24"/>
  <c r="AQ153" i="24"/>
  <c r="AU153" i="24"/>
  <c r="AS229" i="24"/>
  <c r="AU245" i="24"/>
  <c r="AT302" i="24"/>
  <c r="AV302" i="24"/>
  <c r="AS343" i="24"/>
  <c r="AQ343" i="24"/>
  <c r="AU343" i="24"/>
  <c r="AS440" i="24"/>
  <c r="AS478" i="24"/>
  <c r="AT543" i="24"/>
  <c r="AR583" i="24"/>
  <c r="AV583" i="24"/>
  <c r="AS134" i="24"/>
  <c r="AQ398" i="24"/>
  <c r="H567" i="24"/>
  <c r="AS76" i="24"/>
  <c r="AV245" i="24"/>
  <c r="AV359" i="24"/>
  <c r="AT421" i="24"/>
  <c r="AT459" i="24"/>
  <c r="AR497" i="24"/>
  <c r="AV497" i="24"/>
  <c r="AQ543" i="24"/>
  <c r="AU543" i="24"/>
  <c r="AS583" i="24"/>
  <c r="AR623" i="24"/>
  <c r="AV623" i="24"/>
  <c r="AT623" i="24"/>
  <c r="AT134" i="24"/>
  <c r="AQ345" i="24"/>
  <c r="AT345" i="24"/>
  <c r="AS345" i="24"/>
  <c r="AV54" i="24"/>
  <c r="AS57" i="24"/>
  <c r="H587" i="24"/>
  <c r="AQ57" i="24"/>
  <c r="AU57" i="24"/>
  <c r="AU111" i="24"/>
  <c r="AS324" i="24"/>
  <c r="AR153" i="24"/>
  <c r="AV153" i="24"/>
  <c r="AQ229" i="24"/>
  <c r="AU229" i="24"/>
  <c r="AT264" i="24"/>
  <c r="AV305" i="24"/>
  <c r="AQ440" i="24"/>
  <c r="AU440" i="24"/>
  <c r="AT437" i="24"/>
  <c r="AT456" i="24"/>
  <c r="AT362" i="24"/>
  <c r="AS362" i="24"/>
  <c r="AV437" i="24"/>
  <c r="AV475" i="24"/>
  <c r="AR540" i="24"/>
  <c r="AQ560" i="24"/>
  <c r="AS580" i="24"/>
  <c r="AR603" i="24"/>
  <c r="AV603" i="24"/>
  <c r="AV131" i="24"/>
  <c r="AT583" i="24"/>
  <c r="AR560" i="24"/>
  <c r="AS603" i="24"/>
  <c r="AT620" i="24"/>
  <c r="AS381" i="24"/>
  <c r="AQ497" i="24"/>
  <c r="AU497" i="24"/>
  <c r="AQ540" i="24"/>
  <c r="AS543" i="24"/>
  <c r="AT560" i="24"/>
  <c r="AR563" i="24"/>
  <c r="AV563" i="24"/>
  <c r="AR600" i="24"/>
  <c r="AQ603" i="24"/>
  <c r="AU603" i="24"/>
  <c r="AT381" i="24"/>
  <c r="AU516" i="24"/>
  <c r="BC36" i="24"/>
  <c r="P22" i="28" s="1"/>
  <c r="BA36" i="24"/>
  <c r="N22" i="28" s="1"/>
  <c r="BB36" i="24"/>
  <c r="O22" i="28" s="1"/>
  <c r="B403" i="34"/>
  <c r="B404" i="34"/>
  <c r="B405" i="34"/>
  <c r="B406" i="34"/>
  <c r="B407" i="34"/>
  <c r="B408" i="34"/>
  <c r="B409" i="34"/>
  <c r="B410" i="34"/>
  <c r="B402" i="34"/>
  <c r="B400" i="34"/>
  <c r="B399" i="34"/>
  <c r="B338" i="15"/>
  <c r="B278" i="15"/>
  <c r="B272" i="15"/>
  <c r="B218" i="15"/>
  <c r="B126" i="15"/>
  <c r="B124" i="15"/>
  <c r="B10" i="17"/>
  <c r="A10" i="17"/>
  <c r="H39" i="22"/>
  <c r="G39" i="22"/>
  <c r="H37" i="22"/>
  <c r="G37" i="22"/>
  <c r="H35" i="22"/>
  <c r="G35" i="22"/>
  <c r="H33" i="22"/>
  <c r="G33" i="22"/>
  <c r="H10" i="22"/>
  <c r="G10" i="22"/>
  <c r="H29" i="22"/>
  <c r="G29" i="22"/>
  <c r="H27" i="22"/>
  <c r="G27" i="22"/>
  <c r="H25" i="22"/>
  <c r="G25" i="22"/>
  <c r="H23" i="22"/>
  <c r="G23" i="22"/>
  <c r="H21" i="22"/>
  <c r="G21" i="22"/>
  <c r="H17" i="22"/>
  <c r="F16" i="25" s="1"/>
  <c r="G17" i="22"/>
  <c r="H14" i="22"/>
  <c r="G14" i="22"/>
  <c r="H12" i="22"/>
  <c r="G12" i="22"/>
  <c r="H9" i="22"/>
  <c r="G9" i="22"/>
  <c r="D39" i="22"/>
  <c r="C39" i="22"/>
  <c r="D37" i="22"/>
  <c r="C37" i="22"/>
  <c r="D35" i="22"/>
  <c r="C35" i="22"/>
  <c r="D33" i="22"/>
  <c r="C33" i="22"/>
  <c r="D31" i="22"/>
  <c r="C31" i="22"/>
  <c r="D29" i="22"/>
  <c r="C29" i="22"/>
  <c r="D27" i="22"/>
  <c r="C27" i="22"/>
  <c r="D25" i="22"/>
  <c r="C25" i="22"/>
  <c r="D23" i="22"/>
  <c r="C23" i="22"/>
  <c r="D21" i="22"/>
  <c r="C21" i="22"/>
  <c r="H19" i="22"/>
  <c r="F17" i="25" s="1"/>
  <c r="G19" i="22"/>
  <c r="D19" i="22"/>
  <c r="C17" i="25" s="1"/>
  <c r="C19" i="22"/>
  <c r="D17" i="22"/>
  <c r="C16" i="25" s="1"/>
  <c r="C17" i="22"/>
  <c r="C14" i="22"/>
  <c r="D12" i="22"/>
  <c r="C12" i="22"/>
  <c r="D9" i="22"/>
  <c r="C9" i="22"/>
  <c r="T82" i="19"/>
  <c r="S82" i="19"/>
  <c r="T81" i="19"/>
  <c r="S81" i="19"/>
  <c r="P73" i="19"/>
  <c r="P70" i="19"/>
  <c r="O70" i="19"/>
  <c r="L28" i="19"/>
  <c r="H82" i="19"/>
  <c r="H81" i="19"/>
  <c r="D515" i="24"/>
  <c r="D514" i="24"/>
  <c r="C515" i="24"/>
  <c r="C514" i="24"/>
  <c r="K82" i="19"/>
  <c r="L82" i="19"/>
  <c r="L81" i="19"/>
  <c r="K81" i="19"/>
  <c r="P408" i="15"/>
  <c r="B414" i="15" s="1"/>
  <c r="P372" i="15"/>
  <c r="P338" i="15"/>
  <c r="P330" i="15"/>
  <c r="B336" i="15" s="1"/>
  <c r="C22" i="20" s="1"/>
  <c r="B170" i="15"/>
  <c r="B166" i="15"/>
  <c r="B165" i="15"/>
  <c r="B337" i="15" l="1"/>
  <c r="P311" i="15"/>
  <c r="P312" i="15"/>
  <c r="P271" i="15"/>
  <c r="P110" i="15"/>
  <c r="R110" i="15"/>
  <c r="D110" i="15"/>
  <c r="C110" i="15"/>
  <c r="B110" i="15"/>
  <c r="B83" i="34" s="1"/>
  <c r="A110" i="15"/>
  <c r="Q49" i="14"/>
  <c r="P49" i="14"/>
  <c r="X400" i="15"/>
  <c r="X262" i="15"/>
  <c r="P402" i="15"/>
  <c r="C402" i="15"/>
  <c r="D402" i="15"/>
  <c r="O401" i="15"/>
  <c r="N401" i="15"/>
  <c r="M401" i="15"/>
  <c r="L401" i="15"/>
  <c r="K401" i="15"/>
  <c r="J401" i="15"/>
  <c r="I401" i="15"/>
  <c r="H401" i="15"/>
  <c r="G401" i="15"/>
  <c r="F401" i="15"/>
  <c r="E401" i="15"/>
  <c r="G403" i="15"/>
  <c r="F403" i="15"/>
  <c r="E403" i="15"/>
  <c r="A404" i="15"/>
  <c r="A405" i="15"/>
  <c r="A402" i="15"/>
  <c r="C108" i="33"/>
  <c r="D108" i="33"/>
  <c r="P414" i="15"/>
  <c r="P415" i="15"/>
  <c r="P416" i="15"/>
  <c r="P417" i="15"/>
  <c r="P418" i="15"/>
  <c r="P419" i="15"/>
  <c r="P420" i="15"/>
  <c r="P421" i="15"/>
  <c r="P422" i="15"/>
  <c r="P423" i="15"/>
  <c r="P424" i="15"/>
  <c r="P425" i="15"/>
  <c r="P426" i="15"/>
  <c r="R402" i="15"/>
  <c r="C304" i="15"/>
  <c r="E74" i="15"/>
  <c r="H14" i="19"/>
  <c r="G14" i="19"/>
  <c r="C71" i="24" s="1"/>
  <c r="G16" i="19"/>
  <c r="H16" i="19"/>
  <c r="E459" i="15"/>
  <c r="P459" i="15" s="1"/>
  <c r="E460" i="15"/>
  <c r="E461" i="15"/>
  <c r="P461" i="15" s="1"/>
  <c r="E462" i="15"/>
  <c r="P462" i="15" s="1"/>
  <c r="E463" i="15"/>
  <c r="P463" i="15" s="1"/>
  <c r="E464" i="15"/>
  <c r="P464" i="15" s="1"/>
  <c r="E465" i="15"/>
  <c r="P465" i="15" s="1"/>
  <c r="E466" i="15"/>
  <c r="P466" i="15" s="1"/>
  <c r="E458" i="15"/>
  <c r="P458" i="15" s="1"/>
  <c r="P460" i="15"/>
  <c r="P404" i="15"/>
  <c r="P357" i="15"/>
  <c r="E63" i="33" s="1"/>
  <c r="C532" i="34" s="1"/>
  <c r="P358" i="15"/>
  <c r="E64" i="33" s="1"/>
  <c r="C533" i="34" s="1"/>
  <c r="P359" i="15"/>
  <c r="E65" i="33" s="1"/>
  <c r="C534" i="34" s="1"/>
  <c r="P360" i="15"/>
  <c r="E66" i="33" s="1"/>
  <c r="C535" i="34" s="1"/>
  <c r="P362" i="15"/>
  <c r="P364" i="15"/>
  <c r="P366" i="15"/>
  <c r="P356" i="15"/>
  <c r="E62" i="33" s="1"/>
  <c r="C531" i="34" s="1"/>
  <c r="P342" i="15"/>
  <c r="B357" i="15" s="1"/>
  <c r="B312" i="34" s="1"/>
  <c r="P343" i="15"/>
  <c r="B358" i="15" s="1"/>
  <c r="B313" i="34" s="1"/>
  <c r="P344" i="15"/>
  <c r="B359" i="15" s="1"/>
  <c r="B314" i="34" s="1"/>
  <c r="P345" i="15"/>
  <c r="B360" i="15" s="1"/>
  <c r="B315" i="34" s="1"/>
  <c r="P347" i="15"/>
  <c r="P349" i="15"/>
  <c r="L534" i="34" s="1"/>
  <c r="P351" i="15"/>
  <c r="L536" i="34" s="1"/>
  <c r="P341" i="15"/>
  <c r="B356" i="15" s="1"/>
  <c r="B302" i="34"/>
  <c r="C307" i="15"/>
  <c r="C301" i="15"/>
  <c r="C300" i="15"/>
  <c r="D297" i="15"/>
  <c r="E293" i="15"/>
  <c r="E294" i="15"/>
  <c r="E292" i="15"/>
  <c r="B255" i="34"/>
  <c r="E275" i="15"/>
  <c r="E276" i="15"/>
  <c r="E277" i="15"/>
  <c r="E274" i="15"/>
  <c r="B250" i="34"/>
  <c r="B243" i="15"/>
  <c r="B214" i="34" s="1"/>
  <c r="B206" i="15"/>
  <c r="B205" i="15"/>
  <c r="B201" i="15"/>
  <c r="B182" i="34" s="1"/>
  <c r="P27" i="15"/>
  <c r="D278" i="15" s="1"/>
  <c r="B180" i="15"/>
  <c r="B161" i="34" s="1"/>
  <c r="B148" i="34"/>
  <c r="C155" i="15"/>
  <c r="C156" i="15"/>
  <c r="C157" i="15"/>
  <c r="C154" i="15"/>
  <c r="P42" i="15"/>
  <c r="P150" i="15"/>
  <c r="P151" i="15"/>
  <c r="P112" i="15"/>
  <c r="B104" i="15"/>
  <c r="B54" i="34" s="1"/>
  <c r="P93" i="15"/>
  <c r="B58" i="15"/>
  <c r="B17" i="34" s="1"/>
  <c r="B18" i="34" s="1"/>
  <c r="B19" i="34" s="1"/>
  <c r="B20" i="34" s="1"/>
  <c r="B21" i="34" s="1"/>
  <c r="B22" i="34" s="1"/>
  <c r="E73" i="15"/>
  <c r="E61" i="15"/>
  <c r="E62" i="15"/>
  <c r="E63" i="15"/>
  <c r="E64" i="15"/>
  <c r="E65" i="15"/>
  <c r="E60" i="15"/>
  <c r="P11" i="15"/>
  <c r="E12" i="15" s="1"/>
  <c r="P3" i="15"/>
  <c r="B11" i="15" s="1"/>
  <c r="B5" i="34" s="1"/>
  <c r="C209" i="15"/>
  <c r="R208" i="15"/>
  <c r="A209" i="15"/>
  <c r="B11" i="17"/>
  <c r="A11" i="17"/>
  <c r="E132" i="15"/>
  <c r="P132" i="15" s="1"/>
  <c r="E67" i="33" l="1"/>
  <c r="B362" i="15"/>
  <c r="B316" i="34" s="1"/>
  <c r="B366" i="15"/>
  <c r="B318" i="34" s="1"/>
  <c r="E69" i="33"/>
  <c r="E68" i="33"/>
  <c r="B186" i="34"/>
  <c r="C15" i="25"/>
  <c r="B112" i="15"/>
  <c r="B84" i="34" s="1"/>
  <c r="B298" i="15"/>
  <c r="B273" i="34" s="1"/>
  <c r="B296" i="15"/>
  <c r="B271" i="34" s="1"/>
  <c r="B297" i="15"/>
  <c r="B272" i="34" s="1"/>
  <c r="B364" i="15"/>
  <c r="B317" i="34" s="1"/>
  <c r="B387" i="15"/>
  <c r="B339" i="34" s="1"/>
  <c r="B190" i="15"/>
  <c r="B171" i="34" s="1"/>
  <c r="B416" i="15"/>
  <c r="B157" i="15"/>
  <c r="B156" i="15"/>
  <c r="B311" i="34"/>
  <c r="Q110" i="15"/>
  <c r="B187" i="34"/>
  <c r="D15" i="22"/>
  <c r="D404" i="15"/>
  <c r="G514" i="24" s="1"/>
  <c r="F514" i="24"/>
  <c r="E6" i="15"/>
  <c r="B12" i="15"/>
  <c r="B13" i="15"/>
  <c r="B14" i="15"/>
  <c r="D112" i="15"/>
  <c r="E350" i="15"/>
  <c r="E349" i="15"/>
  <c r="E347" i="15"/>
  <c r="E351" i="15"/>
  <c r="E348" i="15"/>
  <c r="E352" i="15"/>
  <c r="E362" i="15"/>
  <c r="E363" i="15"/>
  <c r="E412" i="15"/>
  <c r="E411" i="15"/>
  <c r="E409" i="15"/>
  <c r="E410" i="15"/>
  <c r="E413" i="15"/>
  <c r="F68" i="33"/>
  <c r="F64" i="33"/>
  <c r="F67" i="33"/>
  <c r="F63" i="33"/>
  <c r="F62" i="33"/>
  <c r="F66" i="33"/>
  <c r="F69" i="33"/>
  <c r="F65" i="33"/>
  <c r="Q402" i="15"/>
  <c r="E361" i="34" s="1"/>
  <c r="P457" i="15"/>
  <c r="E402" i="34" s="1"/>
  <c r="B285" i="15"/>
  <c r="B262" i="34" s="1"/>
  <c r="B247" i="15"/>
  <c r="B218" i="34" s="1"/>
  <c r="E4" i="15"/>
  <c r="P84" i="15"/>
  <c r="P60" i="15"/>
  <c r="P64" i="15"/>
  <c r="P65" i="15"/>
  <c r="P77" i="15"/>
  <c r="AY12" i="14"/>
  <c r="H514" i="24" l="1"/>
  <c r="E83" i="34"/>
  <c r="Q50" i="14"/>
  <c r="H63" i="33"/>
  <c r="H68" i="33"/>
  <c r="H69" i="33"/>
  <c r="H66" i="33"/>
  <c r="H67" i="33"/>
  <c r="H62" i="33"/>
  <c r="H65" i="33"/>
  <c r="H64" i="33"/>
  <c r="P405" i="15"/>
  <c r="F515" i="24" s="1"/>
  <c r="P406" i="15"/>
  <c r="P407" i="15"/>
  <c r="P451" i="15"/>
  <c r="E452" i="15" s="1"/>
  <c r="P442" i="15"/>
  <c r="P436" i="15"/>
  <c r="E438" i="15" s="1"/>
  <c r="P429" i="15"/>
  <c r="E433" i="15" s="1"/>
  <c r="P394" i="15"/>
  <c r="E397" i="15" s="1"/>
  <c r="P387" i="15"/>
  <c r="E391" i="15" s="1"/>
  <c r="P371" i="15"/>
  <c r="P337" i="15"/>
  <c r="E87" i="33" s="1"/>
  <c r="P336" i="15"/>
  <c r="P328" i="15"/>
  <c r="P329" i="15"/>
  <c r="P322" i="15"/>
  <c r="P323" i="15"/>
  <c r="P324" i="15"/>
  <c r="P325" i="15"/>
  <c r="P326" i="15"/>
  <c r="P327" i="15"/>
  <c r="P321" i="15"/>
  <c r="P320" i="15"/>
  <c r="P313" i="15"/>
  <c r="P297" i="15"/>
  <c r="P298" i="15"/>
  <c r="P299" i="15"/>
  <c r="P300" i="15"/>
  <c r="P301" i="15"/>
  <c r="P216" i="14" s="1"/>
  <c r="P302" i="15"/>
  <c r="P303" i="15"/>
  <c r="P304" i="15"/>
  <c r="P305" i="15"/>
  <c r="P306" i="15"/>
  <c r="P307" i="15"/>
  <c r="P308" i="15"/>
  <c r="P309" i="15"/>
  <c r="P310" i="15"/>
  <c r="P296" i="15"/>
  <c r="P294" i="15"/>
  <c r="P292" i="15"/>
  <c r="P288" i="15"/>
  <c r="P289" i="15"/>
  <c r="P290" i="15"/>
  <c r="P279" i="15"/>
  <c r="P280" i="15"/>
  <c r="P281" i="15"/>
  <c r="P282" i="15"/>
  <c r="P283" i="15"/>
  <c r="P284" i="15"/>
  <c r="P285" i="15"/>
  <c r="P286" i="15"/>
  <c r="P287" i="15"/>
  <c r="P278" i="15"/>
  <c r="P276" i="15"/>
  <c r="P268" i="15"/>
  <c r="P269" i="15"/>
  <c r="P270" i="15"/>
  <c r="P272" i="15"/>
  <c r="P267" i="15"/>
  <c r="P264" i="15"/>
  <c r="P265" i="15"/>
  <c r="P263" i="15"/>
  <c r="E253" i="15"/>
  <c r="P253" i="15" s="1"/>
  <c r="E254" i="15"/>
  <c r="P254" i="15" s="1"/>
  <c r="E255" i="15"/>
  <c r="P255" i="15" s="1"/>
  <c r="E256" i="15"/>
  <c r="P256" i="15" s="1"/>
  <c r="E257" i="15"/>
  <c r="P257" i="15" s="1"/>
  <c r="E252" i="15"/>
  <c r="P252" i="15" s="1"/>
  <c r="P244" i="15"/>
  <c r="P245" i="15"/>
  <c r="P246" i="15"/>
  <c r="P247" i="15"/>
  <c r="P248" i="15"/>
  <c r="P249" i="15"/>
  <c r="P250" i="15"/>
  <c r="P243" i="15"/>
  <c r="E239" i="15"/>
  <c r="P239" i="15" s="1"/>
  <c r="E240" i="15"/>
  <c r="P240" i="15" s="1"/>
  <c r="E241" i="15"/>
  <c r="P241" i="15" s="1"/>
  <c r="E238" i="15"/>
  <c r="P238" i="15" s="1"/>
  <c r="P235" i="15"/>
  <c r="P236" i="15"/>
  <c r="P234" i="15"/>
  <c r="P231" i="15"/>
  <c r="E231" i="15" s="1"/>
  <c r="E224" i="15"/>
  <c r="P224" i="15" s="1"/>
  <c r="E225" i="15"/>
  <c r="P225" i="15" s="1"/>
  <c r="E226" i="15"/>
  <c r="P226" i="15" s="1"/>
  <c r="E227" i="15"/>
  <c r="P227" i="15" s="1"/>
  <c r="E228" i="15"/>
  <c r="P228" i="15" s="1"/>
  <c r="E223" i="15"/>
  <c r="P223" i="15" s="1"/>
  <c r="P217" i="15"/>
  <c r="P218" i="15"/>
  <c r="P219" i="15"/>
  <c r="P220" i="15"/>
  <c r="P221" i="15"/>
  <c r="P216" i="15"/>
  <c r="P212" i="15"/>
  <c r="E214" i="15" s="1"/>
  <c r="P171" i="15"/>
  <c r="P172" i="15"/>
  <c r="P173" i="15"/>
  <c r="P174" i="15"/>
  <c r="F71" i="24" s="1"/>
  <c r="P175" i="15"/>
  <c r="P176" i="15"/>
  <c r="C10" i="17" s="1"/>
  <c r="D10" i="17" s="1"/>
  <c r="P177" i="15"/>
  <c r="P178" i="15"/>
  <c r="P179" i="15"/>
  <c r="P180" i="15"/>
  <c r="P181" i="15"/>
  <c r="D181" i="15" s="1"/>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123" i="14" s="1"/>
  <c r="P210" i="15"/>
  <c r="D210" i="15" s="1"/>
  <c r="P211" i="15"/>
  <c r="P170" i="15"/>
  <c r="P167" i="15"/>
  <c r="E168" i="15" s="1"/>
  <c r="P166" i="15"/>
  <c r="P165" i="15"/>
  <c r="P163" i="15"/>
  <c r="P155" i="15"/>
  <c r="P156" i="15"/>
  <c r="P157" i="15"/>
  <c r="P154" i="15"/>
  <c r="P152" i="15"/>
  <c r="P149" i="15"/>
  <c r="E143" i="15"/>
  <c r="P143" i="15" s="1"/>
  <c r="E144" i="15"/>
  <c r="P144" i="15" s="1"/>
  <c r="E145" i="15"/>
  <c r="P145" i="15" s="1"/>
  <c r="E146" i="15"/>
  <c r="P146" i="15" s="1"/>
  <c r="E147" i="15"/>
  <c r="P147" i="15" s="1"/>
  <c r="E142" i="15"/>
  <c r="P142" i="15" s="1"/>
  <c r="P135" i="15"/>
  <c r="P136" i="15"/>
  <c r="P137" i="15"/>
  <c r="P138" i="15"/>
  <c r="P139" i="15"/>
  <c r="P140" i="15"/>
  <c r="P134" i="15"/>
  <c r="E129" i="15"/>
  <c r="P129" i="15" s="1"/>
  <c r="E130" i="15"/>
  <c r="P130" i="15" s="1"/>
  <c r="E131" i="15"/>
  <c r="P131" i="15" s="1"/>
  <c r="E128" i="15"/>
  <c r="P128" i="15" s="1"/>
  <c r="P124" i="15"/>
  <c r="P125" i="15"/>
  <c r="P126" i="15"/>
  <c r="F551" i="24" s="1"/>
  <c r="P123" i="15"/>
  <c r="G16" i="25" s="1"/>
  <c r="E117" i="15"/>
  <c r="P117" i="15" s="1"/>
  <c r="E118" i="15"/>
  <c r="P118" i="15" s="1"/>
  <c r="E119" i="15"/>
  <c r="P119" i="15" s="1"/>
  <c r="E120" i="15"/>
  <c r="P120" i="15" s="1"/>
  <c r="E121" i="15"/>
  <c r="P121" i="15" s="1"/>
  <c r="E116" i="15"/>
  <c r="P116" i="15" s="1"/>
  <c r="P113" i="15"/>
  <c r="P114" i="15"/>
  <c r="P105" i="15"/>
  <c r="P106" i="15"/>
  <c r="P107" i="15"/>
  <c r="P104" i="15"/>
  <c r="P99" i="15"/>
  <c r="P100" i="15"/>
  <c r="P101" i="15"/>
  <c r="P102" i="15"/>
  <c r="P98" i="15"/>
  <c r="P90" i="15"/>
  <c r="E81" i="15"/>
  <c r="E70" i="15"/>
  <c r="E71" i="15"/>
  <c r="P71" i="15" s="1"/>
  <c r="E72" i="15"/>
  <c r="P72" i="15" s="1"/>
  <c r="P73" i="15"/>
  <c r="P74" i="15"/>
  <c r="E69" i="15"/>
  <c r="P69" i="15" s="1"/>
  <c r="P61" i="15"/>
  <c r="P63" i="15"/>
  <c r="P57" i="15"/>
  <c r="G17" i="25" s="1"/>
  <c r="P56" i="15"/>
  <c r="D17" i="25" s="1"/>
  <c r="P54" i="15"/>
  <c r="B56" i="15" s="1"/>
  <c r="P53" i="15"/>
  <c r="P46" i="15"/>
  <c r="E44" i="15"/>
  <c r="P40" i="15"/>
  <c r="E40" i="15" s="1"/>
  <c r="D426" i="15" s="1"/>
  <c r="P34" i="15"/>
  <c r="E36" i="15" s="1"/>
  <c r="E32" i="15"/>
  <c r="P21" i="15"/>
  <c r="P16" i="15"/>
  <c r="E18" i="15" s="1"/>
  <c r="E13" i="15"/>
  <c r="P70" i="15"/>
  <c r="P293" i="15"/>
  <c r="E376" i="15"/>
  <c r="C549" i="34" s="1"/>
  <c r="D372" i="15"/>
  <c r="D355" i="15"/>
  <c r="D340" i="15"/>
  <c r="P275" i="15"/>
  <c r="P274" i="15"/>
  <c r="P89" i="15"/>
  <c r="E85" i="15"/>
  <c r="E84" i="15"/>
  <c r="E80" i="15"/>
  <c r="E45" i="15"/>
  <c r="E43" i="15"/>
  <c r="E9" i="15"/>
  <c r="D18" i="27"/>
  <c r="D64" i="27"/>
  <c r="C64" i="27"/>
  <c r="B64" i="27"/>
  <c r="A415" i="15"/>
  <c r="A414" i="15"/>
  <c r="R414" i="15"/>
  <c r="B415" i="15" s="1"/>
  <c r="R404" i="15"/>
  <c r="B359" i="30"/>
  <c r="C349" i="30"/>
  <c r="T368" i="30"/>
  <c r="AG368" i="30" s="1"/>
  <c r="Q368" i="30"/>
  <c r="AE368" i="30" s="1"/>
  <c r="J368" i="30"/>
  <c r="AC368" i="30" s="1"/>
  <c r="G362" i="30"/>
  <c r="B362" i="30"/>
  <c r="B360" i="30"/>
  <c r="T358" i="30"/>
  <c r="AG358" i="30" s="1"/>
  <c r="Q358" i="30"/>
  <c r="AE358" i="30" s="1"/>
  <c r="J358" i="30"/>
  <c r="AC358" i="30" s="1"/>
  <c r="G358" i="30"/>
  <c r="D358" i="30"/>
  <c r="C328" i="30"/>
  <c r="B339" i="30"/>
  <c r="B340" i="30"/>
  <c r="B338" i="30"/>
  <c r="T346" i="30"/>
  <c r="AG346" i="30" s="1"/>
  <c r="A68" i="15"/>
  <c r="A69" i="15" s="1"/>
  <c r="A70" i="15" s="1"/>
  <c r="A71" i="15" s="1"/>
  <c r="A72" i="15" s="1"/>
  <c r="A73" i="15" s="1"/>
  <c r="A74" i="15" s="1"/>
  <c r="A75" i="15" s="1"/>
  <c r="R193" i="15"/>
  <c r="G67" i="33" l="1"/>
  <c r="G63" i="33"/>
  <c r="D532" i="34"/>
  <c r="G64" i="33"/>
  <c r="D533" i="34"/>
  <c r="G66" i="33"/>
  <c r="D535" i="34"/>
  <c r="G65" i="33"/>
  <c r="D534" i="34"/>
  <c r="G69" i="33"/>
  <c r="G62" i="33"/>
  <c r="D531" i="34"/>
  <c r="G68" i="33"/>
  <c r="F86" i="33"/>
  <c r="G86" i="33" s="1"/>
  <c r="D22" i="20"/>
  <c r="D462" i="34"/>
  <c r="E390" i="15"/>
  <c r="E389" i="15"/>
  <c r="D15" i="25"/>
  <c r="D436" i="34" s="1"/>
  <c r="D16" i="25"/>
  <c r="K16" i="25" s="1"/>
  <c r="F437" i="34" s="1"/>
  <c r="P80" i="14"/>
  <c r="R551" i="24"/>
  <c r="AO551" i="24" s="1"/>
  <c r="K551" i="24"/>
  <c r="U551" i="24"/>
  <c r="K17" i="25"/>
  <c r="F438" i="34" s="1"/>
  <c r="D438" i="34"/>
  <c r="M17" i="25"/>
  <c r="I17" i="25"/>
  <c r="N17" i="25" s="1"/>
  <c r="E17" i="25"/>
  <c r="H17" i="25"/>
  <c r="E438" i="34"/>
  <c r="H16" i="25"/>
  <c r="E437" i="34"/>
  <c r="E22" i="15"/>
  <c r="E437" i="15"/>
  <c r="P237" i="15"/>
  <c r="E210" i="34" s="1"/>
  <c r="E431" i="15"/>
  <c r="E440" i="15"/>
  <c r="E439" i="15"/>
  <c r="P251" i="15"/>
  <c r="E222" i="34" s="1"/>
  <c r="E362" i="30"/>
  <c r="J362" i="30" s="1"/>
  <c r="P291" i="15"/>
  <c r="E268" i="34" s="1"/>
  <c r="P141" i="15"/>
  <c r="E109" i="34" s="1"/>
  <c r="P127" i="15"/>
  <c r="E97" i="34" s="1"/>
  <c r="E445" i="15"/>
  <c r="B455" i="15"/>
  <c r="B451" i="15"/>
  <c r="B401" i="34" s="1"/>
  <c r="B452" i="15"/>
  <c r="B454" i="15"/>
  <c r="B453" i="15"/>
  <c r="B456" i="15"/>
  <c r="B194" i="15"/>
  <c r="B175" i="34" s="1"/>
  <c r="B195" i="15"/>
  <c r="B176" i="34" s="1"/>
  <c r="B209" i="15"/>
  <c r="B190" i="34" s="1"/>
  <c r="F74" i="33"/>
  <c r="B320" i="15"/>
  <c r="B289" i="34" s="1"/>
  <c r="B417" i="15"/>
  <c r="B370" i="34" s="1"/>
  <c r="B408" i="15"/>
  <c r="B366" i="34" s="1"/>
  <c r="B404" i="15"/>
  <c r="B362" i="34" s="1"/>
  <c r="F90" i="24"/>
  <c r="H108" i="33"/>
  <c r="B163" i="15"/>
  <c r="B147" i="34" s="1"/>
  <c r="B123" i="15"/>
  <c r="B93" i="34" s="1"/>
  <c r="B301" i="34"/>
  <c r="E365" i="15"/>
  <c r="E364" i="15"/>
  <c r="E367" i="15"/>
  <c r="E366" i="15"/>
  <c r="E339" i="15"/>
  <c r="E338" i="15"/>
  <c r="E398" i="15"/>
  <c r="E396" i="15"/>
  <c r="E432" i="15"/>
  <c r="E435" i="15"/>
  <c r="B402" i="15"/>
  <c r="B361" i="34" s="1"/>
  <c r="B405" i="15"/>
  <c r="B363" i="34" s="1"/>
  <c r="E377" i="15"/>
  <c r="C548" i="34" s="1"/>
  <c r="G74" i="33"/>
  <c r="B368" i="34"/>
  <c r="Q404" i="15"/>
  <c r="E388" i="15"/>
  <c r="E392" i="15"/>
  <c r="E455" i="15"/>
  <c r="E23" i="15"/>
  <c r="E454" i="15"/>
  <c r="E375" i="15"/>
  <c r="C550" i="34" s="1"/>
  <c r="B394" i="15"/>
  <c r="B340" i="34" s="1"/>
  <c r="E430" i="15"/>
  <c r="E434" i="15"/>
  <c r="E453" i="15"/>
  <c r="B367" i="34"/>
  <c r="B369" i="34"/>
  <c r="B421" i="15"/>
  <c r="B374" i="34" s="1"/>
  <c r="B424" i="15"/>
  <c r="B377" i="34" s="1"/>
  <c r="B420" i="15"/>
  <c r="B373" i="34" s="1"/>
  <c r="B407" i="15"/>
  <c r="B365" i="34" s="1"/>
  <c r="B423" i="15"/>
  <c r="B376" i="34" s="1"/>
  <c r="B419" i="15"/>
  <c r="B372" i="34" s="1"/>
  <c r="B286" i="15"/>
  <c r="B263" i="34" s="1"/>
  <c r="B300" i="15"/>
  <c r="B275" i="34" s="1"/>
  <c r="E318" i="15"/>
  <c r="D548" i="34" s="1"/>
  <c r="E334" i="15"/>
  <c r="B300" i="34"/>
  <c r="E25" i="15"/>
  <c r="E24" i="15"/>
  <c r="E167" i="15"/>
  <c r="E232" i="15"/>
  <c r="D329" i="15"/>
  <c r="D324" i="15"/>
  <c r="D296" i="15"/>
  <c r="D298" i="15"/>
  <c r="D267" i="15"/>
  <c r="D311" i="15"/>
  <c r="D284" i="15"/>
  <c r="D243" i="15"/>
  <c r="E448" i="15"/>
  <c r="E444" i="15"/>
  <c r="E443" i="15"/>
  <c r="P222" i="15"/>
  <c r="E200" i="34" s="1"/>
  <c r="D248" i="15"/>
  <c r="D185" i="15"/>
  <c r="D184" i="15"/>
  <c r="D135" i="15"/>
  <c r="D198" i="15"/>
  <c r="E213" i="15"/>
  <c r="D211" i="15"/>
  <c r="E17" i="15"/>
  <c r="B191" i="15"/>
  <c r="B172" i="34" s="1"/>
  <c r="B216" i="15"/>
  <c r="B194" i="34" s="1"/>
  <c r="C11" i="17"/>
  <c r="D11" i="17" s="1"/>
  <c r="E35" i="15"/>
  <c r="E333" i="15"/>
  <c r="E447" i="15"/>
  <c r="P115" i="15"/>
  <c r="E87" i="34" s="1"/>
  <c r="E38" i="15"/>
  <c r="E446" i="15"/>
  <c r="E449" i="15"/>
  <c r="E317" i="15"/>
  <c r="D549" i="34" s="1"/>
  <c r="E47" i="15"/>
  <c r="E49" i="15"/>
  <c r="E48" i="15"/>
  <c r="P68" i="15"/>
  <c r="E26" i="15"/>
  <c r="E55" i="15"/>
  <c r="B15" i="34"/>
  <c r="E54" i="15"/>
  <c r="P62" i="15"/>
  <c r="P59" i="15" s="1"/>
  <c r="E17" i="34" s="1"/>
  <c r="E5" i="15"/>
  <c r="E314" i="15"/>
  <c r="D552" i="34" s="1"/>
  <c r="E332" i="15"/>
  <c r="E316" i="15"/>
  <c r="D550" i="34" s="1"/>
  <c r="P277" i="15"/>
  <c r="P273" i="15" s="1"/>
  <c r="E251" i="34" s="1"/>
  <c r="E315" i="15"/>
  <c r="D551" i="34" s="1"/>
  <c r="E8" i="15"/>
  <c r="P92" i="15"/>
  <c r="E330" i="15"/>
  <c r="F362" i="30"/>
  <c r="E7" i="15"/>
  <c r="E14" i="15"/>
  <c r="E31" i="15"/>
  <c r="E37" i="15"/>
  <c r="P88" i="15"/>
  <c r="P91" i="15"/>
  <c r="E335" i="15"/>
  <c r="E331" i="15"/>
  <c r="E319" i="15"/>
  <c r="D547" i="34" s="1"/>
  <c r="E373" i="15"/>
  <c r="C552" i="34" s="1"/>
  <c r="E374" i="15"/>
  <c r="C551" i="34" s="1"/>
  <c r="E30" i="15"/>
  <c r="E378" i="15"/>
  <c r="E78" i="15"/>
  <c r="E79" i="15"/>
  <c r="E82" i="15"/>
  <c r="E28" i="15"/>
  <c r="E29" i="15"/>
  <c r="I20" i="31"/>
  <c r="E251" i="15"/>
  <c r="AH369" i="30"/>
  <c r="J346" i="30"/>
  <c r="AC346" i="30" s="1"/>
  <c r="G337" i="30"/>
  <c r="Q346" i="30"/>
  <c r="AE346" i="30" s="1"/>
  <c r="B106" i="15"/>
  <c r="B56" i="34" s="1"/>
  <c r="D87" i="33"/>
  <c r="C87" i="33"/>
  <c r="D51" i="33"/>
  <c r="D50" i="33"/>
  <c r="D49" i="33"/>
  <c r="D48" i="33"/>
  <c r="D47" i="33"/>
  <c r="D46" i="33"/>
  <c r="D114" i="33"/>
  <c r="D45" i="33"/>
  <c r="D113" i="33"/>
  <c r="D44" i="33"/>
  <c r="D43" i="33"/>
  <c r="D42" i="33"/>
  <c r="D41" i="33"/>
  <c r="D40" i="33"/>
  <c r="D112" i="33"/>
  <c r="D39" i="33"/>
  <c r="D38" i="33"/>
  <c r="D37" i="33"/>
  <c r="D36" i="33"/>
  <c r="D35" i="33"/>
  <c r="D34" i="33"/>
  <c r="D111" i="33"/>
  <c r="D33" i="33"/>
  <c r="D32" i="33"/>
  <c r="D31" i="33"/>
  <c r="D30" i="33"/>
  <c r="D29" i="33"/>
  <c r="D28" i="33"/>
  <c r="D110" i="33"/>
  <c r="D27" i="33"/>
  <c r="D26" i="33"/>
  <c r="D25" i="33"/>
  <c r="D24" i="33"/>
  <c r="D23" i="33"/>
  <c r="D22" i="33"/>
  <c r="D21" i="33"/>
  <c r="D109" i="33"/>
  <c r="D20" i="33"/>
  <c r="D19" i="33"/>
  <c r="D18" i="33"/>
  <c r="D17" i="33"/>
  <c r="D16" i="33"/>
  <c r="D15" i="33"/>
  <c r="D14" i="33"/>
  <c r="C51" i="33"/>
  <c r="C50" i="33"/>
  <c r="C49" i="33"/>
  <c r="C48" i="33"/>
  <c r="C47" i="33"/>
  <c r="C46" i="33"/>
  <c r="C114" i="33"/>
  <c r="C45" i="33"/>
  <c r="C113" i="33"/>
  <c r="C44" i="33"/>
  <c r="C43" i="33"/>
  <c r="C42" i="33"/>
  <c r="C41" i="33"/>
  <c r="C40" i="33"/>
  <c r="C112" i="33"/>
  <c r="C39" i="33"/>
  <c r="C38" i="33"/>
  <c r="C37" i="33"/>
  <c r="C36" i="33"/>
  <c r="C35" i="33"/>
  <c r="C34" i="33"/>
  <c r="C111" i="33"/>
  <c r="C33" i="33"/>
  <c r="C32" i="33"/>
  <c r="C31" i="33"/>
  <c r="C30" i="33"/>
  <c r="C29" i="33"/>
  <c r="C28" i="33"/>
  <c r="C110" i="33"/>
  <c r="C27" i="33"/>
  <c r="C26" i="33"/>
  <c r="C25" i="33"/>
  <c r="C24" i="33"/>
  <c r="C23" i="33"/>
  <c r="C22" i="33"/>
  <c r="C21" i="33"/>
  <c r="C109" i="33"/>
  <c r="C20" i="33"/>
  <c r="C19" i="33"/>
  <c r="C18" i="33"/>
  <c r="C17" i="33"/>
  <c r="C16" i="33"/>
  <c r="C15" i="33"/>
  <c r="C14" i="33"/>
  <c r="Q61" i="19"/>
  <c r="J385" i="24"/>
  <c r="J384" i="24"/>
  <c r="J520" i="24"/>
  <c r="H29" i="23"/>
  <c r="G29" i="23"/>
  <c r="R209" i="15"/>
  <c r="D209" i="15"/>
  <c r="J74" i="33" l="1"/>
  <c r="C547" i="34"/>
  <c r="M16" i="25"/>
  <c r="E16" i="25"/>
  <c r="J16" i="25" s="1"/>
  <c r="D437" i="34"/>
  <c r="I16" i="25"/>
  <c r="N16" i="25" s="1"/>
  <c r="J17" i="25"/>
  <c r="Q362" i="30"/>
  <c r="E23" i="34"/>
  <c r="B344" i="15"/>
  <c r="B306" i="34" s="1"/>
  <c r="B341" i="15"/>
  <c r="B330" i="15"/>
  <c r="B299" i="34" s="1"/>
  <c r="B77" i="15"/>
  <c r="B29" i="34" s="1"/>
  <c r="B87" i="15"/>
  <c r="B31" i="34" s="1"/>
  <c r="B32" i="34" s="1"/>
  <c r="B33" i="34" s="1"/>
  <c r="B34" i="34" s="1"/>
  <c r="B35" i="34" s="1"/>
  <c r="B36" i="34" s="1"/>
  <c r="B68" i="15"/>
  <c r="B23" i="34" s="1"/>
  <c r="B24" i="34" s="1"/>
  <c r="B25" i="34" s="1"/>
  <c r="B26" i="34" s="1"/>
  <c r="B27" i="34" s="1"/>
  <c r="B28" i="34" s="1"/>
  <c r="B269" i="15"/>
  <c r="B247" i="34" s="1"/>
  <c r="B84" i="15"/>
  <c r="B30" i="34" s="1"/>
  <c r="B342" i="15"/>
  <c r="B304" i="34" s="1"/>
  <c r="B354" i="15"/>
  <c r="B368" i="15"/>
  <c r="B351" i="15"/>
  <c r="D69" i="33" s="1"/>
  <c r="B353" i="15"/>
  <c r="B369" i="15"/>
  <c r="B347" i="15"/>
  <c r="D67" i="33" s="1"/>
  <c r="B340" i="15"/>
  <c r="B343" i="15"/>
  <c r="B305" i="34" s="1"/>
  <c r="B345" i="15"/>
  <c r="D66" i="33" s="1"/>
  <c r="B535" i="34" s="1"/>
  <c r="B349" i="15"/>
  <c r="D68" i="33" s="1"/>
  <c r="B425" i="15"/>
  <c r="B378" i="34" s="1"/>
  <c r="B406" i="15"/>
  <c r="B364" i="34" s="1"/>
  <c r="B422" i="15"/>
  <c r="B375" i="34" s="1"/>
  <c r="B329" i="15"/>
  <c r="B298" i="34" s="1"/>
  <c r="B122" i="34"/>
  <c r="B121" i="34"/>
  <c r="P87" i="15"/>
  <c r="E31" i="34" s="1"/>
  <c r="D337" i="30"/>
  <c r="T337" i="30"/>
  <c r="AG337" i="30" s="1"/>
  <c r="AH347" i="30" s="1"/>
  <c r="J337" i="30"/>
  <c r="Q337" i="30"/>
  <c r="AE337" i="30" s="1"/>
  <c r="R113" i="15"/>
  <c r="R112" i="15"/>
  <c r="A127" i="15"/>
  <c r="D65" i="33" l="1"/>
  <c r="B534" i="34" s="1"/>
  <c r="B310" i="34"/>
  <c r="D63" i="33"/>
  <c r="B532" i="34" s="1"/>
  <c r="B114" i="15"/>
  <c r="B86" i="34" s="1"/>
  <c r="B115" i="15"/>
  <c r="B113" i="15"/>
  <c r="B85" i="34" s="1"/>
  <c r="B308" i="34"/>
  <c r="D64" i="33"/>
  <c r="B533" i="34" s="1"/>
  <c r="B309" i="34"/>
  <c r="B307" i="34"/>
  <c r="B117" i="15"/>
  <c r="B122" i="15"/>
  <c r="B119" i="15"/>
  <c r="B116" i="15"/>
  <c r="B87" i="34" s="1"/>
  <c r="B88" i="34" s="1"/>
  <c r="B89" i="34" s="1"/>
  <c r="B90" i="34" s="1"/>
  <c r="B91" i="34" s="1"/>
  <c r="B92" i="34" s="1"/>
  <c r="B120" i="15"/>
  <c r="B118" i="15"/>
  <c r="B121" i="15"/>
  <c r="AC337" i="30"/>
  <c r="J327" i="24"/>
  <c r="P52" i="19"/>
  <c r="O52" i="19"/>
  <c r="P60" i="19"/>
  <c r="O60" i="19"/>
  <c r="O59" i="19"/>
  <c r="P59" i="19"/>
  <c r="O61" i="19"/>
  <c r="P61" i="19"/>
  <c r="O82" i="19"/>
  <c r="P82" i="19"/>
  <c r="O83" i="19"/>
  <c r="P83" i="19"/>
  <c r="G327" i="24"/>
  <c r="AQ327" i="24" s="1"/>
  <c r="F179" i="24"/>
  <c r="R417" i="15"/>
  <c r="D337" i="15"/>
  <c r="D336" i="15"/>
  <c r="C336" i="15"/>
  <c r="R337" i="15"/>
  <c r="A336" i="15"/>
  <c r="A337" i="15"/>
  <c r="R418" i="15"/>
  <c r="D17" i="27"/>
  <c r="D59" i="27"/>
  <c r="C59" i="27"/>
  <c r="B59" i="27"/>
  <c r="C49" i="27"/>
  <c r="C48" i="27"/>
  <c r="B48" i="27"/>
  <c r="B49" i="27"/>
  <c r="C558" i="24"/>
  <c r="C579" i="24"/>
  <c r="C578" i="24"/>
  <c r="D550" i="24"/>
  <c r="D551" i="24"/>
  <c r="C551" i="24"/>
  <c r="C550" i="24"/>
  <c r="D539" i="24"/>
  <c r="D538" i="24"/>
  <c r="C538" i="24"/>
  <c r="C493" i="24"/>
  <c r="D493" i="24"/>
  <c r="D492" i="24"/>
  <c r="C492" i="24"/>
  <c r="M65" i="19"/>
  <c r="M64" i="19"/>
  <c r="K65" i="19"/>
  <c r="L65" i="19"/>
  <c r="L64" i="19"/>
  <c r="K64" i="19"/>
  <c r="O41" i="19"/>
  <c r="C251" i="24" s="1"/>
  <c r="P41" i="19"/>
  <c r="Q41" i="19"/>
  <c r="D400" i="24"/>
  <c r="A408" i="15"/>
  <c r="D327" i="24"/>
  <c r="J518" i="24"/>
  <c r="J493" i="24"/>
  <c r="R301" i="15"/>
  <c r="R300" i="15"/>
  <c r="B301" i="15" s="1"/>
  <c r="D301" i="15"/>
  <c r="G251" i="24" s="1"/>
  <c r="D290" i="15"/>
  <c r="F360" i="30" s="1"/>
  <c r="A291" i="15"/>
  <c r="P75" i="19"/>
  <c r="O75" i="19"/>
  <c r="AR327" i="24" l="1"/>
  <c r="AT251" i="24"/>
  <c r="AS251" i="24"/>
  <c r="AR251" i="24"/>
  <c r="AQ251" i="24"/>
  <c r="B418" i="15"/>
  <c r="B371" i="34" s="1"/>
  <c r="AI22" i="24"/>
  <c r="AH22" i="24"/>
  <c r="AG22" i="24"/>
  <c r="D509" i="24"/>
  <c r="C525" i="24"/>
  <c r="C524" i="24"/>
  <c r="C512" i="24"/>
  <c r="C511" i="24"/>
  <c r="U515" i="24"/>
  <c r="AP515" i="24" s="1"/>
  <c r="R515" i="24"/>
  <c r="AO515" i="24" s="1"/>
  <c r="K515" i="24"/>
  <c r="AN515" i="24" s="1"/>
  <c r="U514" i="24"/>
  <c r="AP514" i="24" s="1"/>
  <c r="R514" i="24"/>
  <c r="AO514" i="24" s="1"/>
  <c r="K514" i="24"/>
  <c r="O81" i="19"/>
  <c r="P81" i="19"/>
  <c r="Q81" i="19"/>
  <c r="D235" i="15"/>
  <c r="D236" i="15"/>
  <c r="B284" i="15"/>
  <c r="B261" i="34" s="1"/>
  <c r="AN514" i="24" l="1"/>
  <c r="BD29" i="24"/>
  <c r="X633" i="34" s="1"/>
  <c r="AZ29" i="24"/>
  <c r="D251" i="24"/>
  <c r="B276" i="34"/>
  <c r="R516" i="24"/>
  <c r="AO516" i="24" s="1"/>
  <c r="U516" i="24"/>
  <c r="AP516" i="24" s="1"/>
  <c r="K516" i="24"/>
  <c r="AN516" i="24" s="1"/>
  <c r="AD144" i="30"/>
  <c r="AD125" i="30"/>
  <c r="AD106" i="30"/>
  <c r="AD87" i="30"/>
  <c r="AD68" i="30"/>
  <c r="AD49" i="30"/>
  <c r="AH29" i="30"/>
  <c r="AI28" i="24"/>
  <c r="M23" i="23"/>
  <c r="T318" i="30"/>
  <c r="Q318" i="30"/>
  <c r="J318" i="30"/>
  <c r="T317" i="30"/>
  <c r="Q317" i="30"/>
  <c r="J317" i="30"/>
  <c r="Q313" i="30"/>
  <c r="J313" i="30"/>
  <c r="T309" i="30"/>
  <c r="Q309" i="30"/>
  <c r="J309" i="30"/>
  <c r="T308" i="30"/>
  <c r="Q308" i="30"/>
  <c r="J308" i="30"/>
  <c r="T306" i="30"/>
  <c r="Q306" i="30"/>
  <c r="J306" i="30"/>
  <c r="T305" i="30"/>
  <c r="Q305" i="30"/>
  <c r="J305" i="30"/>
  <c r="T298" i="30"/>
  <c r="Q298" i="30"/>
  <c r="J298" i="30"/>
  <c r="T297" i="30"/>
  <c r="Q297" i="30"/>
  <c r="J297" i="30"/>
  <c r="T289" i="30"/>
  <c r="Q289" i="30"/>
  <c r="J289" i="30"/>
  <c r="T288" i="30"/>
  <c r="Q288" i="30"/>
  <c r="J288" i="30"/>
  <c r="T286" i="30"/>
  <c r="Q286" i="30"/>
  <c r="J286" i="30"/>
  <c r="T285" i="30"/>
  <c r="Q285" i="30"/>
  <c r="J285" i="30"/>
  <c r="T278" i="30"/>
  <c r="Q278" i="30"/>
  <c r="J278" i="30"/>
  <c r="T277" i="30"/>
  <c r="T279" i="30" s="1"/>
  <c r="AG279" i="30" s="1"/>
  <c r="Q277" i="30"/>
  <c r="J277" i="30"/>
  <c r="T269" i="30"/>
  <c r="Q269" i="30"/>
  <c r="J269" i="30"/>
  <c r="T268" i="30"/>
  <c r="Q268" i="30"/>
  <c r="J268" i="30"/>
  <c r="T266" i="30"/>
  <c r="Q266" i="30"/>
  <c r="J266" i="30"/>
  <c r="T265" i="30"/>
  <c r="T267" i="30" s="1"/>
  <c r="Q265" i="30"/>
  <c r="J265" i="30"/>
  <c r="T258" i="30"/>
  <c r="Q258" i="30"/>
  <c r="J258" i="30"/>
  <c r="T257" i="30"/>
  <c r="Q257" i="30"/>
  <c r="J257" i="30"/>
  <c r="J259" i="30" s="1"/>
  <c r="AC259" i="30" s="1"/>
  <c r="Q253" i="30"/>
  <c r="J253" i="30"/>
  <c r="T249" i="30"/>
  <c r="Q249" i="30"/>
  <c r="J249" i="30"/>
  <c r="T248" i="30"/>
  <c r="Q248" i="30"/>
  <c r="J248" i="30"/>
  <c r="J250" i="30" s="1"/>
  <c r="T246" i="30"/>
  <c r="Q246" i="30"/>
  <c r="J246" i="30"/>
  <c r="T245" i="30"/>
  <c r="Q245" i="30"/>
  <c r="J245" i="30"/>
  <c r="T238" i="30"/>
  <c r="Q238" i="30"/>
  <c r="J238" i="30"/>
  <c r="T237" i="30"/>
  <c r="Q237" i="30"/>
  <c r="J237" i="30"/>
  <c r="Q233" i="30"/>
  <c r="J233" i="30"/>
  <c r="T229" i="30"/>
  <c r="Q229" i="30"/>
  <c r="J229" i="30"/>
  <c r="T228" i="30"/>
  <c r="Q228" i="30"/>
  <c r="J228" i="30"/>
  <c r="T226" i="30"/>
  <c r="Q226" i="30"/>
  <c r="J226" i="30"/>
  <c r="T225" i="30"/>
  <c r="Q225" i="30"/>
  <c r="Q227" i="30" s="1"/>
  <c r="J225" i="30"/>
  <c r="T218" i="30"/>
  <c r="Q218" i="30"/>
  <c r="J218" i="30"/>
  <c r="T217" i="30"/>
  <c r="Q217" i="30"/>
  <c r="J217" i="30"/>
  <c r="Q213" i="30"/>
  <c r="J213" i="30"/>
  <c r="T209" i="30"/>
  <c r="Q209" i="30"/>
  <c r="J209" i="30"/>
  <c r="T208" i="30"/>
  <c r="Q208" i="30"/>
  <c r="J208" i="30"/>
  <c r="T206" i="30"/>
  <c r="Q206" i="30"/>
  <c r="J206" i="30"/>
  <c r="T205" i="30"/>
  <c r="T207" i="30" s="1"/>
  <c r="Q205" i="30"/>
  <c r="J205" i="30"/>
  <c r="T198" i="30"/>
  <c r="Q198" i="30"/>
  <c r="J198" i="30"/>
  <c r="T197" i="30"/>
  <c r="Q197" i="30"/>
  <c r="J197" i="30"/>
  <c r="J199" i="30" s="1"/>
  <c r="AC199" i="30" s="1"/>
  <c r="T188" i="30"/>
  <c r="Q188" i="30"/>
  <c r="J188" i="30"/>
  <c r="T187" i="30"/>
  <c r="Q187" i="30"/>
  <c r="J187" i="30"/>
  <c r="T185" i="30"/>
  <c r="Q185" i="30"/>
  <c r="Q186" i="30" s="1"/>
  <c r="J185" i="30"/>
  <c r="T184" i="30"/>
  <c r="Q184" i="30"/>
  <c r="J184" i="30"/>
  <c r="T179" i="30"/>
  <c r="Q179" i="30"/>
  <c r="J179" i="30"/>
  <c r="T178" i="30"/>
  <c r="Q178" i="30"/>
  <c r="J178" i="30"/>
  <c r="Q174" i="30"/>
  <c r="J174" i="30"/>
  <c r="T170" i="30"/>
  <c r="Q170" i="30"/>
  <c r="J170" i="30"/>
  <c r="T169" i="30"/>
  <c r="Q169" i="30"/>
  <c r="J169" i="30"/>
  <c r="T167" i="30"/>
  <c r="Q167" i="30"/>
  <c r="J167" i="30"/>
  <c r="T166" i="30"/>
  <c r="Q166" i="30"/>
  <c r="J166" i="30"/>
  <c r="T160" i="30"/>
  <c r="Q160" i="30"/>
  <c r="J160" i="30"/>
  <c r="T159" i="30"/>
  <c r="Q159" i="30"/>
  <c r="J159" i="30"/>
  <c r="Q155" i="30"/>
  <c r="J155" i="30"/>
  <c r="Q154" i="30"/>
  <c r="J154" i="30"/>
  <c r="T148" i="30"/>
  <c r="Q148" i="30"/>
  <c r="J148" i="30"/>
  <c r="T147" i="30"/>
  <c r="Q147" i="30"/>
  <c r="J147" i="30"/>
  <c r="T141" i="30"/>
  <c r="Q141" i="30"/>
  <c r="J141" i="30"/>
  <c r="T140" i="30"/>
  <c r="Q140" i="30"/>
  <c r="J140" i="30"/>
  <c r="Q136" i="30"/>
  <c r="J136" i="30"/>
  <c r="Q135" i="30"/>
  <c r="Q137" i="30" s="1"/>
  <c r="J135" i="30"/>
  <c r="T132" i="30"/>
  <c r="Q132" i="30"/>
  <c r="Q133" i="30" s="1"/>
  <c r="J132" i="30"/>
  <c r="T131" i="30"/>
  <c r="Q131" i="30"/>
  <c r="J131" i="30"/>
  <c r="T129" i="30"/>
  <c r="Q129" i="30"/>
  <c r="J129" i="30"/>
  <c r="T122" i="30"/>
  <c r="Q122" i="30"/>
  <c r="J122" i="30"/>
  <c r="T121" i="30"/>
  <c r="Q121" i="30"/>
  <c r="J121" i="30"/>
  <c r="Q117" i="30"/>
  <c r="J117" i="30"/>
  <c r="Q116" i="30"/>
  <c r="J116" i="30"/>
  <c r="T113" i="30"/>
  <c r="Q113" i="30"/>
  <c r="J113" i="30"/>
  <c r="T110" i="30"/>
  <c r="Q110" i="30"/>
  <c r="J110" i="30"/>
  <c r="T103" i="30"/>
  <c r="Q103" i="30"/>
  <c r="J103" i="30"/>
  <c r="T102" i="30"/>
  <c r="Q102" i="30"/>
  <c r="J102" i="30"/>
  <c r="Q98" i="30"/>
  <c r="J98" i="30"/>
  <c r="Q97" i="30"/>
  <c r="J97" i="30"/>
  <c r="J99" i="30" s="1"/>
  <c r="T94" i="30"/>
  <c r="Q94" i="30"/>
  <c r="J94" i="30"/>
  <c r="T93" i="30"/>
  <c r="Q93" i="30"/>
  <c r="J93" i="30"/>
  <c r="T91" i="30"/>
  <c r="Q91" i="30"/>
  <c r="J91" i="30"/>
  <c r="T84" i="30"/>
  <c r="Q84" i="30"/>
  <c r="J84" i="30"/>
  <c r="T83" i="30"/>
  <c r="Q83" i="30"/>
  <c r="J83" i="30"/>
  <c r="Q79" i="30"/>
  <c r="J79" i="30"/>
  <c r="Q78" i="30"/>
  <c r="J78" i="30"/>
  <c r="T75" i="30"/>
  <c r="Q75" i="30"/>
  <c r="J75" i="30"/>
  <c r="T74" i="30"/>
  <c r="Q74" i="30"/>
  <c r="J74" i="30"/>
  <c r="T72" i="30"/>
  <c r="Q72" i="30"/>
  <c r="J72" i="30"/>
  <c r="T65" i="30"/>
  <c r="Q65" i="30"/>
  <c r="J65" i="30"/>
  <c r="T64" i="30"/>
  <c r="Q64" i="30"/>
  <c r="J64" i="30"/>
  <c r="Q60" i="30"/>
  <c r="J60" i="30"/>
  <c r="Q59" i="30"/>
  <c r="J59" i="30"/>
  <c r="T56" i="30"/>
  <c r="Q56" i="30"/>
  <c r="J56" i="30"/>
  <c r="T53" i="30"/>
  <c r="Q53" i="30"/>
  <c r="J53" i="30"/>
  <c r="T46" i="30"/>
  <c r="Q46" i="30"/>
  <c r="J46" i="30"/>
  <c r="T45" i="30"/>
  <c r="Q45" i="30"/>
  <c r="J45" i="30"/>
  <c r="Q41" i="30"/>
  <c r="J41" i="30"/>
  <c r="Q40" i="30"/>
  <c r="J40" i="30"/>
  <c r="T37" i="30"/>
  <c r="Q37" i="30"/>
  <c r="J37" i="30"/>
  <c r="AH25" i="24"/>
  <c r="AI25" i="24"/>
  <c r="AG25" i="24"/>
  <c r="S18" i="28" s="1"/>
  <c r="R631" i="24"/>
  <c r="AO631" i="24" s="1"/>
  <c r="R611" i="24"/>
  <c r="AO611" i="24" s="1"/>
  <c r="R591" i="24"/>
  <c r="AO591" i="24" s="1"/>
  <c r="R571" i="24"/>
  <c r="AO571" i="24" s="1"/>
  <c r="R505" i="24"/>
  <c r="AO505" i="24" s="1"/>
  <c r="R486" i="24"/>
  <c r="AO486" i="24" s="1"/>
  <c r="R485" i="24"/>
  <c r="R467" i="24"/>
  <c r="AO467" i="24" s="1"/>
  <c r="R466" i="24"/>
  <c r="R448" i="24"/>
  <c r="AO448" i="24" s="1"/>
  <c r="R429" i="24"/>
  <c r="AO429" i="24" s="1"/>
  <c r="R410" i="24"/>
  <c r="AO410" i="24" s="1"/>
  <c r="R390" i="24"/>
  <c r="AO390" i="24" s="1"/>
  <c r="R370" i="24"/>
  <c r="AO370" i="24" s="1"/>
  <c r="R369" i="24"/>
  <c r="R351" i="24"/>
  <c r="AO351" i="24" s="1"/>
  <c r="R350" i="24"/>
  <c r="R332" i="24"/>
  <c r="AO332" i="24" s="1"/>
  <c r="R331" i="24"/>
  <c r="R313" i="24"/>
  <c r="AO313" i="24" s="1"/>
  <c r="K294" i="24"/>
  <c r="AN294" i="24" s="1"/>
  <c r="K293" i="24"/>
  <c r="U294" i="24"/>
  <c r="AP294" i="24" s="1"/>
  <c r="U293" i="24"/>
  <c r="R294" i="24"/>
  <c r="AO294" i="24" s="1"/>
  <c r="R293" i="24"/>
  <c r="R275" i="24"/>
  <c r="AO275" i="24" s="1"/>
  <c r="R256" i="24"/>
  <c r="AO256" i="24" s="1"/>
  <c r="R255" i="24"/>
  <c r="R237" i="24"/>
  <c r="AO237" i="24" s="1"/>
  <c r="R236" i="24"/>
  <c r="R218" i="24"/>
  <c r="AO218" i="24" s="1"/>
  <c r="R217" i="24"/>
  <c r="R199" i="24"/>
  <c r="AO199" i="24" s="1"/>
  <c r="R180" i="24"/>
  <c r="AO180" i="24" s="1"/>
  <c r="U161" i="24"/>
  <c r="AP161" i="24" s="1"/>
  <c r="K161" i="24"/>
  <c r="AN161" i="24" s="1"/>
  <c r="R161" i="24"/>
  <c r="AO161" i="24" s="1"/>
  <c r="R142" i="24"/>
  <c r="AO142" i="24" s="1"/>
  <c r="R141" i="24"/>
  <c r="U142" i="24"/>
  <c r="AP142" i="24" s="1"/>
  <c r="U141" i="24"/>
  <c r="R122" i="24"/>
  <c r="AO122" i="24" s="1"/>
  <c r="R121" i="24"/>
  <c r="R102" i="24"/>
  <c r="R83" i="24"/>
  <c r="R64" i="24"/>
  <c r="K45" i="24"/>
  <c r="AN45" i="24" s="1"/>
  <c r="K44" i="24"/>
  <c r="U45" i="24"/>
  <c r="AP45" i="24" s="1"/>
  <c r="U44" i="24"/>
  <c r="R45" i="24"/>
  <c r="AO45" i="24" s="1"/>
  <c r="R44" i="24"/>
  <c r="U631" i="24"/>
  <c r="AP631" i="24" s="1"/>
  <c r="K631" i="24"/>
  <c r="AN631" i="24" s="1"/>
  <c r="U622" i="24"/>
  <c r="AP622" i="24" s="1"/>
  <c r="R622" i="24"/>
  <c r="AO622" i="24" s="1"/>
  <c r="K622" i="24"/>
  <c r="AN622" i="24" s="1"/>
  <c r="U621" i="24"/>
  <c r="AP621" i="24" s="1"/>
  <c r="R621" i="24"/>
  <c r="AO621" i="24" s="1"/>
  <c r="K621" i="24"/>
  <c r="U619" i="24"/>
  <c r="AP619" i="24" s="1"/>
  <c r="R619" i="24"/>
  <c r="AO619" i="24" s="1"/>
  <c r="K619" i="24"/>
  <c r="AN619" i="24" s="1"/>
  <c r="U611" i="24"/>
  <c r="AP611" i="24" s="1"/>
  <c r="K611" i="24"/>
  <c r="AN611" i="24" s="1"/>
  <c r="R606" i="24"/>
  <c r="AO606" i="24" s="1"/>
  <c r="K606" i="24"/>
  <c r="AN606" i="24" s="1"/>
  <c r="R605" i="24"/>
  <c r="K605" i="24"/>
  <c r="U602" i="24"/>
  <c r="AP602" i="24" s="1"/>
  <c r="R602" i="24"/>
  <c r="AO602" i="24" s="1"/>
  <c r="K602" i="24"/>
  <c r="AN602" i="24" s="1"/>
  <c r="U601" i="24"/>
  <c r="AP601" i="24" s="1"/>
  <c r="R601" i="24"/>
  <c r="AO601" i="24" s="1"/>
  <c r="K601" i="24"/>
  <c r="U599" i="24"/>
  <c r="AP599" i="24" s="1"/>
  <c r="R599" i="24"/>
  <c r="AO599" i="24" s="1"/>
  <c r="K599" i="24"/>
  <c r="AN599" i="24" s="1"/>
  <c r="U591" i="24"/>
  <c r="AP591" i="24" s="1"/>
  <c r="K591" i="24"/>
  <c r="AN591" i="24" s="1"/>
  <c r="U582" i="24"/>
  <c r="AP582" i="24" s="1"/>
  <c r="R582" i="24"/>
  <c r="AO582" i="24" s="1"/>
  <c r="K582" i="24"/>
  <c r="AN582" i="24" s="1"/>
  <c r="U581" i="24"/>
  <c r="AP581" i="24" s="1"/>
  <c r="R581" i="24"/>
  <c r="AO581" i="24" s="1"/>
  <c r="K581" i="24"/>
  <c r="U571" i="24"/>
  <c r="AP571" i="24" s="1"/>
  <c r="K571" i="24"/>
  <c r="AN571" i="24" s="1"/>
  <c r="U562" i="24"/>
  <c r="AP562" i="24" s="1"/>
  <c r="R562" i="24"/>
  <c r="AO562" i="24" s="1"/>
  <c r="K562" i="24"/>
  <c r="AN562" i="24" s="1"/>
  <c r="U561" i="24"/>
  <c r="AP561" i="24" s="1"/>
  <c r="R561" i="24"/>
  <c r="AO561" i="24" s="1"/>
  <c r="K561" i="24"/>
  <c r="U559" i="24"/>
  <c r="AP559" i="24" s="1"/>
  <c r="R559" i="24"/>
  <c r="AO559" i="24" s="1"/>
  <c r="K559" i="24"/>
  <c r="AN559" i="24" s="1"/>
  <c r="U542" i="24"/>
  <c r="AP542" i="24" s="1"/>
  <c r="R542" i="24"/>
  <c r="AO542" i="24" s="1"/>
  <c r="K542" i="24"/>
  <c r="AN542" i="24" s="1"/>
  <c r="U541" i="24"/>
  <c r="AP541" i="24" s="1"/>
  <c r="R541" i="24"/>
  <c r="AO541" i="24" s="1"/>
  <c r="K541" i="24"/>
  <c r="J500" i="24"/>
  <c r="J232" i="24"/>
  <c r="J175" i="24"/>
  <c r="U505" i="24"/>
  <c r="AP505" i="24" s="1"/>
  <c r="U486" i="24"/>
  <c r="AP486" i="24" s="1"/>
  <c r="U485" i="24"/>
  <c r="U467" i="24"/>
  <c r="AP467" i="24" s="1"/>
  <c r="U466" i="24"/>
  <c r="U448" i="24"/>
  <c r="AP448" i="24" s="1"/>
  <c r="U429" i="24"/>
  <c r="AP429" i="24" s="1"/>
  <c r="U410" i="24"/>
  <c r="AP410" i="24" s="1"/>
  <c r="U390" i="24"/>
  <c r="AP390" i="24" s="1"/>
  <c r="U370" i="24"/>
  <c r="AP370" i="24" s="1"/>
  <c r="U369" i="24"/>
  <c r="U351" i="24"/>
  <c r="AP351" i="24" s="1"/>
  <c r="U350" i="24"/>
  <c r="U332" i="24"/>
  <c r="AP332" i="24" s="1"/>
  <c r="U331" i="24"/>
  <c r="U313" i="24"/>
  <c r="AP313" i="24" s="1"/>
  <c r="U275" i="24"/>
  <c r="AP275" i="24" s="1"/>
  <c r="U256" i="24"/>
  <c r="AP256" i="24" s="1"/>
  <c r="U255" i="24"/>
  <c r="U237" i="24"/>
  <c r="AP237" i="24" s="1"/>
  <c r="U236" i="24"/>
  <c r="U218" i="24"/>
  <c r="AP218" i="24" s="1"/>
  <c r="U217" i="24"/>
  <c r="U199" i="24"/>
  <c r="AP199" i="24" s="1"/>
  <c r="U180" i="24"/>
  <c r="AP180" i="24" s="1"/>
  <c r="U122" i="24"/>
  <c r="AP122" i="24" s="1"/>
  <c r="U121" i="24"/>
  <c r="U103" i="24"/>
  <c r="AP103" i="24" s="1"/>
  <c r="U102" i="24"/>
  <c r="U84" i="24"/>
  <c r="AP84" i="24" s="1"/>
  <c r="U83" i="24"/>
  <c r="U65" i="24"/>
  <c r="AP65" i="24" s="1"/>
  <c r="U64" i="24"/>
  <c r="J156" i="24"/>
  <c r="J53" i="24"/>
  <c r="K505" i="24"/>
  <c r="AN505" i="24" s="1"/>
  <c r="AV46" i="24" l="1"/>
  <c r="AP44" i="24"/>
  <c r="AP46" i="24"/>
  <c r="AU46" i="24"/>
  <c r="AO369" i="24"/>
  <c r="AO371" i="24" s="1"/>
  <c r="AS371" i="24"/>
  <c r="AT371" i="24"/>
  <c r="AP83" i="24"/>
  <c r="AP85" i="24" s="1"/>
  <c r="AV85" i="24"/>
  <c r="AU85" i="24"/>
  <c r="AP331" i="24"/>
  <c r="AP333" i="24" s="1"/>
  <c r="AV333" i="24"/>
  <c r="AU333" i="24"/>
  <c r="AO83" i="24"/>
  <c r="AP141" i="24"/>
  <c r="AP143" i="24" s="1"/>
  <c r="AU143" i="24"/>
  <c r="AV143" i="24"/>
  <c r="AO293" i="24"/>
  <c r="AO295" i="24" s="1"/>
  <c r="AT295" i="24"/>
  <c r="AS295" i="24"/>
  <c r="AN293" i="24"/>
  <c r="AN295" i="24" s="1"/>
  <c r="AQ295" i="24"/>
  <c r="AR295" i="24"/>
  <c r="H295" i="24"/>
  <c r="AT487" i="24"/>
  <c r="AO485" i="24"/>
  <c r="AO487" i="24" s="1"/>
  <c r="AS487" i="24"/>
  <c r="AP121" i="24"/>
  <c r="AP123" i="24" s="1"/>
  <c r="AV123" i="24"/>
  <c r="AU123" i="24"/>
  <c r="AP255" i="24"/>
  <c r="AP257" i="24" s="1"/>
  <c r="AU257" i="24"/>
  <c r="AV257" i="24"/>
  <c r="AP369" i="24"/>
  <c r="AP371" i="24" s="1"/>
  <c r="AV371" i="24"/>
  <c r="AU371" i="24"/>
  <c r="AP485" i="24"/>
  <c r="AP487" i="24" s="1"/>
  <c r="AU487" i="24"/>
  <c r="AV487" i="24"/>
  <c r="AQ607" i="24"/>
  <c r="AN607" i="24"/>
  <c r="AN605" i="24"/>
  <c r="AR607" i="24"/>
  <c r="H607" i="24"/>
  <c r="AT607" i="24"/>
  <c r="AO607" i="24"/>
  <c r="AO605" i="24"/>
  <c r="AS607" i="24"/>
  <c r="AN621" i="24"/>
  <c r="H623" i="24"/>
  <c r="AO44" i="24"/>
  <c r="AO46" i="24" s="1"/>
  <c r="AS46" i="24"/>
  <c r="AT46" i="24"/>
  <c r="AN46" i="24"/>
  <c r="AR46" i="24"/>
  <c r="H46" i="24"/>
  <c r="AN44" i="24"/>
  <c r="AQ46" i="24"/>
  <c r="AO102" i="24"/>
  <c r="AT219" i="24"/>
  <c r="AO217" i="24"/>
  <c r="AO219" i="24" s="1"/>
  <c r="AS219" i="24"/>
  <c r="AT257" i="24"/>
  <c r="AO255" i="24"/>
  <c r="AO257" i="24" s="1"/>
  <c r="AS257" i="24"/>
  <c r="AO350" i="24"/>
  <c r="AO352" i="24" s="1"/>
  <c r="AT352" i="24"/>
  <c r="AS352" i="24"/>
  <c r="AO466" i="24"/>
  <c r="AO468" i="24" s="1"/>
  <c r="AT468" i="24"/>
  <c r="AS468" i="24"/>
  <c r="AN561" i="24"/>
  <c r="H563" i="24"/>
  <c r="AN581" i="24"/>
  <c r="H583" i="24"/>
  <c r="AO64" i="24"/>
  <c r="AO236" i="24"/>
  <c r="AO238" i="24" s="1"/>
  <c r="AS238" i="24"/>
  <c r="AT238" i="24"/>
  <c r="AT333" i="24"/>
  <c r="AO331" i="24"/>
  <c r="AO333" i="24" s="1"/>
  <c r="AS333" i="24"/>
  <c r="AP217" i="24"/>
  <c r="AP219" i="24" s="1"/>
  <c r="AV219" i="24"/>
  <c r="AU219" i="24"/>
  <c r="AP64" i="24"/>
  <c r="AP66" i="24" s="1"/>
  <c r="AV66" i="24"/>
  <c r="AU66" i="24"/>
  <c r="AP102" i="24"/>
  <c r="AP104" i="24" s="1"/>
  <c r="AU104" i="24"/>
  <c r="AV104" i="24"/>
  <c r="AP236" i="24"/>
  <c r="AP238" i="24" s="1"/>
  <c r="AU238" i="24"/>
  <c r="AV238" i="24"/>
  <c r="AP350" i="24"/>
  <c r="AP352" i="24" s="1"/>
  <c r="AV352" i="24"/>
  <c r="AU352" i="24"/>
  <c r="AP466" i="24"/>
  <c r="AP468" i="24" s="1"/>
  <c r="AU468" i="24"/>
  <c r="AV468" i="24"/>
  <c r="AN541" i="24"/>
  <c r="H543" i="24"/>
  <c r="AN601" i="24"/>
  <c r="H603" i="24"/>
  <c r="AT123" i="24"/>
  <c r="AO121" i="24"/>
  <c r="AO123" i="24" s="1"/>
  <c r="AS123" i="24"/>
  <c r="AO141" i="24"/>
  <c r="AO143" i="24" s="1"/>
  <c r="AT143" i="24"/>
  <c r="AS143" i="24"/>
  <c r="AP293" i="24"/>
  <c r="AP295" i="24" s="1"/>
  <c r="AU295" i="24"/>
  <c r="AV295" i="24"/>
  <c r="T307" i="30"/>
  <c r="T133" i="30"/>
  <c r="T149" i="30"/>
  <c r="T168" i="30"/>
  <c r="T259" i="30"/>
  <c r="AG259" i="30" s="1"/>
  <c r="T287" i="30"/>
  <c r="T227" i="30"/>
  <c r="J239" i="30"/>
  <c r="AC239" i="30" s="1"/>
  <c r="Q247" i="30"/>
  <c r="J270" i="30"/>
  <c r="Q99" i="30"/>
  <c r="Q210" i="30"/>
  <c r="Q230" i="30"/>
  <c r="Q239" i="30"/>
  <c r="AE239" i="30" s="1"/>
  <c r="Q287" i="30"/>
  <c r="Q291" i="30" s="1"/>
  <c r="AE291" i="30" s="1"/>
  <c r="Q310" i="30"/>
  <c r="Q207" i="30"/>
  <c r="Q267" i="30"/>
  <c r="J186" i="30"/>
  <c r="T180" i="30"/>
  <c r="AG180" i="30" s="1"/>
  <c r="J180" i="30"/>
  <c r="AC180" i="30" s="1"/>
  <c r="J168" i="30"/>
  <c r="Q168" i="30"/>
  <c r="Q231" i="30"/>
  <c r="AE231" i="30" s="1"/>
  <c r="J210" i="30"/>
  <c r="J219" i="30"/>
  <c r="AC219" i="30" s="1"/>
  <c r="T247" i="30"/>
  <c r="T270" i="30"/>
  <c r="J290" i="30"/>
  <c r="Q299" i="30"/>
  <c r="AE299" i="30" s="1"/>
  <c r="J310" i="30"/>
  <c r="T47" i="30"/>
  <c r="Q76" i="30"/>
  <c r="J104" i="30"/>
  <c r="J123" i="30"/>
  <c r="Q161" i="30"/>
  <c r="Q171" i="30"/>
  <c r="Q172" i="30" s="1"/>
  <c r="AE172" i="30" s="1"/>
  <c r="T210" i="30"/>
  <c r="T211" i="30" s="1"/>
  <c r="AG211" i="30" s="1"/>
  <c r="T219" i="30"/>
  <c r="AG219" i="30" s="1"/>
  <c r="Q250" i="30"/>
  <c r="Q270" i="30"/>
  <c r="Q290" i="30"/>
  <c r="Q307" i="30"/>
  <c r="Q311" i="30" s="1"/>
  <c r="AE311" i="30" s="1"/>
  <c r="Q319" i="30"/>
  <c r="AE319" i="30" s="1"/>
  <c r="U295" i="24"/>
  <c r="AH295" i="24" s="1"/>
  <c r="T18" i="28"/>
  <c r="U18" i="28"/>
  <c r="K603" i="24"/>
  <c r="AN603" i="24" s="1"/>
  <c r="U66" i="24"/>
  <c r="AH66" i="24" s="1"/>
  <c r="U143" i="24"/>
  <c r="AH143" i="24" s="1"/>
  <c r="Q85" i="30"/>
  <c r="J95" i="30"/>
  <c r="T104" i="30"/>
  <c r="T123" i="30"/>
  <c r="J156" i="30"/>
  <c r="U104" i="24"/>
  <c r="AH104" i="24" s="1"/>
  <c r="U238" i="24"/>
  <c r="AH238" i="24" s="1"/>
  <c r="K623" i="24"/>
  <c r="AN623" i="24" s="1"/>
  <c r="U352" i="24"/>
  <c r="AH352" i="24" s="1"/>
  <c r="U468" i="24"/>
  <c r="AH468" i="24" s="1"/>
  <c r="K543" i="24"/>
  <c r="AN543" i="24" s="1"/>
  <c r="J85" i="30"/>
  <c r="Q142" i="30"/>
  <c r="J161" i="30"/>
  <c r="J61" i="30"/>
  <c r="Q80" i="30"/>
  <c r="J133" i="30"/>
  <c r="Q66" i="30"/>
  <c r="J76" i="30"/>
  <c r="Q149" i="30"/>
  <c r="J267" i="30"/>
  <c r="J271" i="30" s="1"/>
  <c r="AC271" i="30" s="1"/>
  <c r="J247" i="30"/>
  <c r="J230" i="30"/>
  <c r="J207" i="30"/>
  <c r="J211" i="30" s="1"/>
  <c r="AC211" i="30" s="1"/>
  <c r="T199" i="30"/>
  <c r="AG199" i="30" s="1"/>
  <c r="AH200" i="30" s="1"/>
  <c r="J189" i="30"/>
  <c r="J171" i="30"/>
  <c r="J172" i="30" s="1"/>
  <c r="AC172" i="30" s="1"/>
  <c r="Q271" i="30"/>
  <c r="AE271" i="30" s="1"/>
  <c r="J66" i="30"/>
  <c r="T76" i="30"/>
  <c r="T85" i="30"/>
  <c r="Q95" i="30"/>
  <c r="Q104" i="30"/>
  <c r="T142" i="30"/>
  <c r="J149" i="30"/>
  <c r="T171" i="30"/>
  <c r="T172" i="30" s="1"/>
  <c r="AG172" i="30" s="1"/>
  <c r="AH181" i="30" s="1"/>
  <c r="T186" i="30"/>
  <c r="T189" i="30"/>
  <c r="Q219" i="30"/>
  <c r="AE219" i="30" s="1"/>
  <c r="T230" i="30"/>
  <c r="T231" i="30" s="1"/>
  <c r="AG231" i="30" s="1"/>
  <c r="T239" i="30"/>
  <c r="AG239" i="30" s="1"/>
  <c r="Q259" i="30"/>
  <c r="AE259" i="30" s="1"/>
  <c r="J279" i="30"/>
  <c r="AC279" i="30" s="1"/>
  <c r="T290" i="30"/>
  <c r="T291" i="30" s="1"/>
  <c r="AG291" i="30" s="1"/>
  <c r="AH300" i="30" s="1"/>
  <c r="T299" i="30"/>
  <c r="AG299" i="30" s="1"/>
  <c r="J307" i="30"/>
  <c r="J319" i="30"/>
  <c r="AC319" i="30" s="1"/>
  <c r="Q61" i="30"/>
  <c r="J118" i="30"/>
  <c r="Q156" i="30"/>
  <c r="Q211" i="30"/>
  <c r="AE211" i="30" s="1"/>
  <c r="J251" i="30"/>
  <c r="AC251" i="30" s="1"/>
  <c r="T66" i="30"/>
  <c r="J80" i="30"/>
  <c r="T95" i="30"/>
  <c r="Q118" i="30"/>
  <c r="Q123" i="30"/>
  <c r="J137" i="30"/>
  <c r="J142" i="30"/>
  <c r="T161" i="30"/>
  <c r="Q180" i="30"/>
  <c r="AE180" i="30" s="1"/>
  <c r="Q189" i="30"/>
  <c r="Q190" i="30" s="1"/>
  <c r="AE190" i="30" s="1"/>
  <c r="Q199" i="30"/>
  <c r="AE199" i="30" s="1"/>
  <c r="J227" i="30"/>
  <c r="J231" i="30" s="1"/>
  <c r="AC231" i="30" s="1"/>
  <c r="T250" i="30"/>
  <c r="T251" i="30" s="1"/>
  <c r="AG251" i="30" s="1"/>
  <c r="AH260" i="30" s="1"/>
  <c r="Q279" i="30"/>
  <c r="AE279" i="30" s="1"/>
  <c r="J287" i="30"/>
  <c r="J291" i="30" s="1"/>
  <c r="AC291" i="30" s="1"/>
  <c r="J299" i="30"/>
  <c r="AC299" i="30" s="1"/>
  <c r="T310" i="30"/>
  <c r="T311" i="30" s="1"/>
  <c r="AG311" i="30" s="1"/>
  <c r="AH320" i="30" s="1"/>
  <c r="T319" i="30"/>
  <c r="AG319" i="30" s="1"/>
  <c r="T271" i="30"/>
  <c r="AG271" i="30" s="1"/>
  <c r="AH280" i="30" s="1"/>
  <c r="Q251" i="30"/>
  <c r="AE251" i="30" s="1"/>
  <c r="J47" i="30"/>
  <c r="Q47" i="30"/>
  <c r="Q42" i="30"/>
  <c r="J42" i="30"/>
  <c r="R603" i="24"/>
  <c r="AO603" i="24" s="1"/>
  <c r="U46" i="24"/>
  <c r="AH46" i="24" s="1"/>
  <c r="K627" i="24"/>
  <c r="AD627" i="24" s="1"/>
  <c r="U123" i="24"/>
  <c r="AH123" i="24" s="1"/>
  <c r="R563" i="24"/>
  <c r="AO563" i="24" s="1"/>
  <c r="R583" i="24"/>
  <c r="AO583" i="24" s="1"/>
  <c r="U623" i="24"/>
  <c r="AP623" i="24" s="1"/>
  <c r="U563" i="24"/>
  <c r="AP563" i="24" s="1"/>
  <c r="K587" i="24"/>
  <c r="AD587" i="24" s="1"/>
  <c r="U543" i="24"/>
  <c r="AP543" i="24" s="1"/>
  <c r="R587" i="24"/>
  <c r="AF587" i="24" s="1"/>
  <c r="U603" i="24"/>
  <c r="AP603" i="24" s="1"/>
  <c r="U333" i="24"/>
  <c r="AH333" i="24" s="1"/>
  <c r="U371" i="24"/>
  <c r="AH371" i="24" s="1"/>
  <c r="R543" i="24"/>
  <c r="AO543" i="24" s="1"/>
  <c r="K563" i="24"/>
  <c r="AN563" i="24" s="1"/>
  <c r="K583" i="24"/>
  <c r="AN583" i="24" s="1"/>
  <c r="K607" i="24"/>
  <c r="AD607" i="24" s="1"/>
  <c r="R623" i="24"/>
  <c r="AO623" i="24" s="1"/>
  <c r="U85" i="24"/>
  <c r="AH85" i="24" s="1"/>
  <c r="U219" i="24"/>
  <c r="AH219" i="24" s="1"/>
  <c r="U257" i="24"/>
  <c r="AH257" i="24" s="1"/>
  <c r="U487" i="24"/>
  <c r="AH487" i="24" s="1"/>
  <c r="U583" i="24"/>
  <c r="AP583" i="24" s="1"/>
  <c r="R627" i="24"/>
  <c r="AF627" i="24" s="1"/>
  <c r="R607" i="24"/>
  <c r="AF607" i="24" s="1"/>
  <c r="J311" i="30" l="1"/>
  <c r="AC311" i="30" s="1"/>
  <c r="J190" i="30"/>
  <c r="AC190" i="30" s="1"/>
  <c r="AH240" i="30"/>
  <c r="AH220" i="30"/>
  <c r="T190" i="30"/>
  <c r="AG190" i="30" s="1"/>
  <c r="U496" i="24" l="1"/>
  <c r="AP496" i="24" s="1"/>
  <c r="R496" i="24"/>
  <c r="AO496" i="24" s="1"/>
  <c r="K496" i="24"/>
  <c r="AN496" i="24" s="1"/>
  <c r="U495" i="24"/>
  <c r="AP495" i="24" s="1"/>
  <c r="R495" i="24"/>
  <c r="AO495" i="24" s="1"/>
  <c r="K495" i="24"/>
  <c r="K486" i="24"/>
  <c r="AN486" i="24" s="1"/>
  <c r="R487" i="24"/>
  <c r="AF487" i="24" s="1"/>
  <c r="K485" i="24"/>
  <c r="R481" i="24"/>
  <c r="AO481" i="24" s="1"/>
  <c r="K481" i="24"/>
  <c r="AN481" i="24" s="1"/>
  <c r="J480" i="24"/>
  <c r="U477" i="24"/>
  <c r="AP477" i="24" s="1"/>
  <c r="R477" i="24"/>
  <c r="AO477" i="24" s="1"/>
  <c r="K477" i="24"/>
  <c r="AN477" i="24" s="1"/>
  <c r="U476" i="24"/>
  <c r="AP476" i="24" s="1"/>
  <c r="R476" i="24"/>
  <c r="AO476" i="24" s="1"/>
  <c r="K476" i="24"/>
  <c r="K467" i="24"/>
  <c r="AN467" i="24" s="1"/>
  <c r="R468" i="24"/>
  <c r="AF468" i="24" s="1"/>
  <c r="K466" i="24"/>
  <c r="R462" i="24"/>
  <c r="AO462" i="24" s="1"/>
  <c r="K462" i="24"/>
  <c r="AN462" i="24" s="1"/>
  <c r="J461" i="24"/>
  <c r="U458" i="24"/>
  <c r="AP458" i="24" s="1"/>
  <c r="R458" i="24"/>
  <c r="AO458" i="24" s="1"/>
  <c r="K458" i="24"/>
  <c r="AN458" i="24" s="1"/>
  <c r="U455" i="24"/>
  <c r="AP455" i="24" s="1"/>
  <c r="R455" i="24"/>
  <c r="AO455" i="24" s="1"/>
  <c r="K455" i="24"/>
  <c r="AN455" i="24" s="1"/>
  <c r="K448" i="24"/>
  <c r="AN448" i="24" s="1"/>
  <c r="R443" i="24"/>
  <c r="AO443" i="24" s="1"/>
  <c r="K443" i="24"/>
  <c r="AN443" i="24" s="1"/>
  <c r="J442" i="24"/>
  <c r="U439" i="24"/>
  <c r="AP439" i="24" s="1"/>
  <c r="R439" i="24"/>
  <c r="AO439" i="24" s="1"/>
  <c r="K439" i="24"/>
  <c r="AN439" i="24" s="1"/>
  <c r="U438" i="24"/>
  <c r="AP438" i="24" s="1"/>
  <c r="R438" i="24"/>
  <c r="AO438" i="24" s="1"/>
  <c r="K438" i="24"/>
  <c r="K429" i="24"/>
  <c r="AN429" i="24" s="1"/>
  <c r="J423" i="24"/>
  <c r="U420" i="24"/>
  <c r="AP420" i="24" s="1"/>
  <c r="R420" i="24"/>
  <c r="AO420" i="24" s="1"/>
  <c r="K420" i="24"/>
  <c r="AN420" i="24" s="1"/>
  <c r="U419" i="24"/>
  <c r="AP419" i="24" s="1"/>
  <c r="R419" i="24"/>
  <c r="AO419" i="24" s="1"/>
  <c r="K419" i="24"/>
  <c r="U417" i="24"/>
  <c r="AP417" i="24" s="1"/>
  <c r="R417" i="24"/>
  <c r="AO417" i="24" s="1"/>
  <c r="K417" i="24"/>
  <c r="AN417" i="24" s="1"/>
  <c r="K410" i="24"/>
  <c r="AN410" i="24" s="1"/>
  <c r="R405" i="24"/>
  <c r="AO405" i="24" s="1"/>
  <c r="K405" i="24"/>
  <c r="AN405" i="24" s="1"/>
  <c r="U397" i="24"/>
  <c r="AP397" i="24" s="1"/>
  <c r="R397" i="24"/>
  <c r="AO397" i="24" s="1"/>
  <c r="K397" i="24"/>
  <c r="AN397" i="24" s="1"/>
  <c r="K390" i="24"/>
  <c r="AN390" i="24" s="1"/>
  <c r="J383" i="24"/>
  <c r="U380" i="24"/>
  <c r="AP380" i="24" s="1"/>
  <c r="R380" i="24"/>
  <c r="AO380" i="24" s="1"/>
  <c r="K380" i="24"/>
  <c r="AN380" i="24" s="1"/>
  <c r="U379" i="24"/>
  <c r="AP379" i="24" s="1"/>
  <c r="R379" i="24"/>
  <c r="AO379" i="24" s="1"/>
  <c r="K379" i="24"/>
  <c r="U377" i="24"/>
  <c r="AP377" i="24" s="1"/>
  <c r="R377" i="24"/>
  <c r="AO377" i="24" s="1"/>
  <c r="K377" i="24"/>
  <c r="AN377" i="24" s="1"/>
  <c r="K370" i="24"/>
  <c r="AN370" i="24" s="1"/>
  <c r="R371" i="24"/>
  <c r="AF371" i="24" s="1"/>
  <c r="K369" i="24"/>
  <c r="R365" i="24"/>
  <c r="AO365" i="24" s="1"/>
  <c r="K365" i="24"/>
  <c r="AN365" i="24" s="1"/>
  <c r="J364" i="24"/>
  <c r="U361" i="24"/>
  <c r="AP361" i="24" s="1"/>
  <c r="R361" i="24"/>
  <c r="AO361" i="24" s="1"/>
  <c r="K361" i="24"/>
  <c r="AN361" i="24" s="1"/>
  <c r="U360" i="24"/>
  <c r="AP360" i="24" s="1"/>
  <c r="R360" i="24"/>
  <c r="AO360" i="24" s="1"/>
  <c r="K360" i="24"/>
  <c r="U358" i="24"/>
  <c r="AP358" i="24" s="1"/>
  <c r="R358" i="24"/>
  <c r="AO358" i="24" s="1"/>
  <c r="K358" i="24"/>
  <c r="AN358" i="24" s="1"/>
  <c r="K351" i="24"/>
  <c r="AN351" i="24" s="1"/>
  <c r="R352" i="24"/>
  <c r="AF352" i="24" s="1"/>
  <c r="K350" i="24"/>
  <c r="R346" i="24"/>
  <c r="AO346" i="24" s="1"/>
  <c r="K346" i="24"/>
  <c r="AN346" i="24" s="1"/>
  <c r="J345" i="24"/>
  <c r="AR345" i="24" s="1"/>
  <c r="U342" i="24"/>
  <c r="AP342" i="24" s="1"/>
  <c r="R342" i="24"/>
  <c r="AO342" i="24" s="1"/>
  <c r="K342" i="24"/>
  <c r="AN342" i="24" s="1"/>
  <c r="U341" i="24"/>
  <c r="AP341" i="24" s="1"/>
  <c r="R341" i="24"/>
  <c r="AO341" i="24" s="1"/>
  <c r="K341" i="24"/>
  <c r="U339" i="24"/>
  <c r="AP339" i="24" s="1"/>
  <c r="R339" i="24"/>
  <c r="AO339" i="24" s="1"/>
  <c r="K339" i="24"/>
  <c r="AN339" i="24" s="1"/>
  <c r="K332" i="24"/>
  <c r="AN332" i="24" s="1"/>
  <c r="R333" i="24"/>
  <c r="AF333" i="24" s="1"/>
  <c r="K331" i="24"/>
  <c r="J326" i="24"/>
  <c r="U323" i="24"/>
  <c r="AP323" i="24" s="1"/>
  <c r="R323" i="24"/>
  <c r="AO323" i="24" s="1"/>
  <c r="K323" i="24"/>
  <c r="AN323" i="24" s="1"/>
  <c r="K313" i="24"/>
  <c r="AN313" i="24" s="1"/>
  <c r="R308" i="24"/>
  <c r="AO308" i="24" s="1"/>
  <c r="K308" i="24"/>
  <c r="AN308" i="24" s="1"/>
  <c r="J307" i="24"/>
  <c r="U304" i="24"/>
  <c r="AP304" i="24" s="1"/>
  <c r="R304" i="24"/>
  <c r="AO304" i="24" s="1"/>
  <c r="K304" i="24"/>
  <c r="AN304" i="24" s="1"/>
  <c r="U301" i="24"/>
  <c r="AP301" i="24" s="1"/>
  <c r="R301" i="24"/>
  <c r="AO301" i="24" s="1"/>
  <c r="K301" i="24"/>
  <c r="AN301" i="24" s="1"/>
  <c r="J288" i="24"/>
  <c r="U285" i="24"/>
  <c r="AP285" i="24" s="1"/>
  <c r="R285" i="24"/>
  <c r="AO285" i="24" s="1"/>
  <c r="K285" i="24"/>
  <c r="AN285" i="24" s="1"/>
  <c r="K275" i="24"/>
  <c r="AN275" i="24" s="1"/>
  <c r="J269" i="24"/>
  <c r="U266" i="24"/>
  <c r="AP266" i="24" s="1"/>
  <c r="R266" i="24"/>
  <c r="AO266" i="24" s="1"/>
  <c r="K266" i="24"/>
  <c r="AN266" i="24" s="1"/>
  <c r="K256" i="24"/>
  <c r="AN256" i="24" s="1"/>
  <c r="R257" i="24"/>
  <c r="AF257" i="24" s="1"/>
  <c r="K255" i="24"/>
  <c r="J250" i="24"/>
  <c r="U247" i="24"/>
  <c r="AP247" i="24" s="1"/>
  <c r="R247" i="24"/>
  <c r="AO247" i="24" s="1"/>
  <c r="K247" i="24"/>
  <c r="AN247" i="24" s="1"/>
  <c r="U244" i="24"/>
  <c r="AP244" i="24" s="1"/>
  <c r="R244" i="24"/>
  <c r="AO244" i="24" s="1"/>
  <c r="K244" i="24"/>
  <c r="AN244" i="24" s="1"/>
  <c r="K237" i="24"/>
  <c r="AN237" i="24" s="1"/>
  <c r="K236" i="24"/>
  <c r="J231" i="24"/>
  <c r="U228" i="24"/>
  <c r="AP228" i="24" s="1"/>
  <c r="R228" i="24"/>
  <c r="AO228" i="24" s="1"/>
  <c r="K228" i="24"/>
  <c r="AN228" i="24" s="1"/>
  <c r="U227" i="24"/>
  <c r="AP227" i="24" s="1"/>
  <c r="R227" i="24"/>
  <c r="AO227" i="24" s="1"/>
  <c r="K227" i="24"/>
  <c r="U225" i="24"/>
  <c r="AP225" i="24" s="1"/>
  <c r="R225" i="24"/>
  <c r="AO225" i="24" s="1"/>
  <c r="K225" i="24"/>
  <c r="AN225" i="24" s="1"/>
  <c r="K218" i="24"/>
  <c r="AN218" i="24" s="1"/>
  <c r="K217" i="24"/>
  <c r="R213" i="24"/>
  <c r="AO213" i="24" s="1"/>
  <c r="K213" i="24"/>
  <c r="AN213" i="24" s="1"/>
  <c r="J212" i="24"/>
  <c r="U209" i="24"/>
  <c r="AP209" i="24" s="1"/>
  <c r="R209" i="24"/>
  <c r="AO209" i="24" s="1"/>
  <c r="K209" i="24"/>
  <c r="AN209" i="24" s="1"/>
  <c r="K199" i="24"/>
  <c r="AN199" i="24" s="1"/>
  <c r="R194" i="24"/>
  <c r="AO194" i="24" s="1"/>
  <c r="K194" i="24"/>
  <c r="AN194" i="24" s="1"/>
  <c r="J193" i="24"/>
  <c r="U187" i="24"/>
  <c r="AP187" i="24" s="1"/>
  <c r="R187" i="24"/>
  <c r="AO187" i="24" s="1"/>
  <c r="K187" i="24"/>
  <c r="AN187" i="24" s="1"/>
  <c r="K180" i="24"/>
  <c r="AN180" i="24" s="1"/>
  <c r="J174" i="24"/>
  <c r="U171" i="24"/>
  <c r="AP171" i="24" s="1"/>
  <c r="R171" i="24"/>
  <c r="AO171" i="24" s="1"/>
  <c r="K171" i="24"/>
  <c r="AN171" i="24" s="1"/>
  <c r="U168" i="24"/>
  <c r="AP168" i="24" s="1"/>
  <c r="R168" i="24"/>
  <c r="AO168" i="24" s="1"/>
  <c r="K168" i="24"/>
  <c r="AN168" i="24" s="1"/>
  <c r="J155" i="24"/>
  <c r="U152" i="24"/>
  <c r="AP152" i="24" s="1"/>
  <c r="R152" i="24"/>
  <c r="AO152" i="24" s="1"/>
  <c r="K152" i="24"/>
  <c r="AN152" i="24" s="1"/>
  <c r="U151" i="24"/>
  <c r="AP151" i="24" s="1"/>
  <c r="R151" i="24"/>
  <c r="AO151" i="24" s="1"/>
  <c r="K151" i="24"/>
  <c r="U149" i="24"/>
  <c r="AP149" i="24" s="1"/>
  <c r="R149" i="24"/>
  <c r="AO149" i="24" s="1"/>
  <c r="K149" i="24"/>
  <c r="AN149" i="24" s="1"/>
  <c r="K142" i="24"/>
  <c r="AN142" i="24" s="1"/>
  <c r="K141" i="24"/>
  <c r="R136" i="24"/>
  <c r="J136" i="24"/>
  <c r="U133" i="24"/>
  <c r="AP133" i="24" s="1"/>
  <c r="R133" i="24"/>
  <c r="AO133" i="24" s="1"/>
  <c r="K133" i="24"/>
  <c r="AN133" i="24" s="1"/>
  <c r="U132" i="24"/>
  <c r="AP132" i="24" s="1"/>
  <c r="R132" i="24"/>
  <c r="AO132" i="24" s="1"/>
  <c r="K132" i="24"/>
  <c r="K122" i="24"/>
  <c r="AN122" i="24" s="1"/>
  <c r="K121" i="24"/>
  <c r="R117" i="24"/>
  <c r="AO117" i="24" s="1"/>
  <c r="K117" i="24"/>
  <c r="AN117" i="24" s="1"/>
  <c r="J116" i="24"/>
  <c r="U113" i="24"/>
  <c r="AP113" i="24" s="1"/>
  <c r="R113" i="24"/>
  <c r="AO113" i="24" s="1"/>
  <c r="K113" i="24"/>
  <c r="AN113" i="24" s="1"/>
  <c r="U112" i="24"/>
  <c r="AP112" i="24" s="1"/>
  <c r="R112" i="24"/>
  <c r="AO112" i="24" s="1"/>
  <c r="K112" i="24"/>
  <c r="R103" i="24"/>
  <c r="K103" i="24"/>
  <c r="AN103" i="24" s="1"/>
  <c r="K102" i="24"/>
  <c r="R98" i="24"/>
  <c r="AO98" i="24" s="1"/>
  <c r="K98" i="24"/>
  <c r="AN98" i="24" s="1"/>
  <c r="J97" i="24"/>
  <c r="U94" i="24"/>
  <c r="AP94" i="24" s="1"/>
  <c r="R94" i="24"/>
  <c r="AO94" i="24" s="1"/>
  <c r="K94" i="24"/>
  <c r="AN94" i="24" s="1"/>
  <c r="U91" i="24"/>
  <c r="AP91" i="24" s="1"/>
  <c r="R91" i="24"/>
  <c r="AO91" i="24" s="1"/>
  <c r="K91" i="24"/>
  <c r="AN91" i="24" s="1"/>
  <c r="R84" i="24"/>
  <c r="K84" i="24"/>
  <c r="AN84" i="24" s="1"/>
  <c r="K83" i="24"/>
  <c r="R79" i="24"/>
  <c r="AO79" i="24" s="1"/>
  <c r="K79" i="24"/>
  <c r="AN79" i="24" s="1"/>
  <c r="J78" i="24"/>
  <c r="U75" i="24"/>
  <c r="AP75" i="24" s="1"/>
  <c r="R75" i="24"/>
  <c r="AO75" i="24" s="1"/>
  <c r="K75" i="24"/>
  <c r="AN75" i="24" s="1"/>
  <c r="U74" i="24"/>
  <c r="AP74" i="24" s="1"/>
  <c r="R74" i="24"/>
  <c r="AO74" i="24" s="1"/>
  <c r="K74" i="24"/>
  <c r="U72" i="24"/>
  <c r="AP72" i="24" s="1"/>
  <c r="R72" i="24"/>
  <c r="AO72" i="24" s="1"/>
  <c r="K72" i="24"/>
  <c r="AN72" i="24" s="1"/>
  <c r="R65" i="24"/>
  <c r="K65" i="24"/>
  <c r="AN65" i="24" s="1"/>
  <c r="K64" i="24"/>
  <c r="R60" i="24"/>
  <c r="AO60" i="24" s="1"/>
  <c r="K60" i="24"/>
  <c r="AN60" i="24" s="1"/>
  <c r="J59" i="24"/>
  <c r="U56" i="24"/>
  <c r="AP56" i="24" s="1"/>
  <c r="R56" i="24"/>
  <c r="AO56" i="24" s="1"/>
  <c r="K56" i="24"/>
  <c r="AN56" i="24" s="1"/>
  <c r="U55" i="24"/>
  <c r="AP55" i="24" s="1"/>
  <c r="R55" i="24"/>
  <c r="AO55" i="24" s="1"/>
  <c r="K55" i="24"/>
  <c r="R46" i="24"/>
  <c r="AF46" i="24" s="1"/>
  <c r="J39" i="24"/>
  <c r="U36" i="24"/>
  <c r="AP36" i="24" s="1"/>
  <c r="R36" i="24"/>
  <c r="AO36" i="24" s="1"/>
  <c r="K36" i="24"/>
  <c r="AN36" i="24" s="1"/>
  <c r="U35" i="24"/>
  <c r="AP35" i="24" s="1"/>
  <c r="R35" i="24"/>
  <c r="AO35" i="24" s="1"/>
  <c r="K35" i="24"/>
  <c r="U33" i="24"/>
  <c r="AP33" i="24" s="1"/>
  <c r="R33" i="24"/>
  <c r="AO33" i="24" s="1"/>
  <c r="K33" i="24"/>
  <c r="AN33" i="24" s="1"/>
  <c r="B221" i="15"/>
  <c r="B199" i="34" s="1"/>
  <c r="B207" i="15"/>
  <c r="B188" i="34" s="1"/>
  <c r="O19" i="31"/>
  <c r="Q21" i="31"/>
  <c r="Q22" i="31"/>
  <c r="Q23" i="31"/>
  <c r="Q24" i="31"/>
  <c r="Q25" i="31"/>
  <c r="Q20" i="31"/>
  <c r="C143" i="15"/>
  <c r="C142" i="15"/>
  <c r="H23" i="31"/>
  <c r="Q210" i="14"/>
  <c r="R371" i="15"/>
  <c r="B372" i="15" s="1"/>
  <c r="D371" i="15"/>
  <c r="C371" i="15"/>
  <c r="B371" i="15"/>
  <c r="B319" i="34" s="1"/>
  <c r="A372" i="15"/>
  <c r="A371" i="15"/>
  <c r="R378" i="15"/>
  <c r="R377" i="15"/>
  <c r="R376" i="15"/>
  <c r="R375" i="15"/>
  <c r="R374" i="15"/>
  <c r="R373" i="15"/>
  <c r="R372" i="15"/>
  <c r="P210" i="14"/>
  <c r="C55" i="27"/>
  <c r="B55" i="27"/>
  <c r="C56" i="27"/>
  <c r="B56" i="27"/>
  <c r="C54" i="27"/>
  <c r="B54" i="27"/>
  <c r="D22" i="32"/>
  <c r="E22" i="32" s="1"/>
  <c r="H20" i="31"/>
  <c r="H25" i="31"/>
  <c r="I25" i="31"/>
  <c r="R221" i="15"/>
  <c r="C221" i="15"/>
  <c r="D221" i="15"/>
  <c r="A221" i="15"/>
  <c r="Q132" i="14"/>
  <c r="D53" i="36" s="1"/>
  <c r="P132" i="14"/>
  <c r="D616" i="24"/>
  <c r="AZ34" i="24" s="1"/>
  <c r="D623" i="24"/>
  <c r="H41" i="31"/>
  <c r="H42" i="31"/>
  <c r="H43" i="31"/>
  <c r="H44" i="31"/>
  <c r="H45" i="31"/>
  <c r="H40" i="31"/>
  <c r="H32" i="31"/>
  <c r="H33" i="31"/>
  <c r="H34" i="31"/>
  <c r="H35" i="31"/>
  <c r="H31" i="31"/>
  <c r="H21" i="31"/>
  <c r="H22" i="31"/>
  <c r="H24" i="31"/>
  <c r="H26" i="31"/>
  <c r="I41" i="31"/>
  <c r="I42" i="31"/>
  <c r="I43" i="31"/>
  <c r="I44" i="31"/>
  <c r="I45" i="31"/>
  <c r="I40" i="31"/>
  <c r="I32" i="31"/>
  <c r="I33" i="31"/>
  <c r="I34" i="31"/>
  <c r="I31" i="31"/>
  <c r="I21" i="31"/>
  <c r="I22" i="31"/>
  <c r="I23" i="31"/>
  <c r="I24" i="31"/>
  <c r="O39" i="31"/>
  <c r="O30" i="31"/>
  <c r="B168" i="15"/>
  <c r="AO65" i="24" l="1"/>
  <c r="AO66" i="24" s="1"/>
  <c r="AT66" i="24"/>
  <c r="AS66" i="24"/>
  <c r="AN360" i="24"/>
  <c r="H362" i="24"/>
  <c r="AN419" i="24"/>
  <c r="H421" i="24"/>
  <c r="AN438" i="24"/>
  <c r="H440" i="24"/>
  <c r="AN35" i="24"/>
  <c r="H37" i="24"/>
  <c r="H57" i="24"/>
  <c r="AN55" i="24"/>
  <c r="AN83" i="24"/>
  <c r="AN85" i="24" s="1"/>
  <c r="AR85" i="24"/>
  <c r="AQ85" i="24"/>
  <c r="H85" i="24"/>
  <c r="AN102" i="24"/>
  <c r="AN104" i="24" s="1"/>
  <c r="AQ104" i="24"/>
  <c r="H104" i="24"/>
  <c r="AR104" i="24"/>
  <c r="AN121" i="24"/>
  <c r="AN123" i="24" s="1"/>
  <c r="AR123" i="24"/>
  <c r="AQ123" i="24"/>
  <c r="H123" i="24"/>
  <c r="AN227" i="24"/>
  <c r="H229" i="24"/>
  <c r="AN255" i="24"/>
  <c r="AN257" i="24" s="1"/>
  <c r="AQ257" i="24"/>
  <c r="H257" i="24"/>
  <c r="AR257" i="24"/>
  <c r="AN341" i="24"/>
  <c r="H343" i="24"/>
  <c r="AN369" i="24"/>
  <c r="AN371" i="24" s="1"/>
  <c r="H371" i="24"/>
  <c r="AQ371" i="24"/>
  <c r="AR371" i="24"/>
  <c r="AN74" i="24"/>
  <c r="H76" i="24"/>
  <c r="H114" i="24"/>
  <c r="AN112" i="24"/>
  <c r="AN151" i="24"/>
  <c r="H153" i="24"/>
  <c r="AN217" i="24"/>
  <c r="AN219" i="24" s="1"/>
  <c r="AQ219" i="24"/>
  <c r="H219" i="24"/>
  <c r="AR219" i="24"/>
  <c r="AN236" i="24"/>
  <c r="AN238" i="24" s="1"/>
  <c r="H238" i="24"/>
  <c r="AR238" i="24"/>
  <c r="AQ238" i="24"/>
  <c r="AN64" i="24"/>
  <c r="AN66" i="24" s="1"/>
  <c r="AR66" i="24"/>
  <c r="AQ66" i="24"/>
  <c r="H66" i="24"/>
  <c r="AO136" i="24"/>
  <c r="AN350" i="24"/>
  <c r="AN352" i="24" s="1"/>
  <c r="AR352" i="24"/>
  <c r="AQ352" i="24"/>
  <c r="H352" i="24"/>
  <c r="AN476" i="24"/>
  <c r="H478" i="24"/>
  <c r="AN495" i="24"/>
  <c r="H497" i="24"/>
  <c r="AO84" i="24"/>
  <c r="AO85" i="24" s="1"/>
  <c r="AT85" i="24"/>
  <c r="AS85" i="24"/>
  <c r="AO103" i="24"/>
  <c r="AO104" i="24" s="1"/>
  <c r="AT104" i="24"/>
  <c r="AS104" i="24"/>
  <c r="AN132" i="24"/>
  <c r="H134" i="24"/>
  <c r="AN141" i="24"/>
  <c r="AN143" i="24" s="1"/>
  <c r="H143" i="24"/>
  <c r="AR143" i="24"/>
  <c r="AQ143" i="24"/>
  <c r="AN331" i="24"/>
  <c r="AN333" i="24" s="1"/>
  <c r="AR333" i="24"/>
  <c r="AQ333" i="24"/>
  <c r="H333" i="24"/>
  <c r="AN379" i="24"/>
  <c r="H381" i="24"/>
  <c r="AN466" i="24"/>
  <c r="AN468" i="24" s="1"/>
  <c r="AR468" i="24"/>
  <c r="H468" i="24"/>
  <c r="AQ468" i="24"/>
  <c r="AN485" i="24"/>
  <c r="AN487" i="24" s="1"/>
  <c r="H487" i="24"/>
  <c r="AR487" i="24"/>
  <c r="AQ487" i="24"/>
  <c r="K136" i="24"/>
  <c r="B222" i="15"/>
  <c r="B231" i="15"/>
  <c r="B206" i="34" s="1"/>
  <c r="B320" i="34"/>
  <c r="B373" i="15"/>
  <c r="B227" i="15"/>
  <c r="B224" i="15"/>
  <c r="B226" i="15"/>
  <c r="B223" i="15"/>
  <c r="B200" i="34" s="1"/>
  <c r="B201" i="34" s="1"/>
  <c r="B202" i="34" s="1"/>
  <c r="B203" i="34" s="1"/>
  <c r="B204" i="34" s="1"/>
  <c r="B205" i="34" s="1"/>
  <c r="B229" i="15"/>
  <c r="R362" i="24"/>
  <c r="AO362" i="24" s="1"/>
  <c r="K381" i="24"/>
  <c r="AN381" i="24" s="1"/>
  <c r="R440" i="24"/>
  <c r="AO440" i="24" s="1"/>
  <c r="R153" i="24"/>
  <c r="AO153" i="24" s="1"/>
  <c r="R343" i="24"/>
  <c r="AO343" i="24" s="1"/>
  <c r="K57" i="24"/>
  <c r="AN57" i="24" s="1"/>
  <c r="K153" i="24"/>
  <c r="AN153" i="24" s="1"/>
  <c r="K478" i="24"/>
  <c r="AN478" i="24" s="1"/>
  <c r="R37" i="24"/>
  <c r="AO37" i="24" s="1"/>
  <c r="K371" i="24"/>
  <c r="AD371" i="24" s="1"/>
  <c r="K440" i="24"/>
  <c r="AN440" i="24" s="1"/>
  <c r="K421" i="24"/>
  <c r="AN421" i="24" s="1"/>
  <c r="K134" i="24"/>
  <c r="AN134" i="24" s="1"/>
  <c r="U153" i="24"/>
  <c r="AP153" i="24" s="1"/>
  <c r="K229" i="24"/>
  <c r="AN229" i="24" s="1"/>
  <c r="K343" i="24"/>
  <c r="AN343" i="24" s="1"/>
  <c r="K362" i="24"/>
  <c r="AN362" i="24" s="1"/>
  <c r="R381" i="24"/>
  <c r="AO381" i="24" s="1"/>
  <c r="R478" i="24"/>
  <c r="AO478" i="24" s="1"/>
  <c r="K497" i="24"/>
  <c r="AN497" i="24" s="1"/>
  <c r="R76" i="24"/>
  <c r="AO76" i="24" s="1"/>
  <c r="R114" i="24"/>
  <c r="AO114" i="24" s="1"/>
  <c r="K487" i="24"/>
  <c r="AD487" i="24" s="1"/>
  <c r="K85" i="24"/>
  <c r="AD85" i="24" s="1"/>
  <c r="K76" i="24"/>
  <c r="AN76" i="24" s="1"/>
  <c r="K114" i="24"/>
  <c r="AN114" i="24" s="1"/>
  <c r="U381" i="24"/>
  <c r="AP381" i="24" s="1"/>
  <c r="U421" i="24"/>
  <c r="AP421" i="24" s="1"/>
  <c r="U440" i="24"/>
  <c r="AP440" i="24" s="1"/>
  <c r="U478" i="24"/>
  <c r="AP478" i="24" s="1"/>
  <c r="R497" i="24"/>
  <c r="AO497" i="24" s="1"/>
  <c r="U134" i="24"/>
  <c r="AP134" i="24" s="1"/>
  <c r="K257" i="24"/>
  <c r="AD257" i="24" s="1"/>
  <c r="K352" i="24"/>
  <c r="AD352" i="24" s="1"/>
  <c r="U362" i="24"/>
  <c r="AP362" i="24" s="1"/>
  <c r="K468" i="24"/>
  <c r="AD468" i="24" s="1"/>
  <c r="U57" i="24"/>
  <c r="AP57" i="24" s="1"/>
  <c r="U76" i="24"/>
  <c r="AP76" i="24" s="1"/>
  <c r="U114" i="24"/>
  <c r="AP114" i="24" s="1"/>
  <c r="K219" i="24"/>
  <c r="AD219" i="24" s="1"/>
  <c r="K238" i="24"/>
  <c r="AD238" i="24" s="1"/>
  <c r="K333" i="24"/>
  <c r="AD333" i="24" s="1"/>
  <c r="U343" i="24"/>
  <c r="AP343" i="24" s="1"/>
  <c r="R421" i="24"/>
  <c r="AO421" i="24" s="1"/>
  <c r="U497" i="24"/>
  <c r="AP497" i="24" s="1"/>
  <c r="U37" i="24"/>
  <c r="AP37" i="24" s="1"/>
  <c r="K66" i="24"/>
  <c r="AD66" i="24" s="1"/>
  <c r="R85" i="24"/>
  <c r="AF85" i="24" s="1"/>
  <c r="K104" i="24"/>
  <c r="AD104" i="24" s="1"/>
  <c r="K123" i="24"/>
  <c r="AD123" i="24" s="1"/>
  <c r="K143" i="24"/>
  <c r="AD143" i="24" s="1"/>
  <c r="R219" i="24"/>
  <c r="AF219" i="24" s="1"/>
  <c r="R229" i="24"/>
  <c r="AO229" i="24" s="1"/>
  <c r="R238" i="24"/>
  <c r="AF238" i="24" s="1"/>
  <c r="K295" i="24"/>
  <c r="AD295" i="24" s="1"/>
  <c r="K37" i="24"/>
  <c r="AN37" i="24" s="1"/>
  <c r="K46" i="24"/>
  <c r="R57" i="24"/>
  <c r="AO57" i="24" s="1"/>
  <c r="R66" i="24"/>
  <c r="AF66" i="24" s="1"/>
  <c r="R104" i="24"/>
  <c r="AF104" i="24" s="1"/>
  <c r="R123" i="24"/>
  <c r="AF123" i="24" s="1"/>
  <c r="R134" i="24"/>
  <c r="AO134" i="24" s="1"/>
  <c r="R143" i="24"/>
  <c r="AF143" i="24" s="1"/>
  <c r="U229" i="24"/>
  <c r="AP229" i="24" s="1"/>
  <c r="R295" i="24"/>
  <c r="AF295" i="24" s="1"/>
  <c r="S20" i="31"/>
  <c r="S25" i="31"/>
  <c r="S21" i="31"/>
  <c r="O50" i="31"/>
  <c r="S22" i="31"/>
  <c r="S24" i="31"/>
  <c r="S23" i="31"/>
  <c r="D627" i="24"/>
  <c r="AE380" i="15"/>
  <c r="BJ187" i="15"/>
  <c r="BJ188" i="15"/>
  <c r="AE427" i="15"/>
  <c r="AK137" i="15"/>
  <c r="AL137" i="15"/>
  <c r="AM137" i="15"/>
  <c r="AN137" i="15"/>
  <c r="AO137" i="15"/>
  <c r="AP137" i="15"/>
  <c r="AQ137" i="15"/>
  <c r="AR137" i="15"/>
  <c r="AH137" i="15"/>
  <c r="AI137" i="15"/>
  <c r="AJ137" i="15"/>
  <c r="C590" i="24"/>
  <c r="C303" i="30"/>
  <c r="C283" i="30"/>
  <c r="C263" i="30"/>
  <c r="C243" i="30"/>
  <c r="C223" i="30"/>
  <c r="C203" i="30"/>
  <c r="C182" i="30"/>
  <c r="C164" i="30"/>
  <c r="C145" i="30"/>
  <c r="C126" i="30"/>
  <c r="C107" i="30"/>
  <c r="C88" i="30"/>
  <c r="C69" i="30"/>
  <c r="C50" i="30"/>
  <c r="C31" i="30"/>
  <c r="C12" i="30"/>
  <c r="C610" i="24"/>
  <c r="C598" i="24"/>
  <c r="AD46" i="24" l="1"/>
  <c r="AN136" i="24"/>
  <c r="G43" i="30"/>
  <c r="C61" i="30"/>
  <c r="G100" i="30"/>
  <c r="G138" i="30" l="1"/>
  <c r="C99" i="30"/>
  <c r="D596" i="24" l="1"/>
  <c r="AZ33" i="24" s="1"/>
  <c r="D576" i="24"/>
  <c r="AZ32" i="24" s="1"/>
  <c r="C570" i="24"/>
  <c r="D556" i="24"/>
  <c r="AZ31" i="24" s="1"/>
  <c r="D536" i="24"/>
  <c r="AZ30" i="24" s="1"/>
  <c r="D603" i="24"/>
  <c r="D583" i="24"/>
  <c r="D563" i="24"/>
  <c r="G546" i="24"/>
  <c r="F546" i="24"/>
  <c r="H546" i="24" s="1"/>
  <c r="D546" i="24"/>
  <c r="C546" i="24"/>
  <c r="G545" i="24"/>
  <c r="F545" i="24"/>
  <c r="H545" i="24" s="1"/>
  <c r="D545" i="24"/>
  <c r="C545" i="24"/>
  <c r="D543" i="24"/>
  <c r="K545" i="24" l="1"/>
  <c r="R545" i="24"/>
  <c r="R546" i="24"/>
  <c r="AO546" i="24" s="1"/>
  <c r="K546" i="24"/>
  <c r="AN546" i="24" s="1"/>
  <c r="D607" i="24"/>
  <c r="D587" i="24"/>
  <c r="AN547" i="24" l="1"/>
  <c r="AN545" i="24"/>
  <c r="AR547" i="24"/>
  <c r="AQ547" i="24"/>
  <c r="AS547" i="24"/>
  <c r="AT547" i="24"/>
  <c r="AO547" i="24"/>
  <c r="AO545" i="24"/>
  <c r="H547" i="24"/>
  <c r="D547" i="24" s="1"/>
  <c r="K567" i="24"/>
  <c r="AD567" i="24" s="1"/>
  <c r="R567" i="24"/>
  <c r="AF567" i="24" s="1"/>
  <c r="R547" i="24"/>
  <c r="AF547" i="24" s="1"/>
  <c r="D567" i="24"/>
  <c r="K547" i="24"/>
  <c r="AD547" i="24" s="1"/>
  <c r="B313" i="30"/>
  <c r="B312" i="30"/>
  <c r="B293" i="30"/>
  <c r="B292" i="30"/>
  <c r="B273" i="30"/>
  <c r="B272" i="30"/>
  <c r="B252" i="30"/>
  <c r="B232" i="30"/>
  <c r="B212" i="30"/>
  <c r="B193" i="30"/>
  <c r="B192" i="30"/>
  <c r="B191" i="30"/>
  <c r="B173" i="30"/>
  <c r="M22" i="23"/>
  <c r="M21" i="23"/>
  <c r="M17" i="23"/>
  <c r="M10" i="23"/>
  <c r="M8" i="23"/>
  <c r="L23" i="23"/>
  <c r="L22" i="23"/>
  <c r="L21" i="23"/>
  <c r="L17" i="23"/>
  <c r="L10" i="23"/>
  <c r="L8" i="23"/>
  <c r="K23" i="23"/>
  <c r="K22" i="23"/>
  <c r="B151" i="30" s="1"/>
  <c r="K21" i="23"/>
  <c r="B150" i="30" s="1"/>
  <c r="K17" i="23"/>
  <c r="B112" i="30" s="1"/>
  <c r="K10" i="23"/>
  <c r="B55" i="30" s="1"/>
  <c r="K8" i="23"/>
  <c r="B36" i="30" s="1"/>
  <c r="U5" i="23"/>
  <c r="U4" i="23"/>
  <c r="T5" i="23"/>
  <c r="T4" i="23"/>
  <c r="I19" i="23"/>
  <c r="I17" i="23"/>
  <c r="I15" i="23"/>
  <c r="I14" i="23"/>
  <c r="I12" i="23"/>
  <c r="I10" i="23"/>
  <c r="I8" i="23"/>
  <c r="I7" i="23"/>
  <c r="H19" i="23"/>
  <c r="H17" i="23"/>
  <c r="H15" i="23"/>
  <c r="H14" i="23"/>
  <c r="H12" i="23"/>
  <c r="H10" i="23"/>
  <c r="H8" i="23"/>
  <c r="H7" i="23"/>
  <c r="G19" i="23"/>
  <c r="B128" i="30" s="1"/>
  <c r="G17" i="23"/>
  <c r="B109" i="30" s="1"/>
  <c r="G15" i="23"/>
  <c r="G14" i="23"/>
  <c r="B90" i="30" s="1"/>
  <c r="G12" i="23"/>
  <c r="B71" i="30" s="1"/>
  <c r="G10" i="23"/>
  <c r="B52" i="30" s="1"/>
  <c r="G8" i="23"/>
  <c r="B34" i="30" s="1"/>
  <c r="G7" i="23"/>
  <c r="B33" i="30" s="1"/>
  <c r="S5" i="23"/>
  <c r="B27" i="30" s="1"/>
  <c r="D490" i="24"/>
  <c r="D497" i="24"/>
  <c r="D452" i="24"/>
  <c r="AZ26" i="24" s="1"/>
  <c r="D433" i="24"/>
  <c r="AZ25" i="24" s="1"/>
  <c r="D414" i="24"/>
  <c r="AZ24" i="24" s="1"/>
  <c r="D394" i="24"/>
  <c r="AZ23" i="24" s="1"/>
  <c r="D374" i="24"/>
  <c r="AZ22" i="24" s="1"/>
  <c r="D355" i="24"/>
  <c r="AZ21" i="24" s="1"/>
  <c r="D336" i="24"/>
  <c r="AZ20" i="24" s="1"/>
  <c r="D317" i="24"/>
  <c r="AZ19" i="24" s="1"/>
  <c r="D298" i="24"/>
  <c r="AZ18" i="24" s="1"/>
  <c r="D279" i="24"/>
  <c r="AZ17" i="24" s="1"/>
  <c r="D260" i="24"/>
  <c r="AZ16" i="24" s="1"/>
  <c r="D241" i="24"/>
  <c r="AZ15" i="24" s="1"/>
  <c r="D222" i="24"/>
  <c r="AZ14" i="24" s="1"/>
  <c r="D203" i="24"/>
  <c r="AZ13" i="24" s="1"/>
  <c r="D184" i="24"/>
  <c r="AZ12" i="24" s="1"/>
  <c r="D165" i="24"/>
  <c r="AZ11" i="24" s="1"/>
  <c r="D107" i="24"/>
  <c r="AZ8" i="24" s="1"/>
  <c r="D69" i="24"/>
  <c r="AZ6" i="24" s="1"/>
  <c r="D50" i="24"/>
  <c r="AZ5" i="24" s="1"/>
  <c r="D30" i="24"/>
  <c r="AZ4" i="24" s="1"/>
  <c r="U78" i="19"/>
  <c r="U70" i="19"/>
  <c r="U67" i="19"/>
  <c r="U63" i="19"/>
  <c r="U59" i="19"/>
  <c r="U49" i="19"/>
  <c r="U43" i="19"/>
  <c r="U31" i="19"/>
  <c r="U28" i="19"/>
  <c r="U25" i="19"/>
  <c r="T78" i="19"/>
  <c r="T70" i="19"/>
  <c r="T67" i="19"/>
  <c r="T63" i="19"/>
  <c r="T59" i="19"/>
  <c r="T49" i="19"/>
  <c r="T43" i="19"/>
  <c r="T31" i="19"/>
  <c r="T28" i="19"/>
  <c r="T25" i="19"/>
  <c r="S78" i="19"/>
  <c r="C504" i="24" s="1"/>
  <c r="S70" i="19"/>
  <c r="C447" i="24" s="1"/>
  <c r="S67" i="19"/>
  <c r="C428" i="24" s="1"/>
  <c r="S63" i="19"/>
  <c r="C409" i="24" s="1"/>
  <c r="S59" i="19"/>
  <c r="C389" i="24" s="1"/>
  <c r="S49" i="19"/>
  <c r="C312" i="24" s="1"/>
  <c r="S43" i="19"/>
  <c r="C274" i="24" s="1"/>
  <c r="S31" i="19"/>
  <c r="C198" i="24" s="1"/>
  <c r="S28" i="19"/>
  <c r="C179" i="24" s="1"/>
  <c r="S25" i="19"/>
  <c r="Q79" i="19"/>
  <c r="Q78" i="19"/>
  <c r="Q70" i="19"/>
  <c r="Q75" i="19"/>
  <c r="Q67" i="19"/>
  <c r="Q63" i="19"/>
  <c r="Q59" i="19"/>
  <c r="Q56" i="19"/>
  <c r="Q51" i="19"/>
  <c r="Q49" i="19"/>
  <c r="Q47" i="19"/>
  <c r="Q46" i="19"/>
  <c r="Q44" i="19"/>
  <c r="Q43" i="19"/>
  <c r="Q40" i="19"/>
  <c r="Q38" i="19"/>
  <c r="Q37" i="19"/>
  <c r="Q34" i="19"/>
  <c r="Q31" i="19"/>
  <c r="Q29" i="19"/>
  <c r="Q28" i="19"/>
  <c r="Q26" i="19"/>
  <c r="Q25" i="19"/>
  <c r="Q21" i="19"/>
  <c r="Q19" i="19"/>
  <c r="Q16" i="19"/>
  <c r="Q14" i="19"/>
  <c r="Q11" i="19"/>
  <c r="Q9" i="19"/>
  <c r="Q8" i="19"/>
  <c r="P67" i="19"/>
  <c r="P63" i="19"/>
  <c r="P56" i="19"/>
  <c r="P54" i="19"/>
  <c r="P51" i="19"/>
  <c r="P49" i="19"/>
  <c r="P47" i="19"/>
  <c r="P46" i="19"/>
  <c r="P44" i="19"/>
  <c r="P43" i="19"/>
  <c r="P40" i="19"/>
  <c r="P38" i="19"/>
  <c r="P37" i="19"/>
  <c r="P34" i="19"/>
  <c r="P31" i="19"/>
  <c r="P29" i="19"/>
  <c r="P28" i="19"/>
  <c r="P26" i="19"/>
  <c r="P25" i="19"/>
  <c r="P21" i="19"/>
  <c r="P19" i="19"/>
  <c r="P16" i="19"/>
  <c r="P14" i="19"/>
  <c r="P11" i="19"/>
  <c r="P9" i="19"/>
  <c r="P8" i="19"/>
  <c r="P79" i="19"/>
  <c r="P78" i="19"/>
  <c r="O79" i="19"/>
  <c r="C500" i="24" s="1"/>
  <c r="O78" i="19"/>
  <c r="C499" i="24" s="1"/>
  <c r="O73" i="19"/>
  <c r="O67" i="19"/>
  <c r="C423" i="24" s="1"/>
  <c r="O63" i="19"/>
  <c r="C404" i="24" s="1"/>
  <c r="C383" i="24"/>
  <c r="O56" i="19"/>
  <c r="C364" i="24" s="1"/>
  <c r="O54" i="19"/>
  <c r="C345" i="24" s="1"/>
  <c r="O51" i="19"/>
  <c r="C326" i="24" s="1"/>
  <c r="O49" i="19"/>
  <c r="C307" i="24" s="1"/>
  <c r="O47" i="19"/>
  <c r="C289" i="24" s="1"/>
  <c r="O46" i="19"/>
  <c r="C288" i="24" s="1"/>
  <c r="O44" i="19"/>
  <c r="C270" i="24" s="1"/>
  <c r="O43" i="19"/>
  <c r="C269" i="24" s="1"/>
  <c r="O40" i="19"/>
  <c r="C250" i="24" s="1"/>
  <c r="O38" i="19"/>
  <c r="C232" i="24" s="1"/>
  <c r="O37" i="19"/>
  <c r="C231" i="24" s="1"/>
  <c r="O34" i="19"/>
  <c r="C212" i="24" s="1"/>
  <c r="O31" i="19"/>
  <c r="C193" i="24" s="1"/>
  <c r="O29" i="19"/>
  <c r="C175" i="24" s="1"/>
  <c r="O28" i="19"/>
  <c r="C174" i="24" s="1"/>
  <c r="O26" i="19"/>
  <c r="C156" i="24" s="1"/>
  <c r="O25" i="19"/>
  <c r="C155" i="24" s="1"/>
  <c r="O21" i="19"/>
  <c r="C136" i="24" s="1"/>
  <c r="O19" i="19"/>
  <c r="C116" i="24" s="1"/>
  <c r="O16" i="19"/>
  <c r="O14" i="19"/>
  <c r="C78" i="24" s="1"/>
  <c r="O11" i="19"/>
  <c r="C59" i="24" s="1"/>
  <c r="O9" i="19"/>
  <c r="C40" i="24" s="1"/>
  <c r="O8" i="19"/>
  <c r="C39" i="24" s="1"/>
  <c r="M73" i="19"/>
  <c r="M63" i="19"/>
  <c r="L73" i="19"/>
  <c r="L63" i="19"/>
  <c r="K73" i="19"/>
  <c r="C457" i="24" s="1"/>
  <c r="K63" i="19"/>
  <c r="C399" i="24" s="1"/>
  <c r="M52" i="19"/>
  <c r="M49" i="19"/>
  <c r="M46" i="19"/>
  <c r="M43" i="19"/>
  <c r="M40" i="19"/>
  <c r="L52" i="19"/>
  <c r="L49" i="19"/>
  <c r="L46" i="19"/>
  <c r="L43" i="19"/>
  <c r="L40" i="19"/>
  <c r="K52" i="19"/>
  <c r="C322" i="24" s="1"/>
  <c r="K49" i="19"/>
  <c r="C303" i="24" s="1"/>
  <c r="K46" i="19"/>
  <c r="C284" i="24" s="1"/>
  <c r="K43" i="19"/>
  <c r="C265" i="24" s="1"/>
  <c r="K40" i="19"/>
  <c r="C246" i="24" s="1"/>
  <c r="M34" i="19"/>
  <c r="M32" i="19"/>
  <c r="M31" i="19"/>
  <c r="L31" i="19"/>
  <c r="L32" i="19"/>
  <c r="L34" i="19"/>
  <c r="K34" i="19"/>
  <c r="C208" i="24" s="1"/>
  <c r="K32" i="19"/>
  <c r="C190" i="24" s="1"/>
  <c r="K31" i="19"/>
  <c r="C189" i="24" s="1"/>
  <c r="K28" i="19"/>
  <c r="C170" i="24" s="1"/>
  <c r="M16" i="19"/>
  <c r="L16" i="19"/>
  <c r="K16" i="19"/>
  <c r="C93" i="24" s="1"/>
  <c r="I78" i="19"/>
  <c r="I76" i="19"/>
  <c r="I75" i="19"/>
  <c r="I73" i="19"/>
  <c r="I71" i="19"/>
  <c r="I70" i="19"/>
  <c r="I67" i="19"/>
  <c r="I63" i="19"/>
  <c r="I59" i="19"/>
  <c r="I56" i="19"/>
  <c r="I54" i="19"/>
  <c r="I52" i="19"/>
  <c r="I51" i="19"/>
  <c r="I49" i="19"/>
  <c r="I47" i="19"/>
  <c r="I46" i="19"/>
  <c r="I44" i="19"/>
  <c r="I43" i="19"/>
  <c r="I40" i="19"/>
  <c r="I37" i="19"/>
  <c r="I35" i="19"/>
  <c r="I34" i="19"/>
  <c r="I31" i="19"/>
  <c r="I28" i="19"/>
  <c r="I25" i="19"/>
  <c r="I23" i="19"/>
  <c r="I22" i="19"/>
  <c r="I21" i="19"/>
  <c r="I19" i="19"/>
  <c r="I18" i="19"/>
  <c r="I16" i="19"/>
  <c r="I14" i="19"/>
  <c r="I12" i="19"/>
  <c r="I11" i="19"/>
  <c r="I8" i="19"/>
  <c r="H78" i="19"/>
  <c r="H76" i="19"/>
  <c r="H75" i="19"/>
  <c r="H73" i="19"/>
  <c r="H71" i="19"/>
  <c r="H70" i="19"/>
  <c r="H67" i="19"/>
  <c r="H63" i="19"/>
  <c r="H59" i="19"/>
  <c r="H56" i="19"/>
  <c r="H54" i="19"/>
  <c r="H52" i="19"/>
  <c r="H51" i="19"/>
  <c r="H49" i="19"/>
  <c r="H47" i="19"/>
  <c r="H46" i="19"/>
  <c r="H44" i="19"/>
  <c r="H43" i="19"/>
  <c r="H40" i="19"/>
  <c r="H37" i="19"/>
  <c r="H35" i="19"/>
  <c r="H34" i="19"/>
  <c r="H31" i="19"/>
  <c r="H28" i="19"/>
  <c r="H25" i="19"/>
  <c r="H23" i="19"/>
  <c r="H22" i="19"/>
  <c r="H21" i="19"/>
  <c r="H19" i="19"/>
  <c r="H18" i="19"/>
  <c r="H12" i="19"/>
  <c r="H11" i="19"/>
  <c r="H8" i="19"/>
  <c r="G78" i="19"/>
  <c r="G76" i="19"/>
  <c r="C474" i="24" s="1"/>
  <c r="G75" i="19"/>
  <c r="C473" i="24" s="1"/>
  <c r="G73" i="19"/>
  <c r="C454" i="24" s="1"/>
  <c r="G71" i="19"/>
  <c r="C436" i="24" s="1"/>
  <c r="G70" i="19"/>
  <c r="C435" i="24" s="1"/>
  <c r="G67" i="19"/>
  <c r="C416" i="24" s="1"/>
  <c r="G63" i="19"/>
  <c r="C396" i="24" s="1"/>
  <c r="G59" i="19"/>
  <c r="C376" i="24" s="1"/>
  <c r="G56" i="19"/>
  <c r="C357" i="24" s="1"/>
  <c r="G54" i="19"/>
  <c r="C338" i="24" s="1"/>
  <c r="G52" i="19"/>
  <c r="C320" i="24" s="1"/>
  <c r="G51" i="19"/>
  <c r="C319" i="24" s="1"/>
  <c r="G49" i="19"/>
  <c r="C300" i="24" s="1"/>
  <c r="G47" i="19"/>
  <c r="C282" i="24" s="1"/>
  <c r="G46" i="19"/>
  <c r="C281" i="24" s="1"/>
  <c r="G44" i="19"/>
  <c r="C263" i="24" s="1"/>
  <c r="G43" i="19"/>
  <c r="C262" i="24" s="1"/>
  <c r="G40" i="19"/>
  <c r="C243" i="24" s="1"/>
  <c r="G37" i="19"/>
  <c r="C224" i="24" s="1"/>
  <c r="G35" i="19"/>
  <c r="C206" i="24" s="1"/>
  <c r="G34" i="19"/>
  <c r="C205" i="24" s="1"/>
  <c r="G31" i="19"/>
  <c r="C186" i="24" s="1"/>
  <c r="G28" i="19"/>
  <c r="C167" i="24" s="1"/>
  <c r="G25" i="19"/>
  <c r="C148" i="24" s="1"/>
  <c r="G23" i="19"/>
  <c r="C130" i="24" s="1"/>
  <c r="G22" i="19"/>
  <c r="C129" i="24" s="1"/>
  <c r="G21" i="19"/>
  <c r="C128" i="24" s="1"/>
  <c r="G19" i="19"/>
  <c r="C110" i="24" s="1"/>
  <c r="G18" i="19"/>
  <c r="C109" i="24" s="1"/>
  <c r="C90" i="24"/>
  <c r="G12" i="19"/>
  <c r="C53" i="24" s="1"/>
  <c r="G11" i="19"/>
  <c r="C52" i="24" s="1"/>
  <c r="G8" i="19"/>
  <c r="C32" i="24" s="1"/>
  <c r="B436" i="15"/>
  <c r="C61" i="27"/>
  <c r="C62" i="27"/>
  <c r="B62" i="27"/>
  <c r="B61" i="27"/>
  <c r="C52" i="27"/>
  <c r="C53" i="27"/>
  <c r="B53" i="27"/>
  <c r="B52" i="27"/>
  <c r="C46" i="27"/>
  <c r="C47" i="27"/>
  <c r="C50" i="27"/>
  <c r="C51" i="27"/>
  <c r="B51" i="27"/>
  <c r="B50" i="27"/>
  <c r="B47" i="27"/>
  <c r="B46" i="27"/>
  <c r="C36" i="27"/>
  <c r="C37" i="27"/>
  <c r="C38" i="27"/>
  <c r="C39" i="27"/>
  <c r="C40" i="27"/>
  <c r="C41" i="27"/>
  <c r="C42" i="27"/>
  <c r="C43" i="27"/>
  <c r="B43" i="27"/>
  <c r="B42" i="27"/>
  <c r="B40" i="27"/>
  <c r="B41" i="27"/>
  <c r="B39" i="27"/>
  <c r="B38" i="27"/>
  <c r="B37" i="27"/>
  <c r="B36" i="27"/>
  <c r="B35" i="27"/>
  <c r="B34" i="27"/>
  <c r="B33" i="27"/>
  <c r="B32" i="27"/>
  <c r="C14" i="27"/>
  <c r="C15" i="27"/>
  <c r="C16" i="27"/>
  <c r="C17" i="27"/>
  <c r="C18" i="27"/>
  <c r="C19" i="27"/>
  <c r="C20" i="27"/>
  <c r="C21" i="27"/>
  <c r="C4" i="27"/>
  <c r="C5" i="27"/>
  <c r="C6" i="27"/>
  <c r="C7" i="27"/>
  <c r="C8" i="27"/>
  <c r="C9" i="27"/>
  <c r="C10" i="27"/>
  <c r="C11" i="27"/>
  <c r="C12" i="27"/>
  <c r="C13" i="27"/>
  <c r="C24" i="27"/>
  <c r="C25" i="27"/>
  <c r="C26" i="27"/>
  <c r="C27" i="27"/>
  <c r="C28" i="27"/>
  <c r="C29" i="27"/>
  <c r="B29" i="27"/>
  <c r="B28" i="27"/>
  <c r="B27" i="27"/>
  <c r="B26" i="27"/>
  <c r="B25" i="27"/>
  <c r="B24" i="27"/>
  <c r="B15" i="27"/>
  <c r="B16" i="27"/>
  <c r="B17" i="27"/>
  <c r="B18" i="27"/>
  <c r="B19" i="27"/>
  <c r="B20" i="27"/>
  <c r="B21" i="27"/>
  <c r="B5" i="27"/>
  <c r="B6" i="27"/>
  <c r="B7" i="27"/>
  <c r="B8" i="27"/>
  <c r="B9" i="27"/>
  <c r="B10" i="27"/>
  <c r="B11" i="27"/>
  <c r="B12" i="27"/>
  <c r="B13" i="27"/>
  <c r="B14" i="27"/>
  <c r="B4" i="27"/>
  <c r="A457" i="15"/>
  <c r="A451" i="15"/>
  <c r="A442" i="15"/>
  <c r="A436" i="15"/>
  <c r="A16" i="32"/>
  <c r="A406" i="15"/>
  <c r="A407" i="15"/>
  <c r="C400" i="24"/>
  <c r="C401" i="24"/>
  <c r="A416" i="15"/>
  <c r="A417" i="15"/>
  <c r="A418" i="15"/>
  <c r="A419" i="15"/>
  <c r="A9" i="32" s="1"/>
  <c r="A420" i="15"/>
  <c r="A421" i="15"/>
  <c r="A422" i="15"/>
  <c r="A423" i="15"/>
  <c r="D17" i="31" s="1"/>
  <c r="A424" i="15"/>
  <c r="A425" i="15"/>
  <c r="A14" i="32" s="1"/>
  <c r="A426" i="15"/>
  <c r="A394" i="15"/>
  <c r="A387" i="15"/>
  <c r="A338" i="15"/>
  <c r="A321" i="15"/>
  <c r="A322" i="15"/>
  <c r="A323" i="15"/>
  <c r="A324" i="15"/>
  <c r="C480" i="24" s="1"/>
  <c r="A271" i="15"/>
  <c r="A325" i="15"/>
  <c r="C385" i="24" s="1"/>
  <c r="A326" i="15"/>
  <c r="A327" i="15"/>
  <c r="A328" i="15"/>
  <c r="C442" i="24" s="1"/>
  <c r="A329" i="15"/>
  <c r="A330" i="15"/>
  <c r="A320" i="15"/>
  <c r="A310" i="15"/>
  <c r="A312" i="15"/>
  <c r="A313" i="15"/>
  <c r="A302" i="15"/>
  <c r="A303" i="15"/>
  <c r="A304" i="15"/>
  <c r="A305" i="15"/>
  <c r="A306" i="15"/>
  <c r="A307" i="15"/>
  <c r="C519" i="24" s="1"/>
  <c r="A308" i="15"/>
  <c r="A309" i="15"/>
  <c r="C520" i="24" s="1"/>
  <c r="A286" i="15"/>
  <c r="A287" i="15"/>
  <c r="A288" i="15"/>
  <c r="A289" i="15"/>
  <c r="C384" i="24" s="1"/>
  <c r="A290" i="15"/>
  <c r="A296" i="15"/>
  <c r="A297" i="15"/>
  <c r="A298" i="15"/>
  <c r="A299" i="15"/>
  <c r="A300" i="15"/>
  <c r="A279" i="15"/>
  <c r="A280" i="15"/>
  <c r="C97" i="24" s="1"/>
  <c r="A281" i="15"/>
  <c r="A282" i="15"/>
  <c r="C518" i="24" s="1"/>
  <c r="A283" i="15"/>
  <c r="A284" i="15"/>
  <c r="A311" i="15"/>
  <c r="A285" i="15"/>
  <c r="A278" i="15"/>
  <c r="A268" i="15"/>
  <c r="A269" i="15"/>
  <c r="A270" i="15"/>
  <c r="A272" i="15"/>
  <c r="A273" i="15"/>
  <c r="A267" i="15"/>
  <c r="A264" i="15"/>
  <c r="A265" i="15"/>
  <c r="A263" i="15"/>
  <c r="A244" i="15"/>
  <c r="A245" i="15"/>
  <c r="A246" i="15"/>
  <c r="A247" i="15"/>
  <c r="A248" i="15"/>
  <c r="A249" i="15"/>
  <c r="A250" i="15"/>
  <c r="D37" i="31" s="1"/>
  <c r="A251" i="15"/>
  <c r="D39" i="31" s="1"/>
  <c r="A243" i="15"/>
  <c r="A235" i="15"/>
  <c r="D28" i="31" s="1"/>
  <c r="A236" i="15"/>
  <c r="A18" i="17" s="1"/>
  <c r="A237" i="15"/>
  <c r="D30" i="31" s="1"/>
  <c r="A234" i="15"/>
  <c r="A231" i="15"/>
  <c r="A217" i="15"/>
  <c r="A218" i="15"/>
  <c r="A219" i="15"/>
  <c r="A220" i="15"/>
  <c r="A222" i="15"/>
  <c r="D19" i="31" s="1"/>
  <c r="A216" i="15"/>
  <c r="A13" i="32" s="1"/>
  <c r="A207" i="15"/>
  <c r="A208" i="15"/>
  <c r="A210" i="15"/>
  <c r="A11" i="32" s="1"/>
  <c r="A211" i="15"/>
  <c r="A212" i="15"/>
  <c r="A22" i="32" s="1"/>
  <c r="A198" i="15"/>
  <c r="A199" i="15"/>
  <c r="D15" i="31" s="1"/>
  <c r="A200" i="15"/>
  <c r="D16" i="31" s="1"/>
  <c r="A201" i="15"/>
  <c r="A202" i="15"/>
  <c r="A204" i="15"/>
  <c r="A16" i="17" s="1"/>
  <c r="A203" i="15"/>
  <c r="A17" i="17" s="1"/>
  <c r="A205" i="15"/>
  <c r="A206" i="15"/>
  <c r="C15" i="22" s="1"/>
  <c r="A188" i="15"/>
  <c r="A14" i="17" s="1"/>
  <c r="A189" i="15"/>
  <c r="A15" i="17" s="1"/>
  <c r="A190" i="15"/>
  <c r="A191" i="15"/>
  <c r="D10" i="31" s="1"/>
  <c r="A192" i="15"/>
  <c r="D11" i="31" s="1"/>
  <c r="A193" i="15"/>
  <c r="A194" i="15"/>
  <c r="A195" i="15"/>
  <c r="A196" i="15"/>
  <c r="D13" i="31" s="1"/>
  <c r="A197" i="15"/>
  <c r="A8" i="32" s="1"/>
  <c r="A177" i="15"/>
  <c r="A178" i="15"/>
  <c r="A179" i="15"/>
  <c r="A180" i="15"/>
  <c r="A181" i="15"/>
  <c r="A182" i="15"/>
  <c r="A183" i="15"/>
  <c r="D7" i="31" s="1"/>
  <c r="A184" i="15"/>
  <c r="D8" i="31" s="1"/>
  <c r="A185" i="15"/>
  <c r="A186" i="15"/>
  <c r="A187" i="15"/>
  <c r="A13" i="17" s="1"/>
  <c r="A171" i="15"/>
  <c r="A172" i="15"/>
  <c r="A173" i="15"/>
  <c r="A174" i="15"/>
  <c r="A175" i="15"/>
  <c r="A176" i="15"/>
  <c r="A170" i="15"/>
  <c r="A166" i="15"/>
  <c r="D54" i="31" s="1"/>
  <c r="A167" i="15"/>
  <c r="D55" i="31" s="1"/>
  <c r="A165" i="15"/>
  <c r="A163" i="15"/>
  <c r="A155" i="15"/>
  <c r="A156" i="15"/>
  <c r="A157" i="15"/>
  <c r="A154" i="15"/>
  <c r="A150" i="15"/>
  <c r="A151" i="15"/>
  <c r="A152" i="15"/>
  <c r="A149" i="15"/>
  <c r="A135" i="15"/>
  <c r="A136" i="15"/>
  <c r="A137" i="15"/>
  <c r="A138" i="15"/>
  <c r="A139" i="15"/>
  <c r="A140" i="15"/>
  <c r="A141" i="15"/>
  <c r="A134" i="15"/>
  <c r="A115" i="15"/>
  <c r="A113" i="15"/>
  <c r="A5" i="32" s="1"/>
  <c r="A114" i="15"/>
  <c r="A123" i="15"/>
  <c r="A124" i="15"/>
  <c r="A125" i="15"/>
  <c r="A126" i="15"/>
  <c r="A112" i="15"/>
  <c r="A4" i="32" s="1"/>
  <c r="A105" i="15"/>
  <c r="A7" i="17" s="1"/>
  <c r="A106" i="15"/>
  <c r="A107" i="15"/>
  <c r="A8" i="17" s="1"/>
  <c r="A104" i="15"/>
  <c r="A99" i="15"/>
  <c r="A102" i="15"/>
  <c r="A100" i="15"/>
  <c r="A101" i="15"/>
  <c r="D53" i="31" s="1"/>
  <c r="A98" i="15"/>
  <c r="A87" i="15"/>
  <c r="A93" i="15" s="1"/>
  <c r="A88" i="15" s="1"/>
  <c r="A89" i="15" s="1"/>
  <c r="A90" i="15" s="1"/>
  <c r="A91" i="15" s="1"/>
  <c r="A92" i="15" s="1"/>
  <c r="A94" i="15" s="1"/>
  <c r="A84" i="15"/>
  <c r="A77" i="15"/>
  <c r="A58" i="15"/>
  <c r="A59" i="15" s="1"/>
  <c r="A60" i="15" s="1"/>
  <c r="A61" i="15" s="1"/>
  <c r="A62" i="15" s="1"/>
  <c r="A63" i="15" s="1"/>
  <c r="A64" i="15" s="1"/>
  <c r="A65" i="15" s="1"/>
  <c r="A57" i="15"/>
  <c r="A56" i="15"/>
  <c r="A54" i="15"/>
  <c r="A53" i="15"/>
  <c r="A46" i="15"/>
  <c r="A42" i="15"/>
  <c r="A40" i="15"/>
  <c r="A34" i="15"/>
  <c r="A27" i="15"/>
  <c r="A21" i="15"/>
  <c r="A429" i="15"/>
  <c r="A16" i="15"/>
  <c r="A11" i="15"/>
  <c r="A3" i="15"/>
  <c r="S4" i="23"/>
  <c r="B26" i="30" s="1"/>
  <c r="R322" i="15"/>
  <c r="R323" i="15"/>
  <c r="R324" i="15"/>
  <c r="R271" i="15"/>
  <c r="R325" i="15"/>
  <c r="R326" i="15"/>
  <c r="R327" i="15"/>
  <c r="R328" i="15"/>
  <c r="R329" i="15"/>
  <c r="R305" i="15"/>
  <c r="R306" i="15"/>
  <c r="R307" i="15"/>
  <c r="R308" i="15"/>
  <c r="R309" i="15"/>
  <c r="R310" i="15"/>
  <c r="B311" i="15" s="1"/>
  <c r="B286" i="34" s="1"/>
  <c r="D163" i="15"/>
  <c r="G598" i="24" s="1"/>
  <c r="C163" i="15"/>
  <c r="K162" i="15"/>
  <c r="AC162" i="15" s="1"/>
  <c r="J162" i="15"/>
  <c r="AB162" i="15" s="1"/>
  <c r="I162" i="15"/>
  <c r="AA162" i="15" s="1"/>
  <c r="H162" i="15"/>
  <c r="Z162" i="15" s="1"/>
  <c r="G162" i="15"/>
  <c r="Y162" i="15" s="1"/>
  <c r="F162" i="15"/>
  <c r="E162" i="15"/>
  <c r="O164" i="15"/>
  <c r="N164" i="15"/>
  <c r="M164" i="15"/>
  <c r="L164" i="15"/>
  <c r="K164" i="15"/>
  <c r="J164" i="15"/>
  <c r="I164" i="15"/>
  <c r="H164" i="15"/>
  <c r="G164" i="15"/>
  <c r="F164" i="15"/>
  <c r="E164" i="15"/>
  <c r="R248" i="15"/>
  <c r="R249" i="15"/>
  <c r="R250" i="15"/>
  <c r="R205" i="15"/>
  <c r="R184" i="15"/>
  <c r="R185" i="15"/>
  <c r="R186" i="15"/>
  <c r="R187" i="15"/>
  <c r="R188" i="15"/>
  <c r="R126" i="15"/>
  <c r="B127" i="15" s="1"/>
  <c r="R123" i="15"/>
  <c r="R124" i="15"/>
  <c r="R125" i="15"/>
  <c r="R104" i="15"/>
  <c r="R100" i="15"/>
  <c r="E141" i="15"/>
  <c r="E222" i="15"/>
  <c r="I19" i="31" s="1"/>
  <c r="I39" i="31"/>
  <c r="I30" i="31"/>
  <c r="G518" i="24"/>
  <c r="D283" i="15"/>
  <c r="C329" i="15"/>
  <c r="F173" i="30"/>
  <c r="D105" i="15"/>
  <c r="D106" i="15"/>
  <c r="D107" i="15"/>
  <c r="D104" i="15"/>
  <c r="R203" i="15"/>
  <c r="R204" i="15"/>
  <c r="R202" i="15"/>
  <c r="R201" i="15"/>
  <c r="C203" i="15"/>
  <c r="D203" i="15"/>
  <c r="D124" i="15"/>
  <c r="G179" i="24" s="1"/>
  <c r="D123" i="15"/>
  <c r="G610" i="24" s="1"/>
  <c r="C123" i="15"/>
  <c r="C113" i="15"/>
  <c r="D113" i="15"/>
  <c r="C114" i="15"/>
  <c r="D114" i="15"/>
  <c r="C112" i="15"/>
  <c r="B50" i="20"/>
  <c r="B49" i="20"/>
  <c r="D99" i="15"/>
  <c r="D102" i="15"/>
  <c r="D100" i="15"/>
  <c r="D101" i="15"/>
  <c r="C107" i="15"/>
  <c r="B40" i="15"/>
  <c r="B10" i="34" s="1"/>
  <c r="B34" i="15"/>
  <c r="B9" i="34" s="1"/>
  <c r="B16" i="15"/>
  <c r="B6" i="34" s="1"/>
  <c r="AV598" i="24" l="1"/>
  <c r="AV600" i="24" s="1"/>
  <c r="AU598" i="24"/>
  <c r="AU600" i="24" s="1"/>
  <c r="AV610" i="24"/>
  <c r="AU610" i="24"/>
  <c r="AQ518" i="24"/>
  <c r="AT518" i="24"/>
  <c r="AS518" i="24"/>
  <c r="AR518" i="24"/>
  <c r="AV179" i="24"/>
  <c r="AR179" i="24"/>
  <c r="AU179" i="24"/>
  <c r="AQ179" i="24"/>
  <c r="AQ181" i="24" s="1"/>
  <c r="H179" i="24"/>
  <c r="BD28" i="24"/>
  <c r="X632" i="34" s="1"/>
  <c r="AZ28" i="24"/>
  <c r="B101" i="15"/>
  <c r="B52" i="34" s="1"/>
  <c r="B188" i="15"/>
  <c r="B169" i="34" s="1"/>
  <c r="B187" i="15"/>
  <c r="B168" i="34" s="1"/>
  <c r="B189" i="15"/>
  <c r="B170" i="34" s="1"/>
  <c r="B328" i="15"/>
  <c r="B297" i="34" s="1"/>
  <c r="B327" i="15"/>
  <c r="B296" i="34" s="1"/>
  <c r="B105" i="15"/>
  <c r="B55" i="34" s="1"/>
  <c r="B323" i="15"/>
  <c r="B292" i="34" s="1"/>
  <c r="B202" i="15"/>
  <c r="B183" i="34" s="1"/>
  <c r="B204" i="15"/>
  <c r="B185" i="34" s="1"/>
  <c r="B203" i="15"/>
  <c r="B184" i="34" s="1"/>
  <c r="B128" i="15"/>
  <c r="B97" i="34" s="1"/>
  <c r="B4" i="32"/>
  <c r="B129" i="15"/>
  <c r="B132" i="15"/>
  <c r="B131" i="15"/>
  <c r="B130" i="15"/>
  <c r="B133" i="15"/>
  <c r="I53" i="31"/>
  <c r="F191" i="30"/>
  <c r="F338" i="30"/>
  <c r="F27" i="30"/>
  <c r="D47" i="31"/>
  <c r="C327" i="24"/>
  <c r="U179" i="24"/>
  <c r="R179" i="24"/>
  <c r="K179" i="24"/>
  <c r="AN179" i="24" s="1"/>
  <c r="AN181" i="24" s="1"/>
  <c r="C173" i="30"/>
  <c r="E47" i="31"/>
  <c r="A9" i="17"/>
  <c r="A6" i="32"/>
  <c r="C618" i="24"/>
  <c r="C630" i="24"/>
  <c r="A12" i="17"/>
  <c r="D5" i="31"/>
  <c r="C461" i="24"/>
  <c r="C26" i="30"/>
  <c r="D345" i="24"/>
  <c r="E497" i="24"/>
  <c r="Q100" i="15"/>
  <c r="E51" i="34" s="1"/>
  <c r="Q101" i="15"/>
  <c r="E52" i="34" s="1"/>
  <c r="D323" i="15"/>
  <c r="AP179" i="24" l="1"/>
  <c r="AP181" i="24" s="1"/>
  <c r="AR181" i="24"/>
  <c r="AU181" i="24"/>
  <c r="AO179" i="24"/>
  <c r="AO181" i="24" s="1"/>
  <c r="AT181" i="24"/>
  <c r="AS181" i="24"/>
  <c r="H181" i="24"/>
  <c r="AV181" i="24"/>
  <c r="R181" i="24"/>
  <c r="AF181" i="24" s="1"/>
  <c r="U181" i="24"/>
  <c r="AH181" i="24" s="1"/>
  <c r="K181" i="24"/>
  <c r="AD181" i="24" s="1"/>
  <c r="B98" i="34"/>
  <c r="B99" i="34" s="1"/>
  <c r="B100" i="34" s="1"/>
  <c r="B101" i="34" s="1"/>
  <c r="I54" i="31"/>
  <c r="X9" i="25"/>
  <c r="Y9" i="25"/>
  <c r="Z9" i="25"/>
  <c r="AA9" i="25"/>
  <c r="AB9" i="25"/>
  <c r="AY11" i="14"/>
  <c r="AY10" i="14"/>
  <c r="AY9" i="14"/>
  <c r="AY7" i="14"/>
  <c r="AY5" i="14"/>
  <c r="AY4" i="14"/>
  <c r="AY3" i="14"/>
  <c r="AY2" i="14"/>
  <c r="O14" i="20" l="1"/>
  <c r="O13" i="20"/>
  <c r="O11" i="20"/>
  <c r="O10" i="20"/>
  <c r="O9" i="20"/>
  <c r="O7" i="20"/>
  <c r="O6" i="20"/>
  <c r="R55" i="16"/>
  <c r="R56" i="16"/>
  <c r="R57" i="16"/>
  <c r="R58" i="16"/>
  <c r="R59" i="16"/>
  <c r="R60" i="16"/>
  <c r="R61" i="16"/>
  <c r="R62" i="16"/>
  <c r="R63" i="16"/>
  <c r="R64" i="16"/>
  <c r="R65" i="16"/>
  <c r="R66" i="16"/>
  <c r="R67" i="16"/>
  <c r="R68" i="16"/>
  <c r="R69" i="16"/>
  <c r="R70" i="16"/>
  <c r="R71" i="16"/>
  <c r="R72" i="16"/>
  <c r="R73" i="16"/>
  <c r="R74" i="16"/>
  <c r="R75" i="16"/>
  <c r="R76" i="16"/>
  <c r="R77" i="16"/>
  <c r="R78" i="16"/>
  <c r="L55" i="16"/>
  <c r="L56" i="16"/>
  <c r="L57" i="16"/>
  <c r="L58" i="16"/>
  <c r="L59" i="16"/>
  <c r="L60" i="16"/>
  <c r="L61" i="16"/>
  <c r="L62" i="16"/>
  <c r="L63" i="16"/>
  <c r="L64" i="16"/>
  <c r="L65" i="16"/>
  <c r="L66" i="16"/>
  <c r="L67" i="16"/>
  <c r="L68" i="16"/>
  <c r="L69" i="16"/>
  <c r="L70" i="16"/>
  <c r="L71" i="16"/>
  <c r="L72" i="16"/>
  <c r="L73" i="16"/>
  <c r="L74" i="16"/>
  <c r="L75" i="16"/>
  <c r="L76" i="16"/>
  <c r="L77" i="16"/>
  <c r="L78" i="16"/>
  <c r="R54" i="16"/>
  <c r="L54" i="16"/>
  <c r="F70" i="16"/>
  <c r="F55" i="16"/>
  <c r="F56" i="16"/>
  <c r="F57" i="16"/>
  <c r="F58" i="16"/>
  <c r="F59" i="16"/>
  <c r="F60" i="16"/>
  <c r="F61" i="16"/>
  <c r="F62" i="16"/>
  <c r="F63" i="16"/>
  <c r="F64" i="16"/>
  <c r="F65" i="16"/>
  <c r="F66" i="16"/>
  <c r="F67" i="16"/>
  <c r="F68" i="16"/>
  <c r="F69" i="16"/>
  <c r="F71" i="16"/>
  <c r="F72" i="16"/>
  <c r="F73" i="16"/>
  <c r="F74" i="16"/>
  <c r="F75" i="16"/>
  <c r="F76" i="16"/>
  <c r="F77" i="16"/>
  <c r="F78" i="16"/>
  <c r="F54" i="16"/>
  <c r="D183" i="15"/>
  <c r="G435" i="24" s="1"/>
  <c r="C250" i="15"/>
  <c r="D250" i="15"/>
  <c r="R183" i="15"/>
  <c r="B184" i="15" s="1"/>
  <c r="B165" i="34" s="1"/>
  <c r="B183" i="15"/>
  <c r="B164" i="34" s="1"/>
  <c r="C183" i="15"/>
  <c r="C184" i="15"/>
  <c r="G454" i="24"/>
  <c r="B19" i="25"/>
  <c r="B20" i="25"/>
  <c r="B21" i="25"/>
  <c r="B22" i="25"/>
  <c r="B23" i="25"/>
  <c r="C443" i="34" s="1"/>
  <c r="B24" i="25"/>
  <c r="B25" i="25"/>
  <c r="B26" i="25"/>
  <c r="B27" i="25"/>
  <c r="B18" i="25"/>
  <c r="AR435" i="24" l="1"/>
  <c r="AQ435" i="24"/>
  <c r="AV454" i="24"/>
  <c r="AV456" i="24" s="1"/>
  <c r="AR454" i="24"/>
  <c r="AR456" i="24" s="1"/>
  <c r="AU454" i="24"/>
  <c r="AU456" i="24" s="1"/>
  <c r="AQ454" i="24"/>
  <c r="AQ456" i="24" s="1"/>
  <c r="AS11" i="25"/>
  <c r="AW11" i="25" s="1"/>
  <c r="C438" i="34"/>
  <c r="AS13" i="25"/>
  <c r="AW13" i="25" s="1"/>
  <c r="C440" i="34"/>
  <c r="AS19" i="25"/>
  <c r="AW19" i="25" s="1"/>
  <c r="C437" i="34"/>
  <c r="AS12" i="25"/>
  <c r="AW12" i="25" s="1"/>
  <c r="C439" i="34"/>
  <c r="AS18" i="25"/>
  <c r="AW18" i="25" s="1"/>
  <c r="C446" i="34"/>
  <c r="AS15" i="25"/>
  <c r="AW15" i="25" s="1"/>
  <c r="C442" i="34"/>
  <c r="AS27" i="25"/>
  <c r="AW27" i="25" s="1"/>
  <c r="C444" i="34"/>
  <c r="C445" i="34"/>
  <c r="AS14" i="25"/>
  <c r="AW14" i="25" s="1"/>
  <c r="C441" i="34"/>
  <c r="B426" i="15"/>
  <c r="B379" i="34" s="1"/>
  <c r="C26" i="25"/>
  <c r="E7" i="31"/>
  <c r="D435" i="24"/>
  <c r="Q116" i="16"/>
  <c r="Q112" i="16"/>
  <c r="Q108" i="16"/>
  <c r="Q115" i="16"/>
  <c r="Q111" i="16"/>
  <c r="Q107" i="16"/>
  <c r="Q114" i="16"/>
  <c r="Q110" i="16"/>
  <c r="Q113" i="16"/>
  <c r="Q109" i="16"/>
  <c r="B14" i="25" l="1"/>
  <c r="C435" i="34" s="1"/>
  <c r="B13" i="25"/>
  <c r="C434" i="34" s="1"/>
  <c r="A78" i="16"/>
  <c r="BD27" i="24"/>
  <c r="BD26" i="24"/>
  <c r="BD25" i="24"/>
  <c r="BD24" i="24"/>
  <c r="BD23" i="24"/>
  <c r="BD22" i="24"/>
  <c r="BD21" i="24"/>
  <c r="BD20" i="24"/>
  <c r="BD19" i="24"/>
  <c r="BD18" i="24"/>
  <c r="BD17" i="24"/>
  <c r="BD16" i="24"/>
  <c r="BD15" i="24"/>
  <c r="BD14" i="24"/>
  <c r="BD13" i="24"/>
  <c r="BD12" i="24"/>
  <c r="BD11" i="24"/>
  <c r="BD10" i="24"/>
  <c r="BD9" i="24"/>
  <c r="BD8" i="24"/>
  <c r="BD7" i="24"/>
  <c r="BD6" i="24"/>
  <c r="BD5" i="24"/>
  <c r="BD4" i="24"/>
  <c r="D422" i="15"/>
  <c r="G303" i="24" s="1"/>
  <c r="C422" i="15"/>
  <c r="D303" i="24"/>
  <c r="C305" i="15"/>
  <c r="D305" i="15"/>
  <c r="G116" i="24" s="1"/>
  <c r="AR303" i="24" l="1"/>
  <c r="AR305" i="24" s="1"/>
  <c r="AQ303" i="24"/>
  <c r="AQ305" i="24" s="1"/>
  <c r="AT303" i="24"/>
  <c r="AT305" i="24" s="1"/>
  <c r="AS303" i="24"/>
  <c r="AS305" i="24" s="1"/>
  <c r="AQ116" i="24"/>
  <c r="AR116" i="24"/>
  <c r="A61" i="16"/>
  <c r="X615" i="34"/>
  <c r="A69" i="16"/>
  <c r="X623" i="34"/>
  <c r="A58" i="16"/>
  <c r="X612" i="34"/>
  <c r="A65" i="16"/>
  <c r="X619" i="34"/>
  <c r="A73" i="16"/>
  <c r="X627" i="34"/>
  <c r="A77" i="16"/>
  <c r="X631" i="34"/>
  <c r="A54" i="16"/>
  <c r="X608" i="34"/>
  <c r="A62" i="16"/>
  <c r="X616" i="34"/>
  <c r="A66" i="16"/>
  <c r="X620" i="34"/>
  <c r="A70" i="16"/>
  <c r="X624" i="34"/>
  <c r="A55" i="16"/>
  <c r="X609" i="34"/>
  <c r="A63" i="16"/>
  <c r="X617" i="34"/>
  <c r="A71" i="16"/>
  <c r="X625" i="34"/>
  <c r="A75" i="16"/>
  <c r="X629" i="34"/>
  <c r="A57" i="16"/>
  <c r="X611" i="34"/>
  <c r="A74" i="16"/>
  <c r="X628" i="34"/>
  <c r="A59" i="16"/>
  <c r="X613" i="34"/>
  <c r="A67" i="16"/>
  <c r="X621" i="34"/>
  <c r="A56" i="16"/>
  <c r="X610" i="34"/>
  <c r="A60" i="16"/>
  <c r="X614" i="34"/>
  <c r="A64" i="16"/>
  <c r="X618" i="34"/>
  <c r="A68" i="16"/>
  <c r="X622" i="34"/>
  <c r="A72" i="16"/>
  <c r="X626" i="34"/>
  <c r="A76" i="16"/>
  <c r="X630" i="34"/>
  <c r="AS7" i="25"/>
  <c r="AW7" i="25" s="1"/>
  <c r="Q103" i="16"/>
  <c r="AS8" i="25"/>
  <c r="AW8" i="25" s="1"/>
  <c r="Q104" i="16"/>
  <c r="AS10" i="25"/>
  <c r="AW10" i="25" s="1"/>
  <c r="Q106" i="16"/>
  <c r="AS9" i="25"/>
  <c r="AW9" i="25" s="1"/>
  <c r="Q105" i="16"/>
  <c r="E478" i="24"/>
  <c r="E421" i="24"/>
  <c r="D381" i="24"/>
  <c r="D440" i="24"/>
  <c r="E343" i="24"/>
  <c r="E229" i="24"/>
  <c r="D362" i="24"/>
  <c r="D153" i="24"/>
  <c r="E134" i="24"/>
  <c r="E76" i="24"/>
  <c r="G457" i="24"/>
  <c r="G473" i="24"/>
  <c r="AR473" i="24" l="1"/>
  <c r="AQ473" i="24"/>
  <c r="AT473" i="24"/>
  <c r="AS473" i="24"/>
  <c r="AV457" i="24"/>
  <c r="AV459" i="24" s="1"/>
  <c r="AR457" i="24"/>
  <c r="AR459" i="24" s="1"/>
  <c r="AU457" i="24"/>
  <c r="AU459" i="24" s="1"/>
  <c r="AQ457" i="24"/>
  <c r="AQ459" i="24" s="1"/>
  <c r="D37" i="24"/>
  <c r="E37" i="24"/>
  <c r="D57" i="24"/>
  <c r="E440" i="24"/>
  <c r="D421" i="24"/>
  <c r="E381" i="24"/>
  <c r="E362" i="24"/>
  <c r="D343" i="24"/>
  <c r="D229" i="24"/>
  <c r="D478" i="24"/>
  <c r="E153" i="24"/>
  <c r="D134" i="24"/>
  <c r="E114" i="24"/>
  <c r="D114" i="24"/>
  <c r="D76" i="24"/>
  <c r="E57" i="24"/>
  <c r="G480" i="24"/>
  <c r="D306" i="15"/>
  <c r="G404" i="24" s="1"/>
  <c r="G269" i="24"/>
  <c r="G193" i="24"/>
  <c r="G174" i="24"/>
  <c r="D170" i="15"/>
  <c r="G32" i="24" s="1"/>
  <c r="AQ32" i="24" s="1"/>
  <c r="AQ34" i="24" s="1"/>
  <c r="D136" i="15"/>
  <c r="G428" i="24" s="1"/>
  <c r="AT480" i="24" l="1"/>
  <c r="AS480" i="24"/>
  <c r="AQ480" i="24"/>
  <c r="AR480" i="24"/>
  <c r="AT404" i="24"/>
  <c r="AU404" i="24"/>
  <c r="AV404" i="24"/>
  <c r="AS404" i="24"/>
  <c r="AQ174" i="24"/>
  <c r="AT174" i="24"/>
  <c r="AS174" i="24"/>
  <c r="AR174" i="24"/>
  <c r="AQ193" i="24"/>
  <c r="AT193" i="24"/>
  <c r="AS193" i="24"/>
  <c r="AR193" i="24"/>
  <c r="AV428" i="24"/>
  <c r="AR428" i="24"/>
  <c r="AU428" i="24"/>
  <c r="AQ428" i="24"/>
  <c r="AQ269" i="24"/>
  <c r="AT269" i="24"/>
  <c r="AS269" i="24"/>
  <c r="AR269" i="24"/>
  <c r="AT32" i="24"/>
  <c r="AT34" i="24" s="1"/>
  <c r="AS32" i="24"/>
  <c r="AS34" i="24" s="1"/>
  <c r="AR32" i="24"/>
  <c r="AR34" i="24" s="1"/>
  <c r="G289" i="24"/>
  <c r="C323" i="15"/>
  <c r="G59" i="24"/>
  <c r="R287" i="15"/>
  <c r="D287" i="15"/>
  <c r="G232" i="24" s="1"/>
  <c r="C287" i="15"/>
  <c r="D150" i="15"/>
  <c r="G447" i="24" s="1"/>
  <c r="D151" i="15"/>
  <c r="G389" i="24" s="1"/>
  <c r="B3" i="15"/>
  <c r="B4" i="34" s="1"/>
  <c r="AR447" i="24" l="1"/>
  <c r="AQ447" i="24"/>
  <c r="AT59" i="24"/>
  <c r="AS59" i="24"/>
  <c r="AQ59" i="24"/>
  <c r="AR59" i="24"/>
  <c r="AR289" i="24"/>
  <c r="AQ289" i="24"/>
  <c r="AT289" i="24"/>
  <c r="AS289" i="24"/>
  <c r="AQ232" i="24"/>
  <c r="AR232" i="24"/>
  <c r="AV389" i="24"/>
  <c r="AR389" i="24"/>
  <c r="AU389" i="24"/>
  <c r="AQ389" i="24"/>
  <c r="B442" i="15"/>
  <c r="D246" i="24"/>
  <c r="D399" i="24"/>
  <c r="D322" i="24"/>
  <c r="D265" i="24"/>
  <c r="D208" i="24"/>
  <c r="D189" i="24"/>
  <c r="D170" i="24"/>
  <c r="D93" i="24"/>
  <c r="C150" i="30"/>
  <c r="B322" i="15"/>
  <c r="B321" i="15"/>
  <c r="B312" i="15"/>
  <c r="B310" i="15"/>
  <c r="B309" i="15"/>
  <c r="B284" i="34" s="1"/>
  <c r="B307" i="15"/>
  <c r="B282" i="34" s="1"/>
  <c r="B304" i="15"/>
  <c r="B279" i="34" s="1"/>
  <c r="B302" i="15"/>
  <c r="D250" i="24"/>
  <c r="B299" i="15"/>
  <c r="B306" i="15"/>
  <c r="B290" i="15"/>
  <c r="B267" i="34" s="1"/>
  <c r="B288" i="15"/>
  <c r="D231" i="24"/>
  <c r="D212" i="24"/>
  <c r="D193" i="24"/>
  <c r="D174" i="24"/>
  <c r="B283" i="15"/>
  <c r="B260" i="34" s="1"/>
  <c r="B281" i="15"/>
  <c r="D59" i="24"/>
  <c r="C212" i="30"/>
  <c r="B267" i="15"/>
  <c r="B264" i="15"/>
  <c r="B263" i="15"/>
  <c r="B248" i="15"/>
  <c r="D206" i="24"/>
  <c r="B246" i="15"/>
  <c r="B217" i="34" s="1"/>
  <c r="D511" i="24"/>
  <c r="B196" i="34"/>
  <c r="B211" i="15"/>
  <c r="B210" i="15"/>
  <c r="B191" i="34" s="1"/>
  <c r="B208" i="15"/>
  <c r="D578" i="24"/>
  <c r="D319" i="24"/>
  <c r="B199" i="15"/>
  <c r="B180" i="34" s="1"/>
  <c r="B198" i="15"/>
  <c r="B179" i="34" s="1"/>
  <c r="B197" i="15"/>
  <c r="B178" i="34" s="1"/>
  <c r="B193" i="15"/>
  <c r="B174" i="34" s="1"/>
  <c r="D205" i="24"/>
  <c r="B186" i="15"/>
  <c r="B167" i="34" s="1"/>
  <c r="B185" i="15"/>
  <c r="B166" i="34" s="1"/>
  <c r="B182" i="15"/>
  <c r="B163" i="34" s="1"/>
  <c r="B177" i="15"/>
  <c r="B175" i="15"/>
  <c r="B173" i="15"/>
  <c r="B171" i="15"/>
  <c r="C43" i="20"/>
  <c r="B154" i="15"/>
  <c r="B119" i="34" s="1"/>
  <c r="B151" i="15"/>
  <c r="B117" i="34" s="1"/>
  <c r="B150" i="15"/>
  <c r="B116" i="34" s="1"/>
  <c r="B149" i="15"/>
  <c r="B115" i="34" s="1"/>
  <c r="B140" i="15"/>
  <c r="B108" i="34" s="1"/>
  <c r="B139" i="15"/>
  <c r="B107" i="34" s="1"/>
  <c r="B138" i="15"/>
  <c r="B106" i="34" s="1"/>
  <c r="B137" i="15"/>
  <c r="B105" i="34" s="1"/>
  <c r="B136" i="15"/>
  <c r="B104" i="34" s="1"/>
  <c r="B135" i="15"/>
  <c r="B103" i="34" s="1"/>
  <c r="B134" i="15"/>
  <c r="B102" i="34" s="1"/>
  <c r="B96" i="34"/>
  <c r="B125" i="15"/>
  <c r="B95" i="34" s="1"/>
  <c r="B94" i="34"/>
  <c r="C49" i="20"/>
  <c r="C57" i="20"/>
  <c r="B100" i="15"/>
  <c r="B51" i="34" s="1"/>
  <c r="B99" i="15"/>
  <c r="B50" i="34" s="1"/>
  <c r="B98" i="15"/>
  <c r="B49" i="34" s="1"/>
  <c r="B46" i="15"/>
  <c r="B12" i="34" s="1"/>
  <c r="B42" i="15"/>
  <c r="B11" i="34" s="1"/>
  <c r="B27" i="15"/>
  <c r="B8" i="34" s="1"/>
  <c r="B21" i="15"/>
  <c r="B7" i="34" s="1"/>
  <c r="B429" i="15"/>
  <c r="B398" i="34" s="1"/>
  <c r="D205" i="15"/>
  <c r="G578" i="24" s="1"/>
  <c r="R106" i="15"/>
  <c r="D157" i="15"/>
  <c r="D156" i="15"/>
  <c r="K340" i="15"/>
  <c r="J340" i="15"/>
  <c r="I340" i="15"/>
  <c r="H340" i="15"/>
  <c r="G340" i="15"/>
  <c r="F340" i="15"/>
  <c r="R178" i="15"/>
  <c r="B179" i="15" s="1"/>
  <c r="B160" i="34" s="1"/>
  <c r="R176" i="15"/>
  <c r="R177" i="15"/>
  <c r="B178" i="15" s="1"/>
  <c r="B159" i="34" s="1"/>
  <c r="D172" i="15"/>
  <c r="G53" i="24" s="1"/>
  <c r="R172" i="15"/>
  <c r="C172" i="15"/>
  <c r="R157" i="15"/>
  <c r="R156" i="15"/>
  <c r="B457" i="15"/>
  <c r="B355" i="15"/>
  <c r="B53" i="15"/>
  <c r="B13" i="34" s="1"/>
  <c r="AQ53" i="24" l="1"/>
  <c r="AR53" i="24"/>
  <c r="AV578" i="24"/>
  <c r="AV580" i="24" s="1"/>
  <c r="AU578" i="24"/>
  <c r="AU580" i="24" s="1"/>
  <c r="B107" i="15"/>
  <c r="B57" i="34" s="1"/>
  <c r="B303" i="34"/>
  <c r="D62" i="33"/>
  <c r="B531" i="34" s="1"/>
  <c r="D52" i="24"/>
  <c r="B152" i="34"/>
  <c r="C90" i="30"/>
  <c r="B192" i="34"/>
  <c r="D39" i="24"/>
  <c r="B245" i="34"/>
  <c r="D326" i="24"/>
  <c r="B274" i="34"/>
  <c r="D307" i="24"/>
  <c r="B290" i="34"/>
  <c r="D396" i="24"/>
  <c r="B219" i="34"/>
  <c r="C252" i="30"/>
  <c r="B265" i="34"/>
  <c r="C312" i="30"/>
  <c r="B291" i="34"/>
  <c r="B154" i="34"/>
  <c r="D90" i="24"/>
  <c r="E54" i="31"/>
  <c r="B149" i="34"/>
  <c r="D109" i="24"/>
  <c r="B156" i="34"/>
  <c r="C51" i="20"/>
  <c r="B189" i="34"/>
  <c r="C14" i="20"/>
  <c r="B242" i="34"/>
  <c r="D499" i="24"/>
  <c r="B277" i="34"/>
  <c r="D175" i="24"/>
  <c r="B285" i="34"/>
  <c r="D32" i="24"/>
  <c r="B151" i="34"/>
  <c r="D128" i="24"/>
  <c r="B158" i="34"/>
  <c r="C30" i="20"/>
  <c r="B243" i="34"/>
  <c r="D136" i="24"/>
  <c r="B258" i="34"/>
  <c r="D404" i="24"/>
  <c r="B281" i="34"/>
  <c r="D155" i="24"/>
  <c r="B287" i="34"/>
  <c r="C13" i="20"/>
  <c r="D179" i="24"/>
  <c r="D312" i="24"/>
  <c r="D504" i="24"/>
  <c r="D389" i="24"/>
  <c r="C42" i="20"/>
  <c r="D428" i="24"/>
  <c r="D274" i="24"/>
  <c r="D524" i="24"/>
  <c r="D409" i="24"/>
  <c r="C12" i="20"/>
  <c r="D198" i="24"/>
  <c r="D447" i="24"/>
  <c r="D269" i="24"/>
  <c r="C360" i="30"/>
  <c r="D364" i="24"/>
  <c r="C359" i="30"/>
  <c r="C192" i="30"/>
  <c r="C339" i="30"/>
  <c r="C191" i="30"/>
  <c r="C338" i="30"/>
  <c r="C292" i="30"/>
  <c r="D519" i="24"/>
  <c r="C293" i="30"/>
  <c r="D520" i="24"/>
  <c r="F15" i="25"/>
  <c r="D590" i="24"/>
  <c r="C109" i="30"/>
  <c r="B13" i="32"/>
  <c r="C112" i="30"/>
  <c r="B14" i="32"/>
  <c r="D224" i="24"/>
  <c r="E10" i="31"/>
  <c r="C33" i="30"/>
  <c r="E15" i="31"/>
  <c r="C71" i="30"/>
  <c r="B11" i="32"/>
  <c r="C36" i="30"/>
  <c r="E17" i="31"/>
  <c r="C52" i="30"/>
  <c r="B8" i="32"/>
  <c r="C55" i="30"/>
  <c r="B9" i="32"/>
  <c r="D618" i="24"/>
  <c r="C14" i="25"/>
  <c r="D558" i="24"/>
  <c r="F14" i="25"/>
  <c r="D570" i="24"/>
  <c r="C13" i="25"/>
  <c r="F13" i="25"/>
  <c r="C67" i="10"/>
  <c r="C37" i="20"/>
  <c r="F18" i="25"/>
  <c r="F27" i="25"/>
  <c r="C27" i="25"/>
  <c r="F21" i="25"/>
  <c r="F20" i="25"/>
  <c r="D186" i="24"/>
  <c r="C58" i="20"/>
  <c r="C19" i="25"/>
  <c r="C52" i="20"/>
  <c r="F19" i="25"/>
  <c r="F26" i="25"/>
  <c r="D167" i="24"/>
  <c r="C18" i="25"/>
  <c r="F22" i="25"/>
  <c r="F24" i="25"/>
  <c r="D262" i="24"/>
  <c r="C20" i="25"/>
  <c r="C25" i="25"/>
  <c r="F23" i="25"/>
  <c r="F25" i="25"/>
  <c r="D148" i="24"/>
  <c r="C23" i="25"/>
  <c r="D300" i="24"/>
  <c r="C22" i="25"/>
  <c r="D376" i="24"/>
  <c r="C24" i="25"/>
  <c r="C200" i="15"/>
  <c r="C138" i="15"/>
  <c r="C405" i="15" l="1"/>
  <c r="C406" i="15"/>
  <c r="C407" i="15"/>
  <c r="C414" i="15"/>
  <c r="C415" i="15"/>
  <c r="C416" i="15"/>
  <c r="C417" i="15"/>
  <c r="C418" i="15"/>
  <c r="C419" i="15"/>
  <c r="C420" i="15"/>
  <c r="C421" i="15"/>
  <c r="C423" i="15"/>
  <c r="C424" i="15"/>
  <c r="C425" i="15"/>
  <c r="C426" i="15"/>
  <c r="C404" i="15"/>
  <c r="C337" i="15"/>
  <c r="C328" i="15"/>
  <c r="C327" i="15"/>
  <c r="C326" i="15"/>
  <c r="C325" i="15"/>
  <c r="C271" i="15"/>
  <c r="C324" i="15"/>
  <c r="C322" i="15"/>
  <c r="C321" i="15"/>
  <c r="C302" i="15"/>
  <c r="C303" i="15"/>
  <c r="C308" i="15"/>
  <c r="C309" i="15"/>
  <c r="C310" i="15"/>
  <c r="C312" i="15"/>
  <c r="C296" i="15"/>
  <c r="C297" i="15"/>
  <c r="C298" i="15"/>
  <c r="C306" i="15"/>
  <c r="C299" i="15"/>
  <c r="C289" i="15"/>
  <c r="C290" i="15"/>
  <c r="C288" i="15"/>
  <c r="C286" i="15"/>
  <c r="C285" i="15"/>
  <c r="C311" i="15"/>
  <c r="C284" i="15"/>
  <c r="C283" i="15"/>
  <c r="C282" i="15"/>
  <c r="C281" i="15"/>
  <c r="C280" i="15"/>
  <c r="C279" i="15"/>
  <c r="C278" i="15"/>
  <c r="C268" i="15"/>
  <c r="C269" i="15"/>
  <c r="C270" i="15"/>
  <c r="D193" i="30" s="1"/>
  <c r="C272" i="15"/>
  <c r="C267" i="15"/>
  <c r="C264" i="15"/>
  <c r="C265" i="15"/>
  <c r="C263" i="15"/>
  <c r="C244" i="15"/>
  <c r="C245" i="15"/>
  <c r="C246" i="15"/>
  <c r="C247" i="15"/>
  <c r="C248" i="15"/>
  <c r="C249" i="15"/>
  <c r="C243" i="15"/>
  <c r="C236" i="15"/>
  <c r="C235" i="15"/>
  <c r="C234" i="15"/>
  <c r="C220" i="15"/>
  <c r="C219" i="15"/>
  <c r="C218" i="15"/>
  <c r="C217" i="15"/>
  <c r="C216" i="15"/>
  <c r="C208" i="15"/>
  <c r="C210" i="15"/>
  <c r="C211" i="15"/>
  <c r="C207" i="15"/>
  <c r="C206" i="15"/>
  <c r="C205" i="15"/>
  <c r="C192" i="15"/>
  <c r="C193" i="15"/>
  <c r="C194" i="15"/>
  <c r="C195" i="15"/>
  <c r="C196" i="15"/>
  <c r="C197" i="15"/>
  <c r="C198" i="15"/>
  <c r="C199" i="15"/>
  <c r="C201" i="15"/>
  <c r="C202" i="15"/>
  <c r="C204" i="15"/>
  <c r="C185" i="15"/>
  <c r="C186" i="15"/>
  <c r="C187" i="15"/>
  <c r="C188" i="15"/>
  <c r="C189" i="15"/>
  <c r="C190" i="15"/>
  <c r="C191" i="15"/>
  <c r="C181" i="15"/>
  <c r="C182" i="15"/>
  <c r="C180" i="15"/>
  <c r="C171" i="15"/>
  <c r="C173" i="15"/>
  <c r="C174" i="15"/>
  <c r="C175" i="15"/>
  <c r="C176" i="15"/>
  <c r="C177" i="15"/>
  <c r="C178" i="15"/>
  <c r="C179" i="15"/>
  <c r="C170" i="15"/>
  <c r="C166" i="15"/>
  <c r="C165" i="15"/>
  <c r="C151" i="15"/>
  <c r="C150" i="15"/>
  <c r="C149" i="15"/>
  <c r="C139" i="15"/>
  <c r="C140" i="15"/>
  <c r="C137" i="15"/>
  <c r="C135" i="15"/>
  <c r="C136" i="15"/>
  <c r="C134" i="15"/>
  <c r="C126" i="15"/>
  <c r="C125" i="15"/>
  <c r="C124" i="15"/>
  <c r="C106" i="15"/>
  <c r="C105" i="15"/>
  <c r="C104" i="15"/>
  <c r="C101" i="15"/>
  <c r="C100" i="15"/>
  <c r="C102" i="15"/>
  <c r="C99" i="15"/>
  <c r="C98" i="15"/>
  <c r="C53" i="15"/>
  <c r="B67" i="10" l="1"/>
  <c r="B66" i="10"/>
  <c r="B61" i="10"/>
  <c r="B60" i="10"/>
  <c r="B55" i="10"/>
  <c r="B54" i="10"/>
  <c r="B47" i="10"/>
  <c r="B46" i="10"/>
  <c r="B41" i="10"/>
  <c r="B40" i="10"/>
  <c r="B35" i="10"/>
  <c r="B34" i="10"/>
  <c r="D313" i="15"/>
  <c r="D264" i="15"/>
  <c r="O262" i="15"/>
  <c r="N262" i="15"/>
  <c r="M262" i="15"/>
  <c r="L262" i="15"/>
  <c r="K262" i="15"/>
  <c r="J262" i="15"/>
  <c r="I262" i="15"/>
  <c r="H262" i="15"/>
  <c r="G262" i="15"/>
  <c r="F262" i="15"/>
  <c r="E262" i="15"/>
  <c r="O162" i="15"/>
  <c r="N162" i="15"/>
  <c r="M162" i="15"/>
  <c r="L162" i="15"/>
  <c r="K386" i="15"/>
  <c r="J386" i="15"/>
  <c r="I386" i="15"/>
  <c r="H386" i="15"/>
  <c r="G386" i="15"/>
  <c r="F386" i="15"/>
  <c r="E386" i="15"/>
  <c r="K266" i="15"/>
  <c r="J266" i="15"/>
  <c r="I266" i="15"/>
  <c r="H266" i="15"/>
  <c r="G266" i="15"/>
  <c r="F266" i="15"/>
  <c r="E266" i="15"/>
  <c r="K169" i="15"/>
  <c r="J169" i="15"/>
  <c r="I169" i="15"/>
  <c r="H169" i="15"/>
  <c r="G169" i="15"/>
  <c r="F169" i="15"/>
  <c r="E169" i="15"/>
  <c r="K111" i="15"/>
  <c r="AC109" i="15" s="1"/>
  <c r="J111" i="15"/>
  <c r="AB109" i="15" s="1"/>
  <c r="I111" i="15"/>
  <c r="AA109" i="15" s="1"/>
  <c r="H111" i="15"/>
  <c r="Z109" i="15" s="1"/>
  <c r="G111" i="15"/>
  <c r="Y109" i="15" s="1"/>
  <c r="F111" i="15"/>
  <c r="E111" i="15"/>
  <c r="K103" i="15"/>
  <c r="J103" i="15"/>
  <c r="I103" i="15"/>
  <c r="H103" i="15"/>
  <c r="G103" i="15"/>
  <c r="F103" i="15"/>
  <c r="E103" i="15"/>
  <c r="F618" i="24"/>
  <c r="I13" i="27"/>
  <c r="D57" i="15"/>
  <c r="G630" i="24" s="1"/>
  <c r="D56" i="15"/>
  <c r="G618" i="24" s="1"/>
  <c r="C320" i="15"/>
  <c r="D244" i="15"/>
  <c r="D245" i="15"/>
  <c r="G357" i="24" s="1"/>
  <c r="D246" i="15"/>
  <c r="G376" i="24" s="1"/>
  <c r="D247" i="15"/>
  <c r="G206" i="24" s="1"/>
  <c r="D249" i="15"/>
  <c r="G416" i="24" s="1"/>
  <c r="C223" i="15"/>
  <c r="C224" i="15"/>
  <c r="C233" i="15"/>
  <c r="D405" i="15"/>
  <c r="D406" i="15"/>
  <c r="G93" i="24" s="1"/>
  <c r="D407" i="15"/>
  <c r="G170" i="24" s="1"/>
  <c r="D414" i="15"/>
  <c r="D415" i="15"/>
  <c r="G401" i="24" s="1"/>
  <c r="D416" i="15"/>
  <c r="D417" i="15"/>
  <c r="D418" i="15"/>
  <c r="G284" i="24" s="1"/>
  <c r="D419" i="15"/>
  <c r="F55" i="30" s="1"/>
  <c r="D420" i="15"/>
  <c r="G322" i="24" s="1"/>
  <c r="D421" i="15"/>
  <c r="G399" i="24" s="1"/>
  <c r="D423" i="15"/>
  <c r="D424" i="15"/>
  <c r="G246" i="24" s="1"/>
  <c r="D425" i="15"/>
  <c r="F112" i="30" s="1"/>
  <c r="D321" i="15"/>
  <c r="G307" i="24" s="1"/>
  <c r="D322" i="15"/>
  <c r="F312" i="30" s="1"/>
  <c r="D271" i="15"/>
  <c r="F232" i="30" s="1"/>
  <c r="D325" i="15"/>
  <c r="D326" i="15"/>
  <c r="D327" i="15"/>
  <c r="G423" i="24" s="1"/>
  <c r="D328" i="15"/>
  <c r="G442" i="24" s="1"/>
  <c r="C47" i="10"/>
  <c r="R338" i="15"/>
  <c r="R321" i="15"/>
  <c r="R320" i="15"/>
  <c r="R302" i="15"/>
  <c r="R303" i="15"/>
  <c r="R304" i="15"/>
  <c r="R312" i="15"/>
  <c r="B313" i="15" s="1"/>
  <c r="R313" i="15"/>
  <c r="D320" i="15"/>
  <c r="G156" i="24" s="1"/>
  <c r="D285" i="15"/>
  <c r="G212" i="24" s="1"/>
  <c r="D286" i="15"/>
  <c r="G231" i="24" s="1"/>
  <c r="D288" i="15"/>
  <c r="F252" i="30" s="1"/>
  <c r="D289" i="15"/>
  <c r="G270" i="24"/>
  <c r="G288" i="24"/>
  <c r="D299" i="15"/>
  <c r="D300" i="15"/>
  <c r="D302" i="15"/>
  <c r="G499" i="24" s="1"/>
  <c r="D303" i="15"/>
  <c r="G500" i="24" s="1"/>
  <c r="D304" i="15"/>
  <c r="D307" i="15"/>
  <c r="D308" i="15"/>
  <c r="G383" i="24" s="1"/>
  <c r="D309" i="15"/>
  <c r="D310" i="15"/>
  <c r="G175" i="24" s="1"/>
  <c r="D312" i="15"/>
  <c r="G155" i="24" s="1"/>
  <c r="D270" i="15"/>
  <c r="D265" i="15"/>
  <c r="D272" i="15"/>
  <c r="F212" i="30" s="1"/>
  <c r="D279" i="15"/>
  <c r="G78" i="24" s="1"/>
  <c r="D280" i="15"/>
  <c r="G97" i="24" s="1"/>
  <c r="D281" i="15"/>
  <c r="D282" i="15"/>
  <c r="R268" i="15"/>
  <c r="R269" i="15"/>
  <c r="R270" i="15"/>
  <c r="R265" i="15"/>
  <c r="R272" i="15"/>
  <c r="B273" i="15" s="1"/>
  <c r="R273" i="15"/>
  <c r="R278" i="15"/>
  <c r="R279" i="15"/>
  <c r="R280" i="15"/>
  <c r="R281" i="15"/>
  <c r="R282" i="15"/>
  <c r="R283" i="15"/>
  <c r="R284" i="15"/>
  <c r="R311" i="15"/>
  <c r="R285" i="15"/>
  <c r="R286" i="15"/>
  <c r="R288" i="15"/>
  <c r="R289" i="15"/>
  <c r="R290" i="15"/>
  <c r="R296" i="15"/>
  <c r="R297" i="15"/>
  <c r="R298" i="15"/>
  <c r="R299" i="15"/>
  <c r="R314" i="15"/>
  <c r="R315" i="15"/>
  <c r="R316" i="15"/>
  <c r="R317" i="15"/>
  <c r="R318" i="15"/>
  <c r="R319" i="15"/>
  <c r="R267" i="15"/>
  <c r="R264" i="15"/>
  <c r="R263" i="15"/>
  <c r="C61" i="10"/>
  <c r="C35" i="10"/>
  <c r="F128" i="30"/>
  <c r="D234" i="15"/>
  <c r="G474" i="24" s="1"/>
  <c r="D217" i="15"/>
  <c r="G338" i="24" s="1"/>
  <c r="D218" i="15"/>
  <c r="G492" i="24" s="1"/>
  <c r="D219" i="15"/>
  <c r="G493" i="24" s="1"/>
  <c r="D220" i="15"/>
  <c r="G436" i="24" s="1"/>
  <c r="D207" i="15"/>
  <c r="G558" i="24" s="1"/>
  <c r="D208" i="15"/>
  <c r="D216" i="15"/>
  <c r="F109" i="30" s="1"/>
  <c r="D206" i="15"/>
  <c r="G579" i="24" s="1"/>
  <c r="D177" i="15"/>
  <c r="G128" i="24" s="1"/>
  <c r="D178" i="15"/>
  <c r="G129" i="24" s="1"/>
  <c r="D179" i="15"/>
  <c r="G130" i="24" s="1"/>
  <c r="D180" i="15"/>
  <c r="G148" i="24" s="1"/>
  <c r="D182" i="15"/>
  <c r="G167" i="24" s="1"/>
  <c r="G538" i="24"/>
  <c r="D186" i="15"/>
  <c r="G186" i="24" s="1"/>
  <c r="D187" i="15"/>
  <c r="D188" i="15"/>
  <c r="D189" i="15"/>
  <c r="R247" i="15"/>
  <c r="R246" i="15"/>
  <c r="R245" i="15"/>
  <c r="R244" i="15"/>
  <c r="R235" i="15"/>
  <c r="R236" i="15"/>
  <c r="R237" i="15"/>
  <c r="R243" i="15"/>
  <c r="R234" i="15"/>
  <c r="B235" i="15" s="1"/>
  <c r="B208" i="34" s="1"/>
  <c r="R254" i="15"/>
  <c r="R231" i="15"/>
  <c r="R222" i="15"/>
  <c r="R219" i="15"/>
  <c r="R220" i="15"/>
  <c r="C75" i="10"/>
  <c r="R180" i="15"/>
  <c r="R181" i="15"/>
  <c r="R182" i="15"/>
  <c r="R189" i="15"/>
  <c r="R190" i="15"/>
  <c r="R191" i="15"/>
  <c r="R192" i="15"/>
  <c r="R194" i="15"/>
  <c r="R195" i="15"/>
  <c r="R196" i="15"/>
  <c r="R197" i="15"/>
  <c r="R198" i="15"/>
  <c r="R199" i="15"/>
  <c r="R200" i="15"/>
  <c r="R206" i="15"/>
  <c r="R207" i="15"/>
  <c r="R210" i="15"/>
  <c r="R211" i="15"/>
  <c r="B212" i="15" s="1"/>
  <c r="B193" i="34" s="1"/>
  <c r="R212" i="15"/>
  <c r="R216" i="15"/>
  <c r="R217" i="15"/>
  <c r="R218" i="15"/>
  <c r="R179" i="15"/>
  <c r="D166" i="15"/>
  <c r="Q166" i="15" s="1"/>
  <c r="E149" i="34" s="1"/>
  <c r="R173" i="15"/>
  <c r="B174" i="15" s="1"/>
  <c r="B155" i="34" s="1"/>
  <c r="R174" i="15"/>
  <c r="R175" i="15"/>
  <c r="B176" i="15" s="1"/>
  <c r="B157" i="34" s="1"/>
  <c r="R171" i="15"/>
  <c r="B172" i="15" s="1"/>
  <c r="B153" i="34" s="1"/>
  <c r="R170" i="15"/>
  <c r="R166" i="15"/>
  <c r="B167" i="15" s="1"/>
  <c r="B150" i="34" s="1"/>
  <c r="R165" i="15"/>
  <c r="C55" i="10"/>
  <c r="R155" i="15"/>
  <c r="D155" i="15"/>
  <c r="G525" i="24" s="1"/>
  <c r="R150" i="15"/>
  <c r="R151" i="15"/>
  <c r="B152" i="15" s="1"/>
  <c r="B118" i="34" s="1"/>
  <c r="R152" i="15"/>
  <c r="R154" i="15"/>
  <c r="B155" i="15" s="1"/>
  <c r="B120" i="34" s="1"/>
  <c r="R149" i="15"/>
  <c r="R138" i="15"/>
  <c r="R139" i="15"/>
  <c r="R140" i="15"/>
  <c r="B141" i="15" s="1"/>
  <c r="R141" i="15"/>
  <c r="R137" i="15"/>
  <c r="R135" i="15"/>
  <c r="R136" i="15"/>
  <c r="R134" i="15"/>
  <c r="R143" i="15"/>
  <c r="R144" i="15"/>
  <c r="R145" i="15"/>
  <c r="D154" i="15"/>
  <c r="G524" i="24" s="1"/>
  <c r="D149" i="15"/>
  <c r="G409" i="24" s="1"/>
  <c r="C57" i="15"/>
  <c r="C56" i="15"/>
  <c r="D125" i="15"/>
  <c r="G550" i="24" s="1"/>
  <c r="D126" i="15"/>
  <c r="G551" i="24" s="1"/>
  <c r="D134" i="15"/>
  <c r="G198" i="24" s="1"/>
  <c r="D137" i="15"/>
  <c r="G590" i="24" s="1"/>
  <c r="D138" i="15"/>
  <c r="G570" i="24" s="1"/>
  <c r="D139" i="15"/>
  <c r="G504" i="24" s="1"/>
  <c r="D140" i="15"/>
  <c r="G274" i="24" s="1"/>
  <c r="R99" i="15"/>
  <c r="R102" i="15"/>
  <c r="R101" i="15"/>
  <c r="B102" i="15" s="1"/>
  <c r="R98" i="15"/>
  <c r="R53" i="15"/>
  <c r="D53" i="15"/>
  <c r="Q53" i="15" s="1"/>
  <c r="E13" i="34" s="1"/>
  <c r="D190" i="15"/>
  <c r="G205" i="24" s="1"/>
  <c r="D191" i="15"/>
  <c r="G224" i="24" s="1"/>
  <c r="D192" i="15"/>
  <c r="G243" i="24" s="1"/>
  <c r="C40" i="10"/>
  <c r="D171" i="15"/>
  <c r="G52" i="24" s="1"/>
  <c r="D173" i="15"/>
  <c r="G90" i="24" s="1"/>
  <c r="D174" i="15"/>
  <c r="G71" i="24" s="1"/>
  <c r="D175" i="15"/>
  <c r="G109" i="24" s="1"/>
  <c r="D176" i="15"/>
  <c r="G110" i="24" s="1"/>
  <c r="D193" i="15"/>
  <c r="G262" i="24" s="1"/>
  <c r="D194" i="15"/>
  <c r="G263" i="24" s="1"/>
  <c r="D195" i="15"/>
  <c r="G281" i="24" s="1"/>
  <c r="D196" i="15"/>
  <c r="G282" i="24" s="1"/>
  <c r="D197" i="15"/>
  <c r="F52" i="30" s="1"/>
  <c r="D199" i="15"/>
  <c r="F33" i="30" s="1"/>
  <c r="D200" i="15"/>
  <c r="F34" i="30" s="1"/>
  <c r="D201" i="15"/>
  <c r="D202" i="15"/>
  <c r="D204" i="15"/>
  <c r="C81" i="10"/>
  <c r="C74" i="10"/>
  <c r="C54" i="10"/>
  <c r="C80" i="10"/>
  <c r="G39" i="24"/>
  <c r="D268" i="15"/>
  <c r="G40" i="24" s="1"/>
  <c r="D269" i="15"/>
  <c r="D263" i="15"/>
  <c r="D165" i="15"/>
  <c r="Q165" i="15" s="1"/>
  <c r="E148" i="34" s="1"/>
  <c r="D98" i="15"/>
  <c r="C34" i="10"/>
  <c r="AU282" i="24" l="1"/>
  <c r="AU283" i="24" s="1"/>
  <c r="AQ282" i="24"/>
  <c r="AT282" i="24"/>
  <c r="AS282" i="24"/>
  <c r="AV282" i="24"/>
  <c r="AV283" i="24" s="1"/>
  <c r="AR282" i="24"/>
  <c r="AT167" i="24"/>
  <c r="AT169" i="24" s="1"/>
  <c r="AS167" i="24"/>
  <c r="AS169" i="24" s="1"/>
  <c r="AV167" i="24"/>
  <c r="AV169" i="24" s="1"/>
  <c r="AR167" i="24"/>
  <c r="AR169" i="24" s="1"/>
  <c r="AU167" i="24"/>
  <c r="AU169" i="24" s="1"/>
  <c r="AQ167" i="24"/>
  <c r="AQ169" i="24" s="1"/>
  <c r="AS128" i="24"/>
  <c r="AR128" i="24"/>
  <c r="AQ128" i="24"/>
  <c r="AT128" i="24"/>
  <c r="AV558" i="24"/>
  <c r="AV560" i="24" s="1"/>
  <c r="AU558" i="24"/>
  <c r="AU560" i="24" s="1"/>
  <c r="AS338" i="24"/>
  <c r="AS340" i="24" s="1"/>
  <c r="AU338" i="24"/>
  <c r="AU340" i="24" s="1"/>
  <c r="AT338" i="24"/>
  <c r="AT340" i="24" s="1"/>
  <c r="AR338" i="24"/>
  <c r="AR340" i="24" s="1"/>
  <c r="AV338" i="24"/>
  <c r="AV340" i="24" s="1"/>
  <c r="AQ338" i="24"/>
  <c r="AQ340" i="24" s="1"/>
  <c r="AQ78" i="24"/>
  <c r="AR78" i="24"/>
  <c r="AS155" i="24"/>
  <c r="AQ155" i="24"/>
  <c r="AT155" i="24"/>
  <c r="AR155" i="24"/>
  <c r="AT156" i="24"/>
  <c r="AQ156" i="24"/>
  <c r="AS156" i="24"/>
  <c r="AR156" i="24"/>
  <c r="AQ307" i="24"/>
  <c r="AT307" i="24"/>
  <c r="AS307" i="24"/>
  <c r="AR307" i="24"/>
  <c r="AU399" i="24"/>
  <c r="AQ399" i="24"/>
  <c r="AR399" i="24"/>
  <c r="AV399" i="24"/>
  <c r="AT170" i="24"/>
  <c r="AT172" i="24" s="1"/>
  <c r="AS170" i="24"/>
  <c r="AS172" i="24" s="1"/>
  <c r="AR170" i="24"/>
  <c r="AR172" i="24" s="1"/>
  <c r="AQ170" i="24"/>
  <c r="AQ172" i="24" s="1"/>
  <c r="AT376" i="24"/>
  <c r="AT378" i="24" s="1"/>
  <c r="AS376" i="24"/>
  <c r="AS378" i="24" s="1"/>
  <c r="AV376" i="24"/>
  <c r="AV378" i="24" s="1"/>
  <c r="AR376" i="24"/>
  <c r="AR378" i="24" s="1"/>
  <c r="AU376" i="24"/>
  <c r="AU378" i="24" s="1"/>
  <c r="AQ376" i="24"/>
  <c r="AQ378" i="24" s="1"/>
  <c r="AV618" i="24"/>
  <c r="AV620" i="24" s="1"/>
  <c r="AR618" i="24"/>
  <c r="AR620" i="24" s="1"/>
  <c r="AU618" i="24"/>
  <c r="AU620" i="24" s="1"/>
  <c r="AQ618" i="24"/>
  <c r="AQ620" i="24" s="1"/>
  <c r="AU205" i="24"/>
  <c r="AQ205" i="24"/>
  <c r="AT205" i="24"/>
  <c r="AS205" i="24"/>
  <c r="AV205" i="24"/>
  <c r="AR205" i="24"/>
  <c r="AS409" i="24"/>
  <c r="AV409" i="24"/>
  <c r="AU409" i="24"/>
  <c r="AT409" i="24"/>
  <c r="AT39" i="24"/>
  <c r="AS39" i="24"/>
  <c r="AQ39" i="24"/>
  <c r="AR39" i="24"/>
  <c r="AR281" i="24"/>
  <c r="AR283" i="24" s="1"/>
  <c r="AQ281" i="24"/>
  <c r="AQ283" i="24" s="1"/>
  <c r="AT281" i="24"/>
  <c r="AT283" i="24" s="1"/>
  <c r="AS281" i="24"/>
  <c r="AQ109" i="24"/>
  <c r="AT109" i="24"/>
  <c r="AT111" i="24" s="1"/>
  <c r="AS109" i="24"/>
  <c r="AS111" i="24" s="1"/>
  <c r="AR109" i="24"/>
  <c r="AU570" i="24"/>
  <c r="AV570" i="24"/>
  <c r="AV550" i="24"/>
  <c r="AU550" i="24"/>
  <c r="AT550" i="24"/>
  <c r="AS550" i="24"/>
  <c r="AU524" i="24"/>
  <c r="AT524" i="24"/>
  <c r="AS524" i="24"/>
  <c r="AV524" i="24"/>
  <c r="AV148" i="24"/>
  <c r="AV150" i="24" s="1"/>
  <c r="AR148" i="24"/>
  <c r="AR150" i="24" s="1"/>
  <c r="AU148" i="24"/>
  <c r="AU150" i="24" s="1"/>
  <c r="AQ148" i="24"/>
  <c r="AQ150" i="24" s="1"/>
  <c r="AQ579" i="24"/>
  <c r="AQ580" i="24" s="1"/>
  <c r="AR579" i="24"/>
  <c r="AR580" i="24" s="1"/>
  <c r="AQ436" i="24"/>
  <c r="AQ437" i="24" s="1"/>
  <c r="AR436" i="24"/>
  <c r="AR437" i="24" s="1"/>
  <c r="AQ474" i="24"/>
  <c r="AQ475" i="24" s="1"/>
  <c r="AT474" i="24"/>
  <c r="AT475" i="24" s="1"/>
  <c r="AS474" i="24"/>
  <c r="AS475" i="24" s="1"/>
  <c r="AR474" i="24"/>
  <c r="AR475" i="24" s="1"/>
  <c r="AS175" i="24"/>
  <c r="AQ175" i="24"/>
  <c r="AT175" i="24"/>
  <c r="AR175" i="24"/>
  <c r="AU322" i="24"/>
  <c r="AU324" i="24" s="1"/>
  <c r="AQ322" i="24"/>
  <c r="AQ324" i="24" s="1"/>
  <c r="AV322" i="24"/>
  <c r="AV324" i="24" s="1"/>
  <c r="AR322" i="24"/>
  <c r="AR324" i="24" s="1"/>
  <c r="AS93" i="24"/>
  <c r="AS95" i="24" s="1"/>
  <c r="AV93" i="24"/>
  <c r="AV95" i="24" s="1"/>
  <c r="AR93" i="24"/>
  <c r="AR95" i="24" s="1"/>
  <c r="AU93" i="24"/>
  <c r="AU95" i="24" s="1"/>
  <c r="AQ93" i="24"/>
  <c r="AQ95" i="24" s="1"/>
  <c r="AT93" i="24"/>
  <c r="AT95" i="24" s="1"/>
  <c r="AR357" i="24"/>
  <c r="AR359" i="24" s="1"/>
  <c r="AT357" i="24"/>
  <c r="AT359" i="24" s="1"/>
  <c r="AS357" i="24"/>
  <c r="AS359" i="24" s="1"/>
  <c r="AQ357" i="24"/>
  <c r="AQ359" i="24" s="1"/>
  <c r="AV630" i="24"/>
  <c r="AR630" i="24"/>
  <c r="AU630" i="24"/>
  <c r="AQ630" i="24"/>
  <c r="AR110" i="24"/>
  <c r="AQ110" i="24"/>
  <c r="AU504" i="24"/>
  <c r="AT504" i="24"/>
  <c r="AS504" i="24"/>
  <c r="AV504" i="24"/>
  <c r="AV263" i="24"/>
  <c r="AR263" i="24"/>
  <c r="AU263" i="24"/>
  <c r="AQ263" i="24"/>
  <c r="AV71" i="24"/>
  <c r="AV73" i="24" s="1"/>
  <c r="AR71" i="24"/>
  <c r="AR73" i="24" s="1"/>
  <c r="AU71" i="24"/>
  <c r="AU73" i="24" s="1"/>
  <c r="AQ71" i="24"/>
  <c r="AQ73" i="24" s="1"/>
  <c r="H71" i="24"/>
  <c r="AT243" i="24"/>
  <c r="AT245" i="24" s="1"/>
  <c r="AS243" i="24"/>
  <c r="AS245" i="24" s="1"/>
  <c r="AR243" i="24"/>
  <c r="AR245" i="24" s="1"/>
  <c r="AQ243" i="24"/>
  <c r="AQ245" i="24" s="1"/>
  <c r="AV590" i="24"/>
  <c r="AU590" i="24"/>
  <c r="AT525" i="24"/>
  <c r="AS525" i="24"/>
  <c r="AV525" i="24"/>
  <c r="AR525" i="24"/>
  <c r="AU525" i="24"/>
  <c r="AQ525" i="24"/>
  <c r="AT186" i="24"/>
  <c r="AT188" i="24" s="1"/>
  <c r="AS186" i="24"/>
  <c r="AS188" i="24" s="1"/>
  <c r="AV186" i="24"/>
  <c r="AV188" i="24" s="1"/>
  <c r="AR186" i="24"/>
  <c r="AR188" i="24" s="1"/>
  <c r="AU186" i="24"/>
  <c r="AU188" i="24" s="1"/>
  <c r="AQ186" i="24"/>
  <c r="AQ188" i="24" s="1"/>
  <c r="AQ130" i="24"/>
  <c r="AT130" i="24"/>
  <c r="AS130" i="24"/>
  <c r="AR130" i="24"/>
  <c r="AQ493" i="24"/>
  <c r="AQ494" i="24" s="1"/>
  <c r="AR493" i="24"/>
  <c r="AR494" i="24" s="1"/>
  <c r="AS500" i="24"/>
  <c r="AQ500" i="24"/>
  <c r="AT500" i="24"/>
  <c r="AR500" i="24"/>
  <c r="AT288" i="24"/>
  <c r="AS288" i="24"/>
  <c r="AQ288" i="24"/>
  <c r="AR288" i="24"/>
  <c r="AQ231" i="24"/>
  <c r="AT231" i="24"/>
  <c r="AS231" i="24"/>
  <c r="AR231" i="24"/>
  <c r="AT442" i="24"/>
  <c r="AS442" i="24"/>
  <c r="AQ442" i="24"/>
  <c r="AR442" i="24"/>
  <c r="AV246" i="24"/>
  <c r="AV248" i="24" s="1"/>
  <c r="AR246" i="24"/>
  <c r="AR248" i="24" s="1"/>
  <c r="AU246" i="24"/>
  <c r="AU248" i="24" s="1"/>
  <c r="AQ246" i="24"/>
  <c r="AQ248" i="24" s="1"/>
  <c r="AT246" i="24"/>
  <c r="AT248" i="24" s="1"/>
  <c r="AS246" i="24"/>
  <c r="AS248" i="24" s="1"/>
  <c r="AQ401" i="24"/>
  <c r="AU401" i="24"/>
  <c r="AR401" i="24"/>
  <c r="AV401" i="24"/>
  <c r="AV416" i="24"/>
  <c r="AV418" i="24" s="1"/>
  <c r="AR416" i="24"/>
  <c r="AR418" i="24" s="1"/>
  <c r="AU416" i="24"/>
  <c r="AU418" i="24" s="1"/>
  <c r="AQ416" i="24"/>
  <c r="AQ418" i="24" s="1"/>
  <c r="AT416" i="24"/>
  <c r="AT418" i="24" s="1"/>
  <c r="AS416" i="24"/>
  <c r="AS418" i="24" s="1"/>
  <c r="AT40" i="24"/>
  <c r="AR40" i="24"/>
  <c r="AS40" i="24"/>
  <c r="AQ40" i="24"/>
  <c r="AT52" i="24"/>
  <c r="AT54" i="24" s="1"/>
  <c r="AS52" i="24"/>
  <c r="AS54" i="24" s="1"/>
  <c r="AR52" i="24"/>
  <c r="AR54" i="24" s="1"/>
  <c r="AQ52" i="24"/>
  <c r="AQ54" i="24" s="1"/>
  <c r="AU551" i="24"/>
  <c r="AQ551" i="24"/>
  <c r="AV551" i="24"/>
  <c r="AR551" i="24"/>
  <c r="H551" i="24"/>
  <c r="AV262" i="24"/>
  <c r="AV264" i="24" s="1"/>
  <c r="AR262" i="24"/>
  <c r="AR264" i="24" s="1"/>
  <c r="AU262" i="24"/>
  <c r="AU264" i="24" s="1"/>
  <c r="AQ262" i="24"/>
  <c r="AS90" i="24"/>
  <c r="AS92" i="24" s="1"/>
  <c r="AV90" i="24"/>
  <c r="AV92" i="24" s="1"/>
  <c r="AR90" i="24"/>
  <c r="AR92" i="24" s="1"/>
  <c r="AU90" i="24"/>
  <c r="AU92" i="24" s="1"/>
  <c r="AQ90" i="24"/>
  <c r="AQ92" i="24" s="1"/>
  <c r="AT90" i="24"/>
  <c r="AT92" i="24" s="1"/>
  <c r="H90" i="24"/>
  <c r="AV224" i="24"/>
  <c r="AV226" i="24" s="1"/>
  <c r="AR224" i="24"/>
  <c r="AR226" i="24" s="1"/>
  <c r="AU224" i="24"/>
  <c r="AU226" i="24" s="1"/>
  <c r="AQ224" i="24"/>
  <c r="AQ226" i="24" s="1"/>
  <c r="AT224" i="24"/>
  <c r="AT226" i="24" s="1"/>
  <c r="AS224" i="24"/>
  <c r="AS226" i="24" s="1"/>
  <c r="AV274" i="24"/>
  <c r="AR274" i="24"/>
  <c r="AU274" i="24"/>
  <c r="AQ274" i="24"/>
  <c r="AV198" i="24"/>
  <c r="AR198" i="24"/>
  <c r="AU198" i="24"/>
  <c r="AQ198" i="24"/>
  <c r="AU538" i="24"/>
  <c r="AU540" i="24" s="1"/>
  <c r="AT538" i="24"/>
  <c r="AT540" i="24" s="1"/>
  <c r="AS538" i="24"/>
  <c r="AS540" i="24" s="1"/>
  <c r="AV538" i="24"/>
  <c r="AV540" i="24" s="1"/>
  <c r="AR129" i="24"/>
  <c r="AQ129" i="24"/>
  <c r="AT129" i="24"/>
  <c r="AS129" i="24"/>
  <c r="AU492" i="24"/>
  <c r="AU494" i="24" s="1"/>
  <c r="AV492" i="24"/>
  <c r="AV494" i="24" s="1"/>
  <c r="AT492" i="24"/>
  <c r="AT494" i="24" s="1"/>
  <c r="AS492" i="24"/>
  <c r="AS494" i="24" s="1"/>
  <c r="AS97" i="24"/>
  <c r="AQ97" i="24"/>
  <c r="AT97" i="24"/>
  <c r="AR97" i="24"/>
  <c r="AS383" i="24"/>
  <c r="AQ383" i="24"/>
  <c r="AT383" i="24"/>
  <c r="AR383" i="24"/>
  <c r="AT499" i="24"/>
  <c r="AS499" i="24"/>
  <c r="AR270" i="24"/>
  <c r="AQ270" i="24"/>
  <c r="AQ212" i="24"/>
  <c r="AT212" i="24"/>
  <c r="AS212" i="24"/>
  <c r="AR212" i="24"/>
  <c r="AT423" i="24"/>
  <c r="AS423" i="24"/>
  <c r="AQ423" i="24"/>
  <c r="AR423" i="24"/>
  <c r="AV284" i="24"/>
  <c r="AV286" i="24" s="1"/>
  <c r="AR284" i="24"/>
  <c r="AR286" i="24" s="1"/>
  <c r="AU284" i="24"/>
  <c r="AU286" i="24" s="1"/>
  <c r="AQ284" i="24"/>
  <c r="AQ286" i="24" s="1"/>
  <c r="AT206" i="24"/>
  <c r="AS206" i="24"/>
  <c r="AV206" i="24"/>
  <c r="AR206" i="24"/>
  <c r="AU206" i="24"/>
  <c r="AQ206" i="24"/>
  <c r="H618" i="24"/>
  <c r="B289" i="15"/>
  <c r="B266" i="34" s="1"/>
  <c r="B287" i="15"/>
  <c r="B264" i="34" s="1"/>
  <c r="B280" i="15"/>
  <c r="B257" i="34" s="1"/>
  <c r="B303" i="15"/>
  <c r="B278" i="34" s="1"/>
  <c r="B219" i="15"/>
  <c r="B197" i="34" s="1"/>
  <c r="B192" i="15"/>
  <c r="B173" i="34" s="1"/>
  <c r="B237" i="15"/>
  <c r="B236" i="15"/>
  <c r="B209" i="34" s="1"/>
  <c r="B265" i="15"/>
  <c r="B244" i="34" s="1"/>
  <c r="B291" i="15"/>
  <c r="B268" i="34" s="1"/>
  <c r="B269" i="34" s="1"/>
  <c r="B270" i="34" s="1"/>
  <c r="B279" i="15"/>
  <c r="B256" i="34" s="1"/>
  <c r="B271" i="15"/>
  <c r="B249" i="34" s="1"/>
  <c r="B57" i="15"/>
  <c r="B16" i="34" s="1"/>
  <c r="B249" i="15"/>
  <c r="B220" i="34" s="1"/>
  <c r="B54" i="15"/>
  <c r="B14" i="34" s="1"/>
  <c r="B326" i="15"/>
  <c r="B234" i="15"/>
  <c r="B207" i="34" s="1"/>
  <c r="B200" i="15"/>
  <c r="B181" i="34" s="1"/>
  <c r="B196" i="15"/>
  <c r="B177" i="34" s="1"/>
  <c r="B181" i="15"/>
  <c r="B162" i="34" s="1"/>
  <c r="B244" i="15"/>
  <c r="B215" i="34" s="1"/>
  <c r="B245" i="15"/>
  <c r="B216" i="34" s="1"/>
  <c r="B268" i="15"/>
  <c r="B246" i="34" s="1"/>
  <c r="B270" i="15"/>
  <c r="B248" i="34" s="1"/>
  <c r="B325" i="15"/>
  <c r="B294" i="34" s="1"/>
  <c r="B305" i="15"/>
  <c r="B280" i="34" s="1"/>
  <c r="F151" i="30"/>
  <c r="G515" i="24"/>
  <c r="AB400" i="15"/>
  <c r="AB262" i="15"/>
  <c r="Y400" i="15"/>
  <c r="Y262" i="15"/>
  <c r="AC400" i="15"/>
  <c r="AC262" i="15"/>
  <c r="Z400" i="15"/>
  <c r="Z262" i="15"/>
  <c r="AA262" i="15"/>
  <c r="AA400" i="15"/>
  <c r="B238" i="15"/>
  <c r="D71" i="24"/>
  <c r="B53" i="34"/>
  <c r="B274" i="15"/>
  <c r="B251" i="34" s="1"/>
  <c r="B252" i="34" s="1"/>
  <c r="B253" i="34" s="1"/>
  <c r="B254" i="34" s="1"/>
  <c r="B277" i="15"/>
  <c r="B276" i="15"/>
  <c r="B275" i="15"/>
  <c r="B253" i="15"/>
  <c r="F41" i="31" s="1"/>
  <c r="B251" i="15"/>
  <c r="E39" i="31" s="1"/>
  <c r="B252" i="15"/>
  <c r="B222" i="34" s="1"/>
  <c r="B223" i="34" s="1"/>
  <c r="B224" i="34" s="1"/>
  <c r="B225" i="34" s="1"/>
  <c r="B226" i="34" s="1"/>
  <c r="B227" i="34" s="1"/>
  <c r="B258" i="15"/>
  <c r="B324" i="15"/>
  <c r="B256" i="15"/>
  <c r="F44" i="31" s="1"/>
  <c r="B254" i="15"/>
  <c r="F42" i="31" s="1"/>
  <c r="B308" i="15"/>
  <c r="B283" i="34" s="1"/>
  <c r="B257" i="15"/>
  <c r="F45" i="31" s="1"/>
  <c r="B255" i="15"/>
  <c r="F43" i="31" s="1"/>
  <c r="B217" i="15"/>
  <c r="B195" i="34" s="1"/>
  <c r="B282" i="15"/>
  <c r="B259" i="34" s="1"/>
  <c r="B147" i="15"/>
  <c r="B114" i="34" s="1"/>
  <c r="B143" i="15"/>
  <c r="B110" i="34" s="1"/>
  <c r="B145" i="15"/>
  <c r="B112" i="34" s="1"/>
  <c r="B146" i="15"/>
  <c r="B113" i="34" s="1"/>
  <c r="B144" i="15"/>
  <c r="B111" i="34" s="1"/>
  <c r="B142" i="15"/>
  <c r="B109" i="34" s="1"/>
  <c r="B242" i="15"/>
  <c r="B316" i="15"/>
  <c r="D77" i="33" s="1"/>
  <c r="B314" i="15"/>
  <c r="D75" i="33" s="1"/>
  <c r="B318" i="15"/>
  <c r="D79" i="33" s="1"/>
  <c r="B319" i="15"/>
  <c r="D80" i="33" s="1"/>
  <c r="B315" i="15"/>
  <c r="D76" i="33" s="1"/>
  <c r="B288" i="34"/>
  <c r="B317" i="15"/>
  <c r="D78" i="33" s="1"/>
  <c r="F630" i="24"/>
  <c r="H630" i="24" s="1"/>
  <c r="G364" i="24"/>
  <c r="F359" i="30"/>
  <c r="F193" i="30"/>
  <c r="F340" i="30"/>
  <c r="F192" i="30"/>
  <c r="F339" i="30"/>
  <c r="F273" i="30"/>
  <c r="G385" i="24"/>
  <c r="F293" i="30"/>
  <c r="G520" i="24"/>
  <c r="F292" i="30"/>
  <c r="G519" i="24"/>
  <c r="F272" i="30"/>
  <c r="G384" i="24"/>
  <c r="D610" i="24"/>
  <c r="D598" i="24"/>
  <c r="G189" i="24"/>
  <c r="G400" i="24"/>
  <c r="G250" i="24"/>
  <c r="K618" i="24"/>
  <c r="R618" i="24"/>
  <c r="AO618" i="24" s="1"/>
  <c r="U618" i="24"/>
  <c r="AP618" i="24" s="1"/>
  <c r="G319" i="24"/>
  <c r="G320" i="24"/>
  <c r="D60" i="10"/>
  <c r="D29" i="20"/>
  <c r="P9" i="20" s="1"/>
  <c r="T9" i="20" s="1"/>
  <c r="D54" i="10"/>
  <c r="D42" i="20"/>
  <c r="P11" i="20" s="1"/>
  <c r="T11" i="20" s="1"/>
  <c r="P31" i="14"/>
  <c r="I15" i="27"/>
  <c r="D35" i="20"/>
  <c r="P32" i="14"/>
  <c r="I16" i="27"/>
  <c r="D40" i="10"/>
  <c r="D13" i="20"/>
  <c r="G326" i="24"/>
  <c r="G461" i="24"/>
  <c r="B250" i="15"/>
  <c r="B221" i="34" s="1"/>
  <c r="G265" i="24"/>
  <c r="G136" i="24"/>
  <c r="G208" i="24"/>
  <c r="G190" i="24"/>
  <c r="P43" i="14"/>
  <c r="D66" i="10"/>
  <c r="E53" i="31"/>
  <c r="B220" i="15"/>
  <c r="P29" i="14"/>
  <c r="P44" i="14"/>
  <c r="P42" i="14"/>
  <c r="P41" i="14"/>
  <c r="C41" i="10"/>
  <c r="Q387" i="15"/>
  <c r="Q56" i="15"/>
  <c r="E15" i="34" s="1"/>
  <c r="Q57" i="15"/>
  <c r="E16" i="34" s="1"/>
  <c r="Q102" i="15"/>
  <c r="E53" i="34" s="1"/>
  <c r="Q99" i="15"/>
  <c r="E50" i="34" s="1"/>
  <c r="AQ264" i="24" l="1"/>
  <c r="AS283" i="24"/>
  <c r="AT136" i="24"/>
  <c r="AS136" i="24"/>
  <c r="AQ136" i="24"/>
  <c r="AR136" i="24"/>
  <c r="AT326" i="24"/>
  <c r="AS326" i="24"/>
  <c r="AQ326" i="24"/>
  <c r="AR326" i="24"/>
  <c r="AV320" i="24"/>
  <c r="AV321" i="24" s="1"/>
  <c r="AR320" i="24"/>
  <c r="AU320" i="24"/>
  <c r="AU321" i="24" s="1"/>
  <c r="AQ320" i="24"/>
  <c r="AS519" i="24"/>
  <c r="AT519" i="24"/>
  <c r="AT385" i="24"/>
  <c r="AS385" i="24"/>
  <c r="AQ385" i="24"/>
  <c r="AR385" i="24"/>
  <c r="AS207" i="24"/>
  <c r="AT131" i="24"/>
  <c r="AN618" i="24"/>
  <c r="H620" i="24"/>
  <c r="AV265" i="24"/>
  <c r="AV267" i="24" s="1"/>
  <c r="AR265" i="24"/>
  <c r="AR267" i="24" s="1"/>
  <c r="AU265" i="24"/>
  <c r="AU267" i="24" s="1"/>
  <c r="AQ265" i="24"/>
  <c r="AQ267" i="24" s="1"/>
  <c r="AR319" i="24"/>
  <c r="AQ319" i="24"/>
  <c r="AQ321" i="24" s="1"/>
  <c r="AQ250" i="24"/>
  <c r="AT250" i="24"/>
  <c r="AS250" i="24"/>
  <c r="AR250" i="24"/>
  <c r="AQ111" i="24"/>
  <c r="AT207" i="24"/>
  <c r="AQ131" i="24"/>
  <c r="AQ400" i="24"/>
  <c r="AQ402" i="24" s="1"/>
  <c r="AU400" i="24"/>
  <c r="AU402" i="24" s="1"/>
  <c r="AV400" i="24"/>
  <c r="AR400" i="24"/>
  <c r="AQ384" i="24"/>
  <c r="AT384" i="24"/>
  <c r="AS384" i="24"/>
  <c r="AR384" i="24"/>
  <c r="AQ520" i="24"/>
  <c r="AT520" i="24"/>
  <c r="AS520" i="24"/>
  <c r="AR520" i="24"/>
  <c r="AT515" i="24"/>
  <c r="AT516" i="24" s="1"/>
  <c r="AS515" i="24"/>
  <c r="AS516" i="24" s="1"/>
  <c r="AR515" i="24"/>
  <c r="AR516" i="24" s="1"/>
  <c r="AQ515" i="24"/>
  <c r="AQ516" i="24" s="1"/>
  <c r="H515" i="24"/>
  <c r="H516" i="24" s="1"/>
  <c r="E516" i="24" s="1"/>
  <c r="AP551" i="24"/>
  <c r="AN551" i="24"/>
  <c r="AR111" i="24"/>
  <c r="AR207" i="24"/>
  <c r="AQ207" i="24"/>
  <c r="AV402" i="24"/>
  <c r="AR131" i="24"/>
  <c r="AV190" i="24"/>
  <c r="AR190" i="24"/>
  <c r="AU190" i="24"/>
  <c r="AQ190" i="24"/>
  <c r="AU208" i="24"/>
  <c r="AU210" i="24" s="1"/>
  <c r="AQ208" i="24"/>
  <c r="AQ210" i="24" s="1"/>
  <c r="AT208" i="24"/>
  <c r="AT210" i="24" s="1"/>
  <c r="AS208" i="24"/>
  <c r="AS210" i="24" s="1"/>
  <c r="AV208" i="24"/>
  <c r="AV210" i="24" s="1"/>
  <c r="AR208" i="24"/>
  <c r="AR210" i="24" s="1"/>
  <c r="AQ461" i="24"/>
  <c r="AR461" i="24"/>
  <c r="AT189" i="24"/>
  <c r="AT191" i="24" s="1"/>
  <c r="AS189" i="24"/>
  <c r="AS191" i="24" s="1"/>
  <c r="AV189" i="24"/>
  <c r="AR189" i="24"/>
  <c r="AU189" i="24"/>
  <c r="AQ189" i="24"/>
  <c r="AT364" i="24"/>
  <c r="AS364" i="24"/>
  <c r="AQ364" i="24"/>
  <c r="AR364" i="24"/>
  <c r="AV207" i="24"/>
  <c r="AU207" i="24"/>
  <c r="AR402" i="24"/>
  <c r="AS131" i="24"/>
  <c r="R630" i="24"/>
  <c r="K620" i="24"/>
  <c r="U620" i="24"/>
  <c r="AV624" i="24" s="1"/>
  <c r="R620" i="24"/>
  <c r="F40" i="31"/>
  <c r="D461" i="24"/>
  <c r="B295" i="34"/>
  <c r="D480" i="24"/>
  <c r="B293" i="34"/>
  <c r="D338" i="24"/>
  <c r="D436" i="24"/>
  <c r="B198" i="34"/>
  <c r="D474" i="24"/>
  <c r="E55" i="31"/>
  <c r="I55" i="31" s="1"/>
  <c r="N55" i="31" s="1"/>
  <c r="C60" i="10"/>
  <c r="C29" i="20"/>
  <c r="Q221" i="15"/>
  <c r="E199" i="34" s="1"/>
  <c r="Q349" i="15"/>
  <c r="E309" i="34" s="1"/>
  <c r="K630" i="24"/>
  <c r="H632" i="24" s="1"/>
  <c r="U630" i="24"/>
  <c r="C15" i="17"/>
  <c r="D15" i="17" s="1"/>
  <c r="H40" i="33"/>
  <c r="F246" i="24"/>
  <c r="H246" i="24" s="1"/>
  <c r="G17" i="31"/>
  <c r="G5" i="31"/>
  <c r="I5" i="31" s="1"/>
  <c r="F579" i="24"/>
  <c r="H579" i="24" s="1"/>
  <c r="C18" i="17"/>
  <c r="D18" i="17" s="1"/>
  <c r="D518" i="24"/>
  <c r="F504" i="24"/>
  <c r="H504" i="24" s="1"/>
  <c r="F52" i="24"/>
  <c r="H52" i="24" s="1"/>
  <c r="D457" i="24"/>
  <c r="H44" i="33"/>
  <c r="Q418" i="15"/>
  <c r="E371" i="34" s="1"/>
  <c r="F128" i="24"/>
  <c r="F538" i="24"/>
  <c r="H538" i="24" s="1"/>
  <c r="H32" i="33"/>
  <c r="H49" i="33"/>
  <c r="C14" i="17"/>
  <c r="D14" i="17" s="1"/>
  <c r="G16" i="31"/>
  <c r="Q422" i="15"/>
  <c r="E375" i="34" s="1"/>
  <c r="B17" i="17"/>
  <c r="F447" i="24"/>
  <c r="H447" i="24" s="1"/>
  <c r="F409" i="24"/>
  <c r="F129" i="24"/>
  <c r="F53" i="24"/>
  <c r="H53" i="24" s="1"/>
  <c r="F110" i="24"/>
  <c r="H110" i="24" s="1"/>
  <c r="H48" i="33"/>
  <c r="H43" i="33"/>
  <c r="Q337" i="15"/>
  <c r="E301" i="34" s="1"/>
  <c r="Q114" i="15"/>
  <c r="Q209" i="15"/>
  <c r="F167" i="24"/>
  <c r="H167" i="24" s="1"/>
  <c r="F263" i="24"/>
  <c r="H263" i="24" s="1"/>
  <c r="G15" i="31"/>
  <c r="F401" i="24"/>
  <c r="F578" i="24"/>
  <c r="H578" i="24" s="1"/>
  <c r="F558" i="24"/>
  <c r="H558" i="24" s="1"/>
  <c r="F492" i="24"/>
  <c r="H492" i="24" s="1"/>
  <c r="C7" i="17"/>
  <c r="F570" i="24"/>
  <c r="H570" i="24" s="1"/>
  <c r="F525" i="24"/>
  <c r="H525" i="24" s="1"/>
  <c r="F130" i="24"/>
  <c r="F32" i="24"/>
  <c r="H38" i="33"/>
  <c r="H15" i="33"/>
  <c r="E338" i="30"/>
  <c r="J338" i="30" s="1"/>
  <c r="Q336" i="15"/>
  <c r="E300" i="34" s="1"/>
  <c r="Q113" i="15"/>
  <c r="G10" i="31"/>
  <c r="G13" i="31"/>
  <c r="I13" i="31" s="1"/>
  <c r="E340" i="30"/>
  <c r="J340" i="30" s="1"/>
  <c r="C13" i="17"/>
  <c r="D13" i="17" s="1"/>
  <c r="F262" i="24"/>
  <c r="H262" i="24" s="1"/>
  <c r="G11" i="31"/>
  <c r="H51" i="33"/>
  <c r="D11" i="32"/>
  <c r="E11" i="32" s="1"/>
  <c r="L11" i="32" s="1"/>
  <c r="G28" i="31"/>
  <c r="I28" i="31" s="1"/>
  <c r="G8" i="31"/>
  <c r="B8" i="17"/>
  <c r="F312" i="24"/>
  <c r="F550" i="24"/>
  <c r="H550" i="24" s="1"/>
  <c r="F524" i="24"/>
  <c r="H524" i="24" s="1"/>
  <c r="F109" i="24"/>
  <c r="H109" i="24" s="1"/>
  <c r="Q265" i="15"/>
  <c r="E244" i="34" s="1"/>
  <c r="C232" i="30"/>
  <c r="B228" i="15"/>
  <c r="F25" i="31" s="1"/>
  <c r="H46" i="33"/>
  <c r="H39" i="33"/>
  <c r="H45" i="33"/>
  <c r="H20" i="33"/>
  <c r="H112" i="33"/>
  <c r="H24" i="33"/>
  <c r="H110" i="33"/>
  <c r="H30" i="33"/>
  <c r="B225" i="15"/>
  <c r="F22" i="31" s="1"/>
  <c r="F170" i="24"/>
  <c r="H170" i="24" s="1"/>
  <c r="Q407" i="15"/>
  <c r="E365" i="34" s="1"/>
  <c r="E360" i="30"/>
  <c r="J360" i="30" s="1"/>
  <c r="H50" i="33"/>
  <c r="D423" i="24"/>
  <c r="D442" i="24"/>
  <c r="F389" i="24"/>
  <c r="H389" i="24" s="1"/>
  <c r="F400" i="24"/>
  <c r="D6" i="32"/>
  <c r="Q208" i="15"/>
  <c r="H34" i="33"/>
  <c r="E359" i="30"/>
  <c r="H21" i="33"/>
  <c r="E339" i="30"/>
  <c r="F21" i="31"/>
  <c r="E150" i="30"/>
  <c r="Q150" i="30" s="1"/>
  <c r="H19" i="33"/>
  <c r="P200" i="14"/>
  <c r="H36" i="33"/>
  <c r="I59" i="27"/>
  <c r="H37" i="33"/>
  <c r="F251" i="24"/>
  <c r="H251" i="24" s="1"/>
  <c r="H114" i="33"/>
  <c r="E293" i="30"/>
  <c r="Q293" i="30" s="1"/>
  <c r="F520" i="24"/>
  <c r="H520" i="24" s="1"/>
  <c r="H28" i="33"/>
  <c r="E292" i="30"/>
  <c r="Q292" i="30" s="1"/>
  <c r="H18" i="33"/>
  <c r="F519" i="24"/>
  <c r="H519" i="24" s="1"/>
  <c r="F518" i="24"/>
  <c r="H16" i="33"/>
  <c r="E191" i="30"/>
  <c r="Q191" i="30" s="1"/>
  <c r="H23" i="33"/>
  <c r="F39" i="24"/>
  <c r="H14" i="33"/>
  <c r="E252" i="30"/>
  <c r="J252" i="30" s="1"/>
  <c r="J254" i="30" s="1"/>
  <c r="AC254" i="30" s="1"/>
  <c r="AD255" i="30" s="1"/>
  <c r="AD260" i="30" s="1"/>
  <c r="H27" i="33"/>
  <c r="E312" i="30"/>
  <c r="J312" i="30" s="1"/>
  <c r="J314" i="30" s="1"/>
  <c r="AC314" i="30" s="1"/>
  <c r="AD315" i="30" s="1"/>
  <c r="AD320" i="30" s="1"/>
  <c r="H33" i="33"/>
  <c r="F499" i="24"/>
  <c r="H499" i="24" s="1"/>
  <c r="F175" i="24"/>
  <c r="H175" i="24" s="1"/>
  <c r="H29" i="33"/>
  <c r="F156" i="24"/>
  <c r="H156" i="24" s="1"/>
  <c r="H47" i="33"/>
  <c r="E193" i="30"/>
  <c r="G193" i="30" s="1"/>
  <c r="H42" i="33"/>
  <c r="F231" i="24"/>
  <c r="H231" i="24" s="1"/>
  <c r="H25" i="33"/>
  <c r="F232" i="24"/>
  <c r="H232" i="24" s="1"/>
  <c r="H113" i="33"/>
  <c r="H26" i="33"/>
  <c r="E212" i="30"/>
  <c r="Q212" i="30" s="1"/>
  <c r="Q214" i="30" s="1"/>
  <c r="AE214" i="30" s="1"/>
  <c r="H22" i="33"/>
  <c r="F327" i="24"/>
  <c r="H327" i="24" s="1"/>
  <c r="H41" i="33"/>
  <c r="H35" i="33"/>
  <c r="F385" i="24"/>
  <c r="H385" i="24" s="1"/>
  <c r="E272" i="30"/>
  <c r="Q272" i="30" s="1"/>
  <c r="F384" i="24"/>
  <c r="H384" i="24" s="1"/>
  <c r="H17" i="33"/>
  <c r="F500" i="24"/>
  <c r="H500" i="24" s="1"/>
  <c r="H111" i="33"/>
  <c r="F40" i="24"/>
  <c r="H109" i="33"/>
  <c r="Y300" i="15"/>
  <c r="H31" i="33"/>
  <c r="AX114" i="15"/>
  <c r="F250" i="24"/>
  <c r="H250" i="24" s="1"/>
  <c r="Q112" i="15"/>
  <c r="Q51" i="14" s="1"/>
  <c r="F15" i="36" s="1"/>
  <c r="D5" i="32"/>
  <c r="E192" i="30"/>
  <c r="G192" i="30" s="1"/>
  <c r="D383" i="24"/>
  <c r="P204" i="14"/>
  <c r="G7" i="31"/>
  <c r="P130" i="14"/>
  <c r="F493" i="24"/>
  <c r="H493" i="24" s="1"/>
  <c r="Q417" i="15"/>
  <c r="D284" i="24"/>
  <c r="K160" i="24"/>
  <c r="AB300" i="15"/>
  <c r="X300" i="15"/>
  <c r="Q300" i="15"/>
  <c r="AA300" i="15" s="1"/>
  <c r="Z300" i="15"/>
  <c r="Q301" i="15"/>
  <c r="Q216" i="14" s="1"/>
  <c r="P180" i="14"/>
  <c r="C362" i="30"/>
  <c r="Q290" i="15"/>
  <c r="E267" i="34" s="1"/>
  <c r="P201" i="14"/>
  <c r="F442" i="24"/>
  <c r="H442" i="24" s="1"/>
  <c r="P197" i="14"/>
  <c r="F480" i="24"/>
  <c r="H480" i="24" s="1"/>
  <c r="F512" i="24"/>
  <c r="F511" i="24"/>
  <c r="Q243" i="15"/>
  <c r="E214" i="34" s="1"/>
  <c r="P170" i="14"/>
  <c r="Q137" i="15"/>
  <c r="F590" i="24"/>
  <c r="H590" i="24" s="1"/>
  <c r="B398" i="15"/>
  <c r="F155" i="24"/>
  <c r="H155" i="24" s="1"/>
  <c r="B392" i="15"/>
  <c r="D21" i="20"/>
  <c r="P7" i="20" s="1"/>
  <c r="T7" i="20" s="1"/>
  <c r="P25" i="20" s="1"/>
  <c r="P209" i="14"/>
  <c r="G47" i="31"/>
  <c r="I37" i="31"/>
  <c r="G37" i="31"/>
  <c r="F274" i="24"/>
  <c r="H274" i="24" s="1"/>
  <c r="B148" i="15"/>
  <c r="F150" i="30"/>
  <c r="B376" i="15"/>
  <c r="B378" i="15"/>
  <c r="B374" i="15"/>
  <c r="B377" i="15"/>
  <c r="B375" i="15"/>
  <c r="P205" i="14"/>
  <c r="Q371" i="15"/>
  <c r="E109" i="30"/>
  <c r="G109" i="30" s="1"/>
  <c r="D13" i="32"/>
  <c r="E112" i="30"/>
  <c r="D14" i="32"/>
  <c r="E33" i="30"/>
  <c r="I47" i="31"/>
  <c r="E55" i="30"/>
  <c r="D9" i="32"/>
  <c r="E52" i="30"/>
  <c r="G52" i="30" s="1"/>
  <c r="D8" i="32"/>
  <c r="F243" i="24"/>
  <c r="H243" i="24" s="1"/>
  <c r="P139" i="14"/>
  <c r="C50" i="20"/>
  <c r="D4" i="32"/>
  <c r="D473" i="24"/>
  <c r="E37" i="31"/>
  <c r="E151" i="30"/>
  <c r="D16" i="32"/>
  <c r="E16" i="32" s="1"/>
  <c r="L16" i="32" s="1"/>
  <c r="F23" i="31"/>
  <c r="D630" i="24"/>
  <c r="I50" i="27"/>
  <c r="C12" i="17"/>
  <c r="D49" i="20"/>
  <c r="P47" i="14"/>
  <c r="P199" i="14"/>
  <c r="C8" i="17"/>
  <c r="D8" i="17" s="1"/>
  <c r="P48" i="14"/>
  <c r="C17" i="17"/>
  <c r="D17" i="17" s="1"/>
  <c r="P117" i="14"/>
  <c r="E128" i="30"/>
  <c r="E30" i="31"/>
  <c r="B18" i="17"/>
  <c r="C16" i="17"/>
  <c r="D16" i="17" s="1"/>
  <c r="Q126" i="15"/>
  <c r="P196" i="14"/>
  <c r="F71" i="30"/>
  <c r="E71" i="30"/>
  <c r="Q125" i="15"/>
  <c r="E95" i="34" s="1"/>
  <c r="Q163" i="15"/>
  <c r="F598" i="24"/>
  <c r="H598" i="24" s="1"/>
  <c r="P202" i="14"/>
  <c r="E173" i="30"/>
  <c r="C9" i="17"/>
  <c r="D9" i="17" s="1"/>
  <c r="E26" i="30"/>
  <c r="Q136" i="15"/>
  <c r="F428" i="24"/>
  <c r="H428" i="24" s="1"/>
  <c r="P198" i="14"/>
  <c r="E273" i="30"/>
  <c r="P158" i="14"/>
  <c r="E232" i="30"/>
  <c r="Q200" i="15"/>
  <c r="E34" i="30"/>
  <c r="F90" i="30"/>
  <c r="E90" i="30"/>
  <c r="E27" i="30"/>
  <c r="G27" i="30" s="1"/>
  <c r="Q123" i="15"/>
  <c r="Q55" i="14" s="1"/>
  <c r="F17" i="36" s="1"/>
  <c r="F610" i="24"/>
  <c r="H610" i="24" s="1"/>
  <c r="Q134" i="15"/>
  <c r="F198" i="24"/>
  <c r="H198" i="24" s="1"/>
  <c r="D52" i="20"/>
  <c r="P122" i="14"/>
  <c r="D51" i="20"/>
  <c r="Q107" i="15"/>
  <c r="E57" i="34" s="1"/>
  <c r="D50" i="20"/>
  <c r="F345" i="24"/>
  <c r="H345" i="24" s="1"/>
  <c r="Q7" i="20"/>
  <c r="Q25" i="20" s="1"/>
  <c r="G15" i="25"/>
  <c r="P63" i="14"/>
  <c r="P61" i="14"/>
  <c r="Q202" i="15"/>
  <c r="P124" i="14"/>
  <c r="I26" i="27"/>
  <c r="F35" i="31"/>
  <c r="Q201" i="15"/>
  <c r="E182" i="34" s="1"/>
  <c r="Q203" i="15"/>
  <c r="E184" i="34" s="1"/>
  <c r="Q204" i="15"/>
  <c r="F186" i="24"/>
  <c r="H186" i="24" s="1"/>
  <c r="D19" i="25"/>
  <c r="D58" i="20"/>
  <c r="Q14" i="20" s="1"/>
  <c r="G21" i="25"/>
  <c r="E442" i="34" s="1"/>
  <c r="G26" i="25"/>
  <c r="H26" i="25" s="1"/>
  <c r="D68" i="10"/>
  <c r="D36" i="20"/>
  <c r="P10" i="20" s="1"/>
  <c r="P172" i="14"/>
  <c r="P171" i="14"/>
  <c r="F270" i="24"/>
  <c r="H270" i="24" s="1"/>
  <c r="F189" i="24"/>
  <c r="H189" i="24" s="1"/>
  <c r="F190" i="24"/>
  <c r="H190" i="24" s="1"/>
  <c r="Q236" i="15"/>
  <c r="E209" i="34" s="1"/>
  <c r="I40" i="27"/>
  <c r="B241" i="15"/>
  <c r="F34" i="31" s="1"/>
  <c r="I39" i="27"/>
  <c r="Q184" i="15"/>
  <c r="F454" i="24"/>
  <c r="H454" i="24" s="1"/>
  <c r="D22" i="25"/>
  <c r="D443" i="34" s="1"/>
  <c r="I24" i="27"/>
  <c r="G23" i="25"/>
  <c r="E444" i="34" s="1"/>
  <c r="D13" i="25"/>
  <c r="I32" i="27"/>
  <c r="D37" i="20"/>
  <c r="Q10" i="20" s="1"/>
  <c r="F269" i="24"/>
  <c r="H269" i="24" s="1"/>
  <c r="F174" i="24"/>
  <c r="H174" i="24" s="1"/>
  <c r="I46" i="27"/>
  <c r="P114" i="14"/>
  <c r="I34" i="27"/>
  <c r="F436" i="24"/>
  <c r="H436" i="24" s="1"/>
  <c r="I36" i="27"/>
  <c r="D21" i="25"/>
  <c r="G25" i="25"/>
  <c r="E446" i="34" s="1"/>
  <c r="P188" i="14"/>
  <c r="P45" i="14"/>
  <c r="D57" i="20"/>
  <c r="D18" i="25"/>
  <c r="G18" i="25"/>
  <c r="E439" i="34" s="1"/>
  <c r="P111" i="14"/>
  <c r="F148" i="24"/>
  <c r="H148" i="24" s="1"/>
  <c r="D23" i="25"/>
  <c r="I28" i="27"/>
  <c r="G24" i="25"/>
  <c r="E445" i="34" s="1"/>
  <c r="P81" i="14"/>
  <c r="D43" i="20"/>
  <c r="Q329" i="15"/>
  <c r="Q423" i="15"/>
  <c r="F457" i="24"/>
  <c r="H457" i="24" s="1"/>
  <c r="D24" i="25"/>
  <c r="D445" i="34" s="1"/>
  <c r="D27" i="25"/>
  <c r="F396" i="24"/>
  <c r="D25" i="25"/>
  <c r="D446" i="34" s="1"/>
  <c r="G22" i="25"/>
  <c r="E443" i="34" s="1"/>
  <c r="F303" i="24"/>
  <c r="H303" i="24" s="1"/>
  <c r="Q323" i="15"/>
  <c r="E292" i="34" s="1"/>
  <c r="F205" i="24"/>
  <c r="H205" i="24" s="1"/>
  <c r="G27" i="25"/>
  <c r="G19" i="25"/>
  <c r="E440" i="34" s="1"/>
  <c r="P186" i="14"/>
  <c r="P165" i="14"/>
  <c r="F289" i="24"/>
  <c r="H289" i="24" s="1"/>
  <c r="P151" i="14"/>
  <c r="D14" i="20"/>
  <c r="Q6" i="20" s="1"/>
  <c r="Q24" i="20" s="1"/>
  <c r="F399" i="24"/>
  <c r="H399" i="24" s="1"/>
  <c r="F322" i="24"/>
  <c r="H322" i="24" s="1"/>
  <c r="D30" i="20"/>
  <c r="Q154" i="15"/>
  <c r="P146" i="14"/>
  <c r="I42" i="27"/>
  <c r="Q219" i="15"/>
  <c r="F116" i="24"/>
  <c r="H116" i="24" s="1"/>
  <c r="D26" i="25"/>
  <c r="F435" i="24"/>
  <c r="H435" i="24" s="1"/>
  <c r="Q41" i="14"/>
  <c r="Q32" i="14"/>
  <c r="J16" i="27"/>
  <c r="Q31" i="14"/>
  <c r="J15" i="27"/>
  <c r="Q29" i="14"/>
  <c r="J13" i="27"/>
  <c r="Q43" i="14"/>
  <c r="Q42" i="14"/>
  <c r="Q44" i="14"/>
  <c r="G20" i="25"/>
  <c r="E441" i="34" s="1"/>
  <c r="D20" i="25"/>
  <c r="D441" i="34" s="1"/>
  <c r="D416" i="24"/>
  <c r="C21" i="25"/>
  <c r="C66" i="10"/>
  <c r="C35" i="20"/>
  <c r="Q250" i="15"/>
  <c r="E221" i="34" s="1"/>
  <c r="P145" i="14"/>
  <c r="Q183" i="15"/>
  <c r="E164" i="34" s="1"/>
  <c r="Q244" i="15"/>
  <c r="E215" i="34" s="1"/>
  <c r="P57" i="14"/>
  <c r="G13" i="25"/>
  <c r="E434" i="34" s="1"/>
  <c r="P98" i="14"/>
  <c r="Q206" i="15"/>
  <c r="E187" i="34" s="1"/>
  <c r="AT11" i="25"/>
  <c r="F300" i="24"/>
  <c r="P97" i="14"/>
  <c r="P64" i="14"/>
  <c r="G14" i="25"/>
  <c r="E435" i="34" s="1"/>
  <c r="Q207" i="15"/>
  <c r="E188" i="34" s="1"/>
  <c r="D14" i="25"/>
  <c r="D525" i="24"/>
  <c r="P69" i="14"/>
  <c r="P185" i="14"/>
  <c r="F404" i="24"/>
  <c r="H404" i="24" s="1"/>
  <c r="F461" i="24"/>
  <c r="H461" i="24" s="1"/>
  <c r="P176" i="14"/>
  <c r="F288" i="24"/>
  <c r="H288" i="24" s="1"/>
  <c r="P178" i="14"/>
  <c r="F326" i="24"/>
  <c r="H326" i="24" s="1"/>
  <c r="F284" i="24"/>
  <c r="H284" i="24" s="1"/>
  <c r="Q234" i="15"/>
  <c r="E207" i="34" s="1"/>
  <c r="F474" i="24"/>
  <c r="H474" i="24" s="1"/>
  <c r="P183" i="14"/>
  <c r="F364" i="24"/>
  <c r="H364" i="24" s="1"/>
  <c r="P194" i="14"/>
  <c r="F307" i="24"/>
  <c r="H307" i="24" s="1"/>
  <c r="P70" i="14"/>
  <c r="F281" i="24"/>
  <c r="H281" i="24" s="1"/>
  <c r="B16" i="17"/>
  <c r="F319" i="24"/>
  <c r="H319" i="24" s="1"/>
  <c r="P65" i="14"/>
  <c r="F423" i="24"/>
  <c r="H423" i="24" s="1"/>
  <c r="P187" i="14"/>
  <c r="F383" i="24"/>
  <c r="H383" i="24" s="1"/>
  <c r="Q245" i="15"/>
  <c r="E216" i="34" s="1"/>
  <c r="F357" i="24"/>
  <c r="H357" i="24" s="1"/>
  <c r="Q246" i="15"/>
  <c r="F376" i="24"/>
  <c r="H376" i="24" s="1"/>
  <c r="Q249" i="15"/>
  <c r="E220" i="34" s="1"/>
  <c r="F416" i="24"/>
  <c r="H416" i="24" s="1"/>
  <c r="P68" i="14"/>
  <c r="P110" i="14"/>
  <c r="F282" i="24"/>
  <c r="H282" i="24" s="1"/>
  <c r="P116" i="14"/>
  <c r="F320" i="24"/>
  <c r="H320" i="24" s="1"/>
  <c r="Q217" i="15"/>
  <c r="F338" i="24"/>
  <c r="H338" i="24" s="1"/>
  <c r="F473" i="24"/>
  <c r="H473" i="24" s="1"/>
  <c r="P96" i="14"/>
  <c r="P56" i="14"/>
  <c r="Q414" i="15"/>
  <c r="E367" i="34" s="1"/>
  <c r="F265" i="24"/>
  <c r="H265" i="24" s="1"/>
  <c r="P224" i="14"/>
  <c r="F208" i="24"/>
  <c r="H208" i="24" s="1"/>
  <c r="P168" i="14"/>
  <c r="F212" i="24"/>
  <c r="H212" i="24" s="1"/>
  <c r="P189" i="14"/>
  <c r="Q406" i="15"/>
  <c r="F93" i="24"/>
  <c r="H93" i="24" s="1"/>
  <c r="F59" i="24"/>
  <c r="H59" i="24" s="1"/>
  <c r="P163" i="14"/>
  <c r="F97" i="24"/>
  <c r="H97" i="24" s="1"/>
  <c r="Q247" i="15"/>
  <c r="E218" i="34" s="1"/>
  <c r="F206" i="24"/>
  <c r="H206" i="24" s="1"/>
  <c r="F224" i="24"/>
  <c r="H224" i="24" s="1"/>
  <c r="B15" i="17"/>
  <c r="P90" i="14"/>
  <c r="D110" i="24"/>
  <c r="P181" i="14"/>
  <c r="D40" i="24"/>
  <c r="Q287" i="15"/>
  <c r="E264" i="34" s="1"/>
  <c r="D129" i="24"/>
  <c r="D97" i="24"/>
  <c r="F78" i="24"/>
  <c r="H78" i="24" s="1"/>
  <c r="F136" i="24"/>
  <c r="H136" i="24" s="1"/>
  <c r="Q172" i="15"/>
  <c r="P190" i="14"/>
  <c r="F193" i="24"/>
  <c r="H193" i="24" s="1"/>
  <c r="P60" i="14"/>
  <c r="P175" i="14"/>
  <c r="D281" i="24"/>
  <c r="D116" i="24"/>
  <c r="P184" i="14"/>
  <c r="Q305" i="15"/>
  <c r="G396" i="24"/>
  <c r="P112" i="14"/>
  <c r="P82" i="14"/>
  <c r="D67" i="10"/>
  <c r="P193" i="14"/>
  <c r="P230" i="14"/>
  <c r="Q157" i="15"/>
  <c r="E122" i="34" s="1"/>
  <c r="P75" i="14"/>
  <c r="Q156" i="15"/>
  <c r="P74" i="14"/>
  <c r="P195" i="14"/>
  <c r="C313" i="30"/>
  <c r="P169" i="14"/>
  <c r="D232" i="24"/>
  <c r="P95" i="14"/>
  <c r="Q220" i="15"/>
  <c r="E198" i="34" s="1"/>
  <c r="F20" i="31"/>
  <c r="F26" i="31"/>
  <c r="F24" i="31"/>
  <c r="D156" i="24"/>
  <c r="B13" i="17"/>
  <c r="B14" i="17"/>
  <c r="D270" i="24"/>
  <c r="B240" i="15"/>
  <c r="F33" i="31" s="1"/>
  <c r="D512" i="24"/>
  <c r="B7" i="17"/>
  <c r="E19" i="31"/>
  <c r="D288" i="24"/>
  <c r="D500" i="24"/>
  <c r="D263" i="24"/>
  <c r="C21" i="20"/>
  <c r="B22" i="32"/>
  <c r="D289" i="24"/>
  <c r="D78" i="24"/>
  <c r="D357" i="24"/>
  <c r="P222" i="14"/>
  <c r="Q415" i="15"/>
  <c r="E368" i="34" s="1"/>
  <c r="P234" i="14"/>
  <c r="Q426" i="15"/>
  <c r="E379" i="34" s="1"/>
  <c r="P156" i="14"/>
  <c r="Q235" i="15"/>
  <c r="E208" i="34" s="1"/>
  <c r="Q218" i="15"/>
  <c r="E196" i="34" s="1"/>
  <c r="Q216" i="15"/>
  <c r="E194" i="34" s="1"/>
  <c r="Q205" i="15"/>
  <c r="E186" i="34" s="1"/>
  <c r="P119" i="14"/>
  <c r="D74" i="10"/>
  <c r="Q106" i="15"/>
  <c r="E56" i="34" s="1"/>
  <c r="Q347" i="15"/>
  <c r="E308" i="34" s="1"/>
  <c r="Q344" i="15"/>
  <c r="E306" i="34" s="1"/>
  <c r="Q343" i="15"/>
  <c r="E305" i="34" s="1"/>
  <c r="Q341" i="15"/>
  <c r="E303" i="34" s="1"/>
  <c r="P86" i="14"/>
  <c r="P115" i="14"/>
  <c r="Q345" i="15"/>
  <c r="E307" i="34" s="1"/>
  <c r="Q342" i="15"/>
  <c r="E304" i="34" s="1"/>
  <c r="P107" i="14"/>
  <c r="D53" i="24"/>
  <c r="P100" i="14"/>
  <c r="Q351" i="15"/>
  <c r="E310" i="34" s="1"/>
  <c r="Q364" i="15"/>
  <c r="E317" i="34" s="1"/>
  <c r="Q366" i="15"/>
  <c r="E318" i="34" s="1"/>
  <c r="Q360" i="15"/>
  <c r="E315" i="34" s="1"/>
  <c r="Q357" i="15"/>
  <c r="E312" i="34" s="1"/>
  <c r="Q362" i="15"/>
  <c r="E316" i="34" s="1"/>
  <c r="Q358" i="15"/>
  <c r="E313" i="34" s="1"/>
  <c r="Q359" i="15"/>
  <c r="E314" i="34" s="1"/>
  <c r="Q356" i="15"/>
  <c r="E311" i="34" s="1"/>
  <c r="D130" i="24"/>
  <c r="B239" i="15"/>
  <c r="F32" i="31" s="1"/>
  <c r="P125" i="14"/>
  <c r="B213" i="15"/>
  <c r="B214" i="15"/>
  <c r="P103" i="14"/>
  <c r="P101" i="14"/>
  <c r="P118" i="14"/>
  <c r="P102" i="14"/>
  <c r="Q306" i="15"/>
  <c r="Q296" i="15"/>
  <c r="Q285" i="15"/>
  <c r="Q320" i="15"/>
  <c r="E289" i="34" s="1"/>
  <c r="Q307" i="15"/>
  <c r="E282" i="34" s="1"/>
  <c r="Q289" i="15"/>
  <c r="E266" i="34" s="1"/>
  <c r="Q199" i="15"/>
  <c r="E180" i="34" s="1"/>
  <c r="Q328" i="15"/>
  <c r="Q271" i="15"/>
  <c r="Q310" i="15"/>
  <c r="Q299" i="15"/>
  <c r="Q288" i="15"/>
  <c r="Q180" i="15"/>
  <c r="E161" i="34" s="1"/>
  <c r="Q151" i="15"/>
  <c r="E117" i="34" s="1"/>
  <c r="Q326" i="15"/>
  <c r="Q327" i="15"/>
  <c r="E296" i="34" s="1"/>
  <c r="Q181" i="15"/>
  <c r="Q140" i="15"/>
  <c r="Q193" i="15"/>
  <c r="Q176" i="15"/>
  <c r="P179" i="14"/>
  <c r="P127" i="14"/>
  <c r="P72" i="14"/>
  <c r="Q182" i="15"/>
  <c r="E163" i="34" s="1"/>
  <c r="Q149" i="15"/>
  <c r="Q197" i="15"/>
  <c r="E178" i="34" s="1"/>
  <c r="Q416" i="15"/>
  <c r="E369" i="34" s="1"/>
  <c r="P140" i="14"/>
  <c r="Q424" i="15"/>
  <c r="P232" i="14"/>
  <c r="P231" i="14"/>
  <c r="Q280" i="15"/>
  <c r="Q270" i="15"/>
  <c r="P157" i="14"/>
  <c r="Q325" i="15"/>
  <c r="E294" i="34" s="1"/>
  <c r="P131" i="14"/>
  <c r="P105" i="14"/>
  <c r="Q174" i="15"/>
  <c r="P88" i="14"/>
  <c r="P144" i="14"/>
  <c r="Q190" i="15"/>
  <c r="P104" i="14"/>
  <c r="P87" i="14"/>
  <c r="P121" i="14"/>
  <c r="Q171" i="15"/>
  <c r="P85" i="14"/>
  <c r="P120" i="14"/>
  <c r="Q298" i="15"/>
  <c r="P177" i="14"/>
  <c r="Q303" i="15"/>
  <c r="E278" i="34" s="1"/>
  <c r="P182" i="14"/>
  <c r="Q284" i="15"/>
  <c r="P167" i="14"/>
  <c r="D46" i="10"/>
  <c r="P223" i="14"/>
  <c r="P225" i="14"/>
  <c r="Q267" i="15"/>
  <c r="E245" i="34" s="1"/>
  <c r="P154" i="14"/>
  <c r="Q308" i="15"/>
  <c r="Q188" i="15"/>
  <c r="E169" i="34" s="1"/>
  <c r="Q155" i="15"/>
  <c r="P73" i="14"/>
  <c r="P135" i="14"/>
  <c r="Q185" i="15"/>
  <c r="E166" i="34" s="1"/>
  <c r="P99" i="14"/>
  <c r="Q170" i="15"/>
  <c r="E151" i="34" s="1"/>
  <c r="P84" i="14"/>
  <c r="P113" i="14"/>
  <c r="P153" i="14"/>
  <c r="P191" i="14"/>
  <c r="Q283" i="15"/>
  <c r="E260" i="34" s="1"/>
  <c r="P166" i="14"/>
  <c r="P217" i="14"/>
  <c r="P220" i="14"/>
  <c r="P219" i="14"/>
  <c r="Q405" i="15"/>
  <c r="E363" i="34" s="1"/>
  <c r="P218" i="14"/>
  <c r="Q279" i="15"/>
  <c r="P162" i="14"/>
  <c r="Q281" i="15"/>
  <c r="P164" i="14"/>
  <c r="Q286" i="15"/>
  <c r="E263" i="34" s="1"/>
  <c r="Q138" i="15"/>
  <c r="Q304" i="15"/>
  <c r="Q150" i="15"/>
  <c r="Q282" i="15"/>
  <c r="E259" i="34" s="1"/>
  <c r="Q309" i="15"/>
  <c r="E284" i="34" s="1"/>
  <c r="P141" i="14"/>
  <c r="P136" i="14"/>
  <c r="P129" i="14"/>
  <c r="P94" i="14"/>
  <c r="P128" i="14"/>
  <c r="Q179" i="15"/>
  <c r="P93" i="14"/>
  <c r="P173" i="14"/>
  <c r="D47" i="10"/>
  <c r="J45" i="10" s="1"/>
  <c r="Q425" i="15"/>
  <c r="E378" i="34" s="1"/>
  <c r="P233" i="14"/>
  <c r="Q297" i="15"/>
  <c r="Q139" i="15"/>
  <c r="Q312" i="15"/>
  <c r="E287" i="34" s="1"/>
  <c r="Q311" i="15"/>
  <c r="E286" i="34" s="1"/>
  <c r="Q124" i="15"/>
  <c r="Q189" i="15"/>
  <c r="E170" i="34" s="1"/>
  <c r="Q187" i="15"/>
  <c r="E168" i="34" s="1"/>
  <c r="Q196" i="15"/>
  <c r="E177" i="34" s="1"/>
  <c r="Q324" i="15"/>
  <c r="E293" i="34" s="1"/>
  <c r="Q105" i="15"/>
  <c r="E55" i="34" s="1"/>
  <c r="P46" i="14"/>
  <c r="Q321" i="15"/>
  <c r="E290" i="34" s="1"/>
  <c r="P137" i="14"/>
  <c r="P109" i="14"/>
  <c r="Q178" i="15"/>
  <c r="AE178" i="15" s="1"/>
  <c r="P92" i="14"/>
  <c r="Q194" i="15"/>
  <c r="P108" i="14"/>
  <c r="Q177" i="15"/>
  <c r="E158" i="34" s="1"/>
  <c r="P91" i="14"/>
  <c r="P58" i="14"/>
  <c r="P143" i="14"/>
  <c r="P66" i="14"/>
  <c r="P142" i="14"/>
  <c r="Q192" i="15"/>
  <c r="P106" i="14"/>
  <c r="P89" i="14"/>
  <c r="P62" i="14"/>
  <c r="P226" i="14"/>
  <c r="Q421" i="15"/>
  <c r="E374" i="34" s="1"/>
  <c r="P229" i="14"/>
  <c r="Q420" i="15"/>
  <c r="E373" i="34" s="1"/>
  <c r="P228" i="14"/>
  <c r="Q419" i="15"/>
  <c r="E372" i="34" s="1"/>
  <c r="P227" i="14"/>
  <c r="D61" i="10"/>
  <c r="D62" i="10" s="1"/>
  <c r="P152" i="14"/>
  <c r="Q269" i="15"/>
  <c r="Q272" i="15"/>
  <c r="P159" i="14"/>
  <c r="Q278" i="15"/>
  <c r="P161" i="14"/>
  <c r="Q268" i="15"/>
  <c r="E246" i="34" s="1"/>
  <c r="P155" i="14"/>
  <c r="Q322" i="15"/>
  <c r="D55" i="10"/>
  <c r="D80" i="10"/>
  <c r="D81" i="10"/>
  <c r="D75" i="10"/>
  <c r="Q263" i="15"/>
  <c r="E242" i="34" s="1"/>
  <c r="D41" i="10"/>
  <c r="D35" i="10"/>
  <c r="Q264" i="15"/>
  <c r="E243" i="34" s="1"/>
  <c r="Q186" i="15"/>
  <c r="E167" i="34" s="1"/>
  <c r="Q195" i="15"/>
  <c r="E176" i="34" s="1"/>
  <c r="Q175" i="15"/>
  <c r="Q173" i="15"/>
  <c r="Q191" i="15"/>
  <c r="E172" i="34" s="1"/>
  <c r="Q104" i="15"/>
  <c r="E54" i="34" s="1"/>
  <c r="Q302" i="15"/>
  <c r="I108" i="33" s="1"/>
  <c r="T10" i="20" l="1"/>
  <c r="P23" i="20" s="1"/>
  <c r="V300" i="15"/>
  <c r="AQ300" i="15" s="1"/>
  <c r="AT639" i="24"/>
  <c r="C21" i="17"/>
  <c r="I428" i="34" s="1"/>
  <c r="D516" i="24"/>
  <c r="AV191" i="24"/>
  <c r="AV639" i="24" s="1"/>
  <c r="AU191" i="24"/>
  <c r="AU639" i="24" s="1"/>
  <c r="AS639" i="24"/>
  <c r="AR191" i="24"/>
  <c r="AR639" i="24" s="1"/>
  <c r="AN160" i="24"/>
  <c r="AN162" i="24" s="1"/>
  <c r="H162" i="24"/>
  <c r="AQ162" i="24"/>
  <c r="AR162" i="24"/>
  <c r="R624" i="24"/>
  <c r="AF624" i="24" s="1"/>
  <c r="AO620" i="24"/>
  <c r="AO624" i="24"/>
  <c r="AS624" i="24"/>
  <c r="AT624" i="24"/>
  <c r="AT632" i="24"/>
  <c r="AO630" i="24"/>
  <c r="AO632" i="24" s="1"/>
  <c r="AS632" i="24"/>
  <c r="AQ191" i="24"/>
  <c r="AQ639" i="24" s="1"/>
  <c r="AR632" i="24"/>
  <c r="U624" i="24"/>
  <c r="AH624" i="24" s="1"/>
  <c r="AP620" i="24"/>
  <c r="AP624" i="24"/>
  <c r="AU624" i="24"/>
  <c r="AU396" i="24"/>
  <c r="AU398" i="24" s="1"/>
  <c r="AT396" i="24"/>
  <c r="AT398" i="24" s="1"/>
  <c r="AS396" i="24"/>
  <c r="AS398" i="24" s="1"/>
  <c r="AV396" i="24"/>
  <c r="AV398" i="24" s="1"/>
  <c r="AP630" i="24"/>
  <c r="AP632" i="24" s="1"/>
  <c r="AU632" i="24"/>
  <c r="K624" i="24"/>
  <c r="L628" i="24" s="1"/>
  <c r="AN624" i="24"/>
  <c r="AN620" i="24"/>
  <c r="AQ624" i="24"/>
  <c r="AR624" i="24"/>
  <c r="H624" i="24"/>
  <c r="AR321" i="24"/>
  <c r="AN630" i="24"/>
  <c r="AN632" i="24" s="1"/>
  <c r="AQ632" i="24"/>
  <c r="R632" i="24"/>
  <c r="AF632" i="24" s="1"/>
  <c r="AV632" i="24"/>
  <c r="K500" i="24"/>
  <c r="AN500" i="24" s="1"/>
  <c r="R232" i="24"/>
  <c r="AO232" i="24" s="1"/>
  <c r="K175" i="24"/>
  <c r="AN175" i="24" s="1"/>
  <c r="U170" i="24"/>
  <c r="AP170" i="24" s="1"/>
  <c r="R312" i="24"/>
  <c r="U570" i="24"/>
  <c r="U572" i="24" s="1"/>
  <c r="AH572" i="24" s="1"/>
  <c r="K578" i="24"/>
  <c r="R167" i="24"/>
  <c r="AO167" i="24" s="1"/>
  <c r="K129" i="24"/>
  <c r="AN129" i="24" s="1"/>
  <c r="H129" i="24"/>
  <c r="R250" i="24"/>
  <c r="K499" i="24"/>
  <c r="U400" i="24"/>
  <c r="H400" i="24"/>
  <c r="U109" i="24"/>
  <c r="AP109" i="24" s="1"/>
  <c r="K401" i="24"/>
  <c r="AN401" i="24" s="1"/>
  <c r="H401" i="24"/>
  <c r="U409" i="24"/>
  <c r="H409" i="24"/>
  <c r="U538" i="24"/>
  <c r="AP538" i="24" s="1"/>
  <c r="K246" i="24"/>
  <c r="H248" i="24" s="1"/>
  <c r="H396" i="24"/>
  <c r="K231" i="24"/>
  <c r="R156" i="24"/>
  <c r="AO156" i="24" s="1"/>
  <c r="R389" i="24"/>
  <c r="R524" i="24"/>
  <c r="R130" i="24"/>
  <c r="AO130" i="24" s="1"/>
  <c r="H130" i="24"/>
  <c r="K492" i="24"/>
  <c r="R110" i="24"/>
  <c r="AO110" i="24" s="1"/>
  <c r="K447" i="24"/>
  <c r="R128" i="24"/>
  <c r="AO128" i="24" s="1"/>
  <c r="H128" i="24"/>
  <c r="R52" i="24"/>
  <c r="AO52" i="24" s="1"/>
  <c r="K579" i="24"/>
  <c r="AN579" i="24" s="1"/>
  <c r="K59" i="24"/>
  <c r="K61" i="24" s="1"/>
  <c r="AD61" i="24" s="1"/>
  <c r="R327" i="24"/>
  <c r="AO327" i="24" s="1"/>
  <c r="K518" i="24"/>
  <c r="H518" i="24"/>
  <c r="K251" i="24"/>
  <c r="AN251" i="24" s="1"/>
  <c r="U262" i="24"/>
  <c r="AP262" i="24" s="1"/>
  <c r="R525" i="24"/>
  <c r="AO525" i="24" s="1"/>
  <c r="R558" i="24"/>
  <c r="AO558" i="24" s="1"/>
  <c r="K263" i="24"/>
  <c r="AN263" i="24" s="1"/>
  <c r="K53" i="24"/>
  <c r="AN53" i="24" s="1"/>
  <c r="K504" i="24"/>
  <c r="H506" i="24" s="1"/>
  <c r="K32" i="24"/>
  <c r="H32" i="24"/>
  <c r="R40" i="24"/>
  <c r="H40" i="24"/>
  <c r="R39" i="24"/>
  <c r="H39" i="24"/>
  <c r="U632" i="24"/>
  <c r="AH632" i="24" s="1"/>
  <c r="K632" i="24"/>
  <c r="AD632" i="24" s="1"/>
  <c r="AC422" i="15"/>
  <c r="J15" i="36"/>
  <c r="I15" i="36" s="1"/>
  <c r="U312" i="24"/>
  <c r="E85" i="34"/>
  <c r="Q52" i="14"/>
  <c r="F16" i="36" s="1"/>
  <c r="J16" i="36" s="1"/>
  <c r="I16" i="36" s="1"/>
  <c r="E147" i="34"/>
  <c r="Q80" i="14"/>
  <c r="D17" i="36" s="1"/>
  <c r="E190" i="34"/>
  <c r="Q123" i="14"/>
  <c r="D57" i="36" s="1"/>
  <c r="J57" i="36" s="1"/>
  <c r="I57" i="36" s="1"/>
  <c r="E86" i="34"/>
  <c r="Q53" i="14"/>
  <c r="F26" i="36" s="1"/>
  <c r="J26" i="36" s="1"/>
  <c r="I26" i="36" s="1"/>
  <c r="R25" i="20"/>
  <c r="E563" i="34" s="1"/>
  <c r="AT27" i="25"/>
  <c r="D442" i="34"/>
  <c r="AT15" i="25"/>
  <c r="D440" i="34"/>
  <c r="AT18" i="25"/>
  <c r="D444" i="34"/>
  <c r="AT14" i="25"/>
  <c r="D439" i="34"/>
  <c r="H15" i="25"/>
  <c r="E436" i="34"/>
  <c r="M13" i="25"/>
  <c r="D434" i="34"/>
  <c r="E14" i="25"/>
  <c r="D435" i="34"/>
  <c r="M15" i="25"/>
  <c r="E15" i="25"/>
  <c r="K15" i="25"/>
  <c r="F436" i="34" s="1"/>
  <c r="Q13" i="20"/>
  <c r="Q22" i="20" s="1"/>
  <c r="E31" i="20"/>
  <c r="R9" i="20" s="1"/>
  <c r="Q9" i="20"/>
  <c r="E44" i="20"/>
  <c r="R11" i="20" s="1"/>
  <c r="Q11" i="20"/>
  <c r="P14" i="20"/>
  <c r="T14" i="20" s="1"/>
  <c r="E59" i="20"/>
  <c r="R14" i="20" s="1"/>
  <c r="E53" i="20"/>
  <c r="R13" i="20" s="1"/>
  <c r="P13" i="20"/>
  <c r="T13" i="20" s="1"/>
  <c r="E38" i="20"/>
  <c r="R10" i="20" s="1"/>
  <c r="E23" i="20"/>
  <c r="R7" i="20" s="1"/>
  <c r="D561" i="34"/>
  <c r="K389" i="24"/>
  <c r="K409" i="24"/>
  <c r="K525" i="24"/>
  <c r="AN525" i="24" s="1"/>
  <c r="G150" i="30"/>
  <c r="U110" i="24"/>
  <c r="AP110" i="24" s="1"/>
  <c r="R579" i="24"/>
  <c r="AO579" i="24" s="1"/>
  <c r="R409" i="24"/>
  <c r="U52" i="24"/>
  <c r="AP52" i="24" s="1"/>
  <c r="R447" i="24"/>
  <c r="R246" i="24"/>
  <c r="AO246" i="24" s="1"/>
  <c r="I10" i="31"/>
  <c r="R538" i="24"/>
  <c r="AO538" i="24" s="1"/>
  <c r="AC300" i="15"/>
  <c r="K570" i="24"/>
  <c r="Z422" i="15"/>
  <c r="U167" i="24"/>
  <c r="AP167" i="24" s="1"/>
  <c r="R53" i="24"/>
  <c r="AO53" i="24" s="1"/>
  <c r="V221" i="15"/>
  <c r="F199" i="34" s="1"/>
  <c r="U504" i="24"/>
  <c r="K170" i="24"/>
  <c r="AN170" i="24" s="1"/>
  <c r="AA221" i="15"/>
  <c r="AB221" i="15"/>
  <c r="R263" i="24"/>
  <c r="AO263" i="24" s="1"/>
  <c r="R504" i="24"/>
  <c r="Y221" i="15"/>
  <c r="Z221" i="15"/>
  <c r="AC221" i="15"/>
  <c r="X221" i="15"/>
  <c r="U525" i="24"/>
  <c r="AP525" i="24" s="1"/>
  <c r="AY269" i="15"/>
  <c r="AU269" i="15"/>
  <c r="AX269" i="15"/>
  <c r="AS269" i="15"/>
  <c r="AZ269" i="15"/>
  <c r="AW269" i="15"/>
  <c r="AV269" i="15"/>
  <c r="E248" i="34"/>
  <c r="AZ270" i="15"/>
  <c r="AV270" i="15"/>
  <c r="AY270" i="15"/>
  <c r="AU270" i="15"/>
  <c r="AX270" i="15"/>
  <c r="AS270" i="15"/>
  <c r="AW270" i="15"/>
  <c r="AW271" i="15"/>
  <c r="AS271" i="15"/>
  <c r="AZ271" i="15"/>
  <c r="AV271" i="15"/>
  <c r="AY271" i="15"/>
  <c r="AU271" i="15"/>
  <c r="AX271" i="15"/>
  <c r="E249" i="34"/>
  <c r="J108" i="33"/>
  <c r="L108" i="33"/>
  <c r="K108" i="33"/>
  <c r="U32" i="24"/>
  <c r="AP32" i="24" s="1"/>
  <c r="K538" i="24"/>
  <c r="R32" i="24"/>
  <c r="F31" i="31"/>
  <c r="B210" i="34"/>
  <c r="B211" i="34" s="1"/>
  <c r="B212" i="34" s="1"/>
  <c r="B213" i="34" s="1"/>
  <c r="K558" i="24"/>
  <c r="U558" i="24"/>
  <c r="AP558" i="24" s="1"/>
  <c r="R578" i="24"/>
  <c r="AO578" i="24" s="1"/>
  <c r="U263" i="24"/>
  <c r="AP263" i="24" s="1"/>
  <c r="M55" i="31"/>
  <c r="Y407" i="15"/>
  <c r="K262" i="24"/>
  <c r="K52" i="24"/>
  <c r="R492" i="24"/>
  <c r="AO492" i="24" s="1"/>
  <c r="U447" i="24"/>
  <c r="U579" i="24"/>
  <c r="AP579" i="24" s="1"/>
  <c r="K110" i="24"/>
  <c r="AN110" i="24" s="1"/>
  <c r="R262" i="24"/>
  <c r="AO262" i="24" s="1"/>
  <c r="U492" i="24"/>
  <c r="AP492" i="24" s="1"/>
  <c r="G191" i="30"/>
  <c r="K312" i="24"/>
  <c r="AN312" i="24" s="1"/>
  <c r="AN314" i="24" s="1"/>
  <c r="E4" i="32"/>
  <c r="L4" i="32" s="1"/>
  <c r="Q338" i="30"/>
  <c r="E154" i="34"/>
  <c r="E155" i="34"/>
  <c r="U524" i="24"/>
  <c r="R401" i="24"/>
  <c r="AO401" i="24" s="1"/>
  <c r="K524" i="24"/>
  <c r="I15" i="31"/>
  <c r="X422" i="15"/>
  <c r="Y422" i="15"/>
  <c r="U578" i="24"/>
  <c r="AP578" i="24" s="1"/>
  <c r="V422" i="15"/>
  <c r="F375" i="34" s="1"/>
  <c r="AA422" i="15"/>
  <c r="R570" i="24"/>
  <c r="Z208" i="15"/>
  <c r="AB422" i="15"/>
  <c r="Y208" i="15"/>
  <c r="AA208" i="15"/>
  <c r="K250" i="24"/>
  <c r="J150" i="30"/>
  <c r="AC208" i="15"/>
  <c r="AB208" i="15"/>
  <c r="X208" i="15"/>
  <c r="AU113" i="15"/>
  <c r="AY113" i="15"/>
  <c r="K400" i="24"/>
  <c r="U128" i="24"/>
  <c r="AP128" i="24" s="1"/>
  <c r="U246" i="24"/>
  <c r="AP246" i="24" s="1"/>
  <c r="R400" i="24"/>
  <c r="AO400" i="24" s="1"/>
  <c r="U53" i="24"/>
  <c r="AP53" i="24" s="1"/>
  <c r="K128" i="24"/>
  <c r="K167" i="24"/>
  <c r="J292" i="30"/>
  <c r="U401" i="24"/>
  <c r="AP401" i="24" s="1"/>
  <c r="T150" i="30"/>
  <c r="AV113" i="15"/>
  <c r="AW113" i="15"/>
  <c r="AS113" i="15"/>
  <c r="R129" i="24"/>
  <c r="AO129" i="24" s="1"/>
  <c r="U129" i="24"/>
  <c r="AP129" i="24" s="1"/>
  <c r="U389" i="24"/>
  <c r="AY114" i="15"/>
  <c r="AV114" i="15"/>
  <c r="AS114" i="15"/>
  <c r="AU114" i="15"/>
  <c r="AW114" i="15"/>
  <c r="AZ114" i="15"/>
  <c r="G212" i="30"/>
  <c r="K109" i="24"/>
  <c r="K130" i="24"/>
  <c r="AN130" i="24" s="1"/>
  <c r="Q252" i="30"/>
  <c r="Q254" i="30" s="1"/>
  <c r="AE254" i="30" s="1"/>
  <c r="AF255" i="30" s="1"/>
  <c r="Q340" i="30"/>
  <c r="I7" i="31"/>
  <c r="G272" i="30"/>
  <c r="R170" i="24"/>
  <c r="AO170" i="24" s="1"/>
  <c r="R109" i="24"/>
  <c r="AO109" i="24" s="1"/>
  <c r="U130" i="24"/>
  <c r="AP130" i="24" s="1"/>
  <c r="G292" i="30"/>
  <c r="E106" i="34"/>
  <c r="E84" i="34"/>
  <c r="AU112" i="15"/>
  <c r="G293" i="30"/>
  <c r="Q360" i="30"/>
  <c r="R499" i="24"/>
  <c r="AZ113" i="15"/>
  <c r="AX113" i="15"/>
  <c r="E174" i="34"/>
  <c r="Q47" i="14"/>
  <c r="E165" i="34"/>
  <c r="AZ202" i="15"/>
  <c r="E183" i="34"/>
  <c r="E96" i="34"/>
  <c r="I31" i="33"/>
  <c r="K31" i="33" s="1"/>
  <c r="E275" i="34"/>
  <c r="AE105" i="15"/>
  <c r="E160" i="34"/>
  <c r="I43" i="33"/>
  <c r="L43" i="33" s="1"/>
  <c r="E256" i="34"/>
  <c r="V140" i="15"/>
  <c r="E108" i="34"/>
  <c r="Y246" i="15"/>
  <c r="E217" i="34"/>
  <c r="E119" i="34"/>
  <c r="AE204" i="15"/>
  <c r="E185" i="34"/>
  <c r="Y123" i="15"/>
  <c r="E93" i="34"/>
  <c r="E173" i="34"/>
  <c r="E175" i="34"/>
  <c r="E156" i="34"/>
  <c r="E107" i="34"/>
  <c r="E120" i="34"/>
  <c r="E152" i="34"/>
  <c r="V190" i="15"/>
  <c r="F171" i="34" s="1"/>
  <c r="E171" i="34"/>
  <c r="E115" i="34"/>
  <c r="AE181" i="15"/>
  <c r="E162" i="34"/>
  <c r="I51" i="33"/>
  <c r="K51" i="33" s="1"/>
  <c r="E297" i="34"/>
  <c r="X156" i="15"/>
  <c r="E121" i="34"/>
  <c r="E197" i="34"/>
  <c r="Z423" i="15"/>
  <c r="E376" i="34"/>
  <c r="Q114" i="14"/>
  <c r="D46" i="36" s="1"/>
  <c r="E181" i="34"/>
  <c r="E319" i="34"/>
  <c r="I114" i="33"/>
  <c r="J114" i="33" s="1"/>
  <c r="E276" i="34"/>
  <c r="E247" i="34"/>
  <c r="I33" i="33"/>
  <c r="J33" i="33" s="1"/>
  <c r="E291" i="34"/>
  <c r="V272" i="15"/>
  <c r="AL272" i="15" s="1"/>
  <c r="E250" i="34"/>
  <c r="E159" i="34"/>
  <c r="E94" i="34"/>
  <c r="I15" i="33"/>
  <c r="L15" i="33" s="1"/>
  <c r="E258" i="34"/>
  <c r="I44" i="33"/>
  <c r="L44" i="33" s="1"/>
  <c r="E257" i="34"/>
  <c r="E157" i="34"/>
  <c r="I50" i="33"/>
  <c r="K50" i="33" s="1"/>
  <c r="E295" i="34"/>
  <c r="E153" i="34"/>
  <c r="Z406" i="15"/>
  <c r="E364" i="34"/>
  <c r="V217" i="15"/>
  <c r="F195" i="34" s="1"/>
  <c r="E195" i="34"/>
  <c r="E102" i="34"/>
  <c r="Q63" i="14"/>
  <c r="F54" i="36" s="1"/>
  <c r="E105" i="34"/>
  <c r="V208" i="15"/>
  <c r="AM208" i="15" s="1"/>
  <c r="E189" i="34"/>
  <c r="E377" i="34"/>
  <c r="AA417" i="15"/>
  <c r="E370" i="34"/>
  <c r="K232" i="24"/>
  <c r="AN232" i="24" s="1"/>
  <c r="R175" i="24"/>
  <c r="AO175" i="24" s="1"/>
  <c r="R500" i="24"/>
  <c r="AO500" i="24" s="1"/>
  <c r="I27" i="33"/>
  <c r="J27" i="33" s="1"/>
  <c r="E265" i="34"/>
  <c r="I45" i="33"/>
  <c r="J45" i="33" s="1"/>
  <c r="E272" i="34"/>
  <c r="X304" i="15"/>
  <c r="E279" i="34"/>
  <c r="I30" i="33"/>
  <c r="L30" i="33" s="1"/>
  <c r="E274" i="34"/>
  <c r="I24" i="33"/>
  <c r="L24" i="33" s="1"/>
  <c r="E262" i="34"/>
  <c r="I46" i="33"/>
  <c r="K46" i="33" s="1"/>
  <c r="E280" i="34"/>
  <c r="E277" i="34"/>
  <c r="I110" i="33"/>
  <c r="K110" i="33" s="1"/>
  <c r="E283" i="34"/>
  <c r="I29" i="33"/>
  <c r="J29" i="33" s="1"/>
  <c r="E285" i="34"/>
  <c r="I41" i="33"/>
  <c r="J41" i="33" s="1"/>
  <c r="E298" i="34"/>
  <c r="I37" i="33"/>
  <c r="L37" i="33" s="1"/>
  <c r="E261" i="34"/>
  <c r="I39" i="33"/>
  <c r="J39" i="33" s="1"/>
  <c r="E271" i="34"/>
  <c r="I112" i="33"/>
  <c r="K112" i="33" s="1"/>
  <c r="E273" i="34"/>
  <c r="I20" i="33"/>
  <c r="E281" i="34"/>
  <c r="E104" i="34"/>
  <c r="I19" i="33"/>
  <c r="K19" i="33" s="1"/>
  <c r="E255" i="34"/>
  <c r="E116" i="34"/>
  <c r="K156" i="24"/>
  <c r="AN156" i="24" s="1"/>
  <c r="R231" i="24"/>
  <c r="V326" i="15"/>
  <c r="F295" i="34" s="1"/>
  <c r="J191" i="30"/>
  <c r="AS416" i="15"/>
  <c r="AX416" i="15"/>
  <c r="AW416" i="15"/>
  <c r="AU416" i="15"/>
  <c r="AY416" i="15"/>
  <c r="AV416" i="15"/>
  <c r="AZ416" i="15"/>
  <c r="X312" i="15"/>
  <c r="AV415" i="15"/>
  <c r="AX415" i="15"/>
  <c r="AS415" i="15"/>
  <c r="AY415" i="15"/>
  <c r="AU415" i="15"/>
  <c r="AZ415" i="15"/>
  <c r="AW415" i="15"/>
  <c r="AS414" i="15"/>
  <c r="AV414" i="15"/>
  <c r="BE414" i="15" s="1"/>
  <c r="AX414" i="15"/>
  <c r="BG414" i="15" s="1"/>
  <c r="BQ414" i="15" s="1"/>
  <c r="AA408" i="15" s="1"/>
  <c r="AZ414" i="15"/>
  <c r="AY414" i="15"/>
  <c r="BH414" i="15" s="1"/>
  <c r="AU414" i="15"/>
  <c r="BD414" i="15" s="1"/>
  <c r="AW414" i="15"/>
  <c r="V322" i="15"/>
  <c r="F291" i="34" s="1"/>
  <c r="I16" i="33"/>
  <c r="J16" i="33" s="1"/>
  <c r="V282" i="15"/>
  <c r="F259" i="34" s="1"/>
  <c r="V290" i="15"/>
  <c r="F267" i="34" s="1"/>
  <c r="I40" i="33"/>
  <c r="L40" i="33" s="1"/>
  <c r="V324" i="15"/>
  <c r="F293" i="34" s="1"/>
  <c r="V170" i="15"/>
  <c r="F151" i="34" s="1"/>
  <c r="X170" i="15"/>
  <c r="AC163" i="15"/>
  <c r="V163" i="15"/>
  <c r="I38" i="33"/>
  <c r="K38" i="33" s="1"/>
  <c r="V311" i="15"/>
  <c r="F286" i="34" s="1"/>
  <c r="D401" i="24"/>
  <c r="D190" i="24"/>
  <c r="G312" i="30"/>
  <c r="J212" i="30"/>
  <c r="J214" i="30" s="1"/>
  <c r="AC214" i="30" s="1"/>
  <c r="AD215" i="30" s="1"/>
  <c r="AD220" i="30" s="1"/>
  <c r="V183" i="15"/>
  <c r="F164" i="34" s="1"/>
  <c r="R251" i="24"/>
  <c r="AO251" i="24" s="1"/>
  <c r="K40" i="24"/>
  <c r="R518" i="24"/>
  <c r="AO518" i="24" s="1"/>
  <c r="J193" i="30"/>
  <c r="Q312" i="30"/>
  <c r="Q314" i="30" s="1"/>
  <c r="AE314" i="30" s="1"/>
  <c r="AF315" i="30" s="1"/>
  <c r="K39" i="24"/>
  <c r="I34" i="33"/>
  <c r="K34" i="33" s="1"/>
  <c r="G359" i="30"/>
  <c r="I21" i="33"/>
  <c r="J21" i="33" s="1"/>
  <c r="G339" i="30"/>
  <c r="I23" i="33"/>
  <c r="K23" i="33" s="1"/>
  <c r="G338" i="30"/>
  <c r="R384" i="24"/>
  <c r="K384" i="24"/>
  <c r="Q173" i="14"/>
  <c r="D127" i="36" s="1"/>
  <c r="G360" i="30"/>
  <c r="J339" i="30"/>
  <c r="J341" i="30" s="1"/>
  <c r="Q339" i="30"/>
  <c r="Q359" i="30"/>
  <c r="Q363" i="30" s="1"/>
  <c r="AE363" i="30" s="1"/>
  <c r="J359" i="30"/>
  <c r="I42" i="33"/>
  <c r="K42" i="33" s="1"/>
  <c r="G340" i="30"/>
  <c r="C193" i="30"/>
  <c r="C340" i="30"/>
  <c r="J272" i="30"/>
  <c r="Q193" i="30"/>
  <c r="G252" i="30"/>
  <c r="J293" i="30"/>
  <c r="K327" i="24"/>
  <c r="AN327" i="24" s="1"/>
  <c r="K385" i="24"/>
  <c r="AN385" i="24" s="1"/>
  <c r="R385" i="24"/>
  <c r="AO385" i="24" s="1"/>
  <c r="R519" i="24"/>
  <c r="AO519" i="24" s="1"/>
  <c r="K519" i="24"/>
  <c r="K520" i="24"/>
  <c r="AN520" i="24" s="1"/>
  <c r="R520" i="24"/>
  <c r="AO520" i="24" s="1"/>
  <c r="I109" i="33"/>
  <c r="I22" i="33"/>
  <c r="I28" i="33"/>
  <c r="C273" i="30"/>
  <c r="D385" i="24"/>
  <c r="I26" i="33"/>
  <c r="I113" i="33"/>
  <c r="I17" i="33"/>
  <c r="Q198" i="14"/>
  <c r="D150" i="36" s="1"/>
  <c r="I35" i="33"/>
  <c r="I25" i="33"/>
  <c r="I111" i="33"/>
  <c r="Q158" i="14"/>
  <c r="D113" i="36" s="1"/>
  <c r="I49" i="33"/>
  <c r="I18" i="33"/>
  <c r="C272" i="30"/>
  <c r="D384" i="24"/>
  <c r="Q196" i="14"/>
  <c r="D148" i="36" s="1"/>
  <c r="I48" i="33"/>
  <c r="X321" i="15"/>
  <c r="I32" i="33"/>
  <c r="I14" i="33"/>
  <c r="Q200" i="14"/>
  <c r="D152" i="36" s="1"/>
  <c r="I36" i="33"/>
  <c r="I47" i="33"/>
  <c r="U160" i="24"/>
  <c r="R160" i="24"/>
  <c r="AZ112" i="15"/>
  <c r="AV112" i="15"/>
  <c r="AY112" i="15"/>
  <c r="AX112" i="15"/>
  <c r="AS112" i="15"/>
  <c r="AW112" i="15"/>
  <c r="F26" i="30"/>
  <c r="G26" i="30" s="1"/>
  <c r="Z417" i="15"/>
  <c r="Y417" i="15"/>
  <c r="V417" i="15"/>
  <c r="AC417" i="15"/>
  <c r="AB417" i="15"/>
  <c r="X417" i="15"/>
  <c r="AF220" i="30"/>
  <c r="AF215" i="30"/>
  <c r="AB329" i="15"/>
  <c r="Q205" i="14"/>
  <c r="Q204" i="14"/>
  <c r="D155" i="36" s="1"/>
  <c r="K399" i="24"/>
  <c r="AN399" i="24" s="1"/>
  <c r="R399" i="24"/>
  <c r="AO399" i="24" s="1"/>
  <c r="U399" i="24"/>
  <c r="AP399" i="24" s="1"/>
  <c r="J59" i="27"/>
  <c r="U493" i="24"/>
  <c r="AP493" i="24" s="1"/>
  <c r="R493" i="24"/>
  <c r="AO493" i="24" s="1"/>
  <c r="K493" i="24"/>
  <c r="AN493" i="24" s="1"/>
  <c r="Q180" i="14"/>
  <c r="D133" i="36" s="1"/>
  <c r="AP300" i="15"/>
  <c r="AK300" i="15"/>
  <c r="AR300" i="15"/>
  <c r="AA329" i="15"/>
  <c r="U512" i="24"/>
  <c r="R512" i="24"/>
  <c r="K512" i="24"/>
  <c r="V423" i="15"/>
  <c r="AI423" i="15" s="1"/>
  <c r="K511" i="24"/>
  <c r="AN511" i="24" s="1"/>
  <c r="R511" i="24"/>
  <c r="AO511" i="24" s="1"/>
  <c r="U511" i="24"/>
  <c r="Q201" i="14"/>
  <c r="D153" i="36" s="1"/>
  <c r="Q139" i="14"/>
  <c r="D72" i="36" s="1"/>
  <c r="G512" i="24"/>
  <c r="G511" i="24"/>
  <c r="Q197" i="14"/>
  <c r="D149" i="36" s="1"/>
  <c r="AB206" i="15"/>
  <c r="X206" i="15"/>
  <c r="AA206" i="15"/>
  <c r="Z206" i="15"/>
  <c r="V206" i="15"/>
  <c r="F187" i="34" s="1"/>
  <c r="AC206" i="15"/>
  <c r="Y206" i="15"/>
  <c r="V205" i="15"/>
  <c r="F186" i="34" s="1"/>
  <c r="AA205" i="15"/>
  <c r="Z205" i="15"/>
  <c r="AC205" i="15"/>
  <c r="Y205" i="15"/>
  <c r="AB205" i="15"/>
  <c r="X205" i="15"/>
  <c r="Q90" i="30"/>
  <c r="Q92" i="30" s="1"/>
  <c r="Q96" i="30" s="1"/>
  <c r="J90" i="30"/>
  <c r="J92" i="30" s="1"/>
  <c r="J96" i="30" s="1"/>
  <c r="T90" i="30"/>
  <c r="T92" i="30" s="1"/>
  <c r="T96" i="30" s="1"/>
  <c r="J232" i="30"/>
  <c r="J234" i="30" s="1"/>
  <c r="AC234" i="30" s="1"/>
  <c r="AD235" i="30" s="1"/>
  <c r="AD240" i="30" s="1"/>
  <c r="Q232" i="30"/>
  <c r="Q234" i="30" s="1"/>
  <c r="AE234" i="30" s="1"/>
  <c r="Q173" i="30"/>
  <c r="Q175" i="30" s="1"/>
  <c r="AE175" i="30" s="1"/>
  <c r="J173" i="30"/>
  <c r="J175" i="30" s="1"/>
  <c r="AC175" i="30" s="1"/>
  <c r="AD176" i="30" s="1"/>
  <c r="AD181" i="30" s="1"/>
  <c r="G151" i="30"/>
  <c r="T151" i="30"/>
  <c r="Q151" i="30"/>
  <c r="Q152" i="30" s="1"/>
  <c r="Q153" i="30" s="1"/>
  <c r="J151" i="30"/>
  <c r="G55" i="30"/>
  <c r="Q55" i="30"/>
  <c r="Q57" i="30" s="1"/>
  <c r="J55" i="30"/>
  <c r="J57" i="30" s="1"/>
  <c r="T55" i="30"/>
  <c r="T57" i="30" s="1"/>
  <c r="G112" i="30"/>
  <c r="Q112" i="30"/>
  <c r="Q114" i="30" s="1"/>
  <c r="J112" i="30"/>
  <c r="J114" i="30" s="1"/>
  <c r="T112" i="30"/>
  <c r="T114" i="30" s="1"/>
  <c r="Q192" i="30"/>
  <c r="J192" i="30"/>
  <c r="G273" i="30"/>
  <c r="Q273" i="30"/>
  <c r="Q274" i="30" s="1"/>
  <c r="AE274" i="30" s="1"/>
  <c r="J273" i="30"/>
  <c r="T128" i="30"/>
  <c r="T130" i="30" s="1"/>
  <c r="T134" i="30" s="1"/>
  <c r="Q128" i="30"/>
  <c r="Q130" i="30" s="1"/>
  <c r="Q134" i="30" s="1"/>
  <c r="J128" i="30"/>
  <c r="J130" i="30" s="1"/>
  <c r="J134" i="30" s="1"/>
  <c r="Q294" i="30"/>
  <c r="AE294" i="30" s="1"/>
  <c r="J71" i="30"/>
  <c r="J73" i="30" s="1"/>
  <c r="J77" i="30" s="1"/>
  <c r="T71" i="30"/>
  <c r="T73" i="30" s="1"/>
  <c r="T77" i="30" s="1"/>
  <c r="Q71" i="30"/>
  <c r="Q73" i="30" s="1"/>
  <c r="Q77" i="30" s="1"/>
  <c r="J52" i="30"/>
  <c r="J54" i="30" s="1"/>
  <c r="T52" i="30"/>
  <c r="T54" i="30" s="1"/>
  <c r="Q52" i="30"/>
  <c r="Q54" i="30" s="1"/>
  <c r="Q109" i="30"/>
  <c r="Q111" i="30" s="1"/>
  <c r="J109" i="30"/>
  <c r="J111" i="30" s="1"/>
  <c r="T109" i="30"/>
  <c r="T111" i="30" s="1"/>
  <c r="J36" i="30"/>
  <c r="J38" i="30" s="1"/>
  <c r="Q36" i="30"/>
  <c r="Q38" i="30" s="1"/>
  <c r="T36" i="30"/>
  <c r="T38" i="30" s="1"/>
  <c r="G33" i="30"/>
  <c r="T33" i="30"/>
  <c r="Q33" i="30"/>
  <c r="J33" i="30"/>
  <c r="G34" i="30"/>
  <c r="Q34" i="30"/>
  <c r="T34" i="30"/>
  <c r="J34" i="30"/>
  <c r="U473" i="24"/>
  <c r="AP473" i="24" s="1"/>
  <c r="R473" i="24"/>
  <c r="AO473" i="24" s="1"/>
  <c r="K473" i="24"/>
  <c r="U319" i="24"/>
  <c r="AP319" i="24" s="1"/>
  <c r="R319" i="24"/>
  <c r="AO319" i="24" s="1"/>
  <c r="K319" i="24"/>
  <c r="R364" i="24"/>
  <c r="AO364" i="24" s="1"/>
  <c r="AO366" i="24" s="1"/>
  <c r="K364" i="24"/>
  <c r="U436" i="24"/>
  <c r="AP436" i="24" s="1"/>
  <c r="R436" i="24"/>
  <c r="AO436" i="24" s="1"/>
  <c r="K436" i="24"/>
  <c r="AN436" i="24" s="1"/>
  <c r="U610" i="24"/>
  <c r="R610" i="24"/>
  <c r="K610" i="24"/>
  <c r="R428" i="24"/>
  <c r="U428" i="24"/>
  <c r="K428" i="24"/>
  <c r="K550" i="24"/>
  <c r="R550" i="24"/>
  <c r="U550" i="24"/>
  <c r="R338" i="24"/>
  <c r="AO338" i="24" s="1"/>
  <c r="K338" i="24"/>
  <c r="U338" i="24"/>
  <c r="AP338" i="24" s="1"/>
  <c r="U416" i="24"/>
  <c r="AP416" i="24" s="1"/>
  <c r="R416" i="24"/>
  <c r="AO416" i="24" s="1"/>
  <c r="K416" i="24"/>
  <c r="U357" i="24"/>
  <c r="AP357" i="24" s="1"/>
  <c r="R357" i="24"/>
  <c r="AO357" i="24" s="1"/>
  <c r="K357" i="24"/>
  <c r="R423" i="24"/>
  <c r="K423" i="24"/>
  <c r="K322" i="24"/>
  <c r="AN322" i="24" s="1"/>
  <c r="U322" i="24"/>
  <c r="AP322" i="24" s="1"/>
  <c r="R322" i="24"/>
  <c r="AO322" i="24" s="1"/>
  <c r="R480" i="24"/>
  <c r="K480" i="24"/>
  <c r="H482" i="24" s="1"/>
  <c r="K396" i="24"/>
  <c r="AN396" i="24" s="1"/>
  <c r="U396" i="24"/>
  <c r="R396" i="24"/>
  <c r="R442" i="24"/>
  <c r="K442" i="24"/>
  <c r="U474" i="24"/>
  <c r="AP474" i="24" s="1"/>
  <c r="R474" i="24"/>
  <c r="AO474" i="24" s="1"/>
  <c r="K474" i="24"/>
  <c r="AN474" i="24" s="1"/>
  <c r="K326" i="24"/>
  <c r="AN326" i="24" s="1"/>
  <c r="R326" i="24"/>
  <c r="R461" i="24"/>
  <c r="K461" i="24"/>
  <c r="H463" i="24" s="1"/>
  <c r="U435" i="24"/>
  <c r="AP435" i="24" s="1"/>
  <c r="R435" i="24"/>
  <c r="AO435" i="24" s="1"/>
  <c r="K435" i="24"/>
  <c r="K454" i="24"/>
  <c r="U454" i="24"/>
  <c r="AP454" i="24" s="1"/>
  <c r="R454" i="24"/>
  <c r="AO454" i="24" s="1"/>
  <c r="R345" i="24"/>
  <c r="K345" i="24"/>
  <c r="R198" i="24"/>
  <c r="U198" i="24"/>
  <c r="U598" i="24"/>
  <c r="AP598" i="24" s="1"/>
  <c r="R598" i="24"/>
  <c r="AO598" i="24" s="1"/>
  <c r="K598" i="24"/>
  <c r="R243" i="24"/>
  <c r="AO243" i="24" s="1"/>
  <c r="U243" i="24"/>
  <c r="AP243" i="24" s="1"/>
  <c r="K243" i="24"/>
  <c r="U274" i="24"/>
  <c r="R274" i="24"/>
  <c r="K320" i="24"/>
  <c r="AN320" i="24" s="1"/>
  <c r="U320" i="24"/>
  <c r="AP320" i="24" s="1"/>
  <c r="R320" i="24"/>
  <c r="AO320" i="24" s="1"/>
  <c r="K376" i="24"/>
  <c r="U376" i="24"/>
  <c r="AP376" i="24" s="1"/>
  <c r="R376" i="24"/>
  <c r="AO376" i="24" s="1"/>
  <c r="R383" i="24"/>
  <c r="AO383" i="24" s="1"/>
  <c r="K383" i="24"/>
  <c r="R404" i="24"/>
  <c r="K404" i="24"/>
  <c r="U457" i="24"/>
  <c r="AP457" i="24" s="1"/>
  <c r="R457" i="24"/>
  <c r="AO457" i="24" s="1"/>
  <c r="K457" i="24"/>
  <c r="AN457" i="24" s="1"/>
  <c r="R590" i="24"/>
  <c r="U590" i="24"/>
  <c r="K590" i="24"/>
  <c r="U93" i="24"/>
  <c r="AP93" i="24" s="1"/>
  <c r="R93" i="24"/>
  <c r="AO93" i="24" s="1"/>
  <c r="K93" i="24"/>
  <c r="AN93" i="24" s="1"/>
  <c r="R212" i="24"/>
  <c r="K212" i="24"/>
  <c r="H214" i="24" s="1"/>
  <c r="U265" i="24"/>
  <c r="AP265" i="24" s="1"/>
  <c r="R265" i="24"/>
  <c r="AO265" i="24" s="1"/>
  <c r="K265" i="24"/>
  <c r="R282" i="24"/>
  <c r="AO282" i="24" s="1"/>
  <c r="K282" i="24"/>
  <c r="AN282" i="24" s="1"/>
  <c r="U282" i="24"/>
  <c r="AP282" i="24" s="1"/>
  <c r="R300" i="24"/>
  <c r="AO300" i="24" s="1"/>
  <c r="K300" i="24"/>
  <c r="U300" i="24"/>
  <c r="AP300" i="24" s="1"/>
  <c r="R186" i="24"/>
  <c r="AO186" i="24" s="1"/>
  <c r="K186" i="24"/>
  <c r="U186" i="24"/>
  <c r="AP186" i="24" s="1"/>
  <c r="K162" i="24"/>
  <c r="U224" i="24"/>
  <c r="AP224" i="24" s="1"/>
  <c r="R224" i="24"/>
  <c r="AO224" i="24" s="1"/>
  <c r="K224" i="24"/>
  <c r="K289" i="24"/>
  <c r="AN289" i="24" s="1"/>
  <c r="R289" i="24"/>
  <c r="AO289" i="24" s="1"/>
  <c r="R303" i="24"/>
  <c r="AO303" i="24" s="1"/>
  <c r="K303" i="24"/>
  <c r="AN303" i="24" s="1"/>
  <c r="U303" i="24"/>
  <c r="AP303" i="24" s="1"/>
  <c r="R174" i="24"/>
  <c r="K174" i="24"/>
  <c r="U190" i="24"/>
  <c r="AP190" i="24" s="1"/>
  <c r="R190" i="24"/>
  <c r="AO190" i="24" s="1"/>
  <c r="K190" i="24"/>
  <c r="AN190" i="24" s="1"/>
  <c r="K198" i="24"/>
  <c r="K274" i="24"/>
  <c r="K137" i="24"/>
  <c r="R137" i="24"/>
  <c r="U208" i="24"/>
  <c r="AP208" i="24" s="1"/>
  <c r="R208" i="24"/>
  <c r="AO208" i="24" s="1"/>
  <c r="K208" i="24"/>
  <c r="AN208" i="24" s="1"/>
  <c r="R71" i="24"/>
  <c r="AO71" i="24" s="1"/>
  <c r="K71" i="24"/>
  <c r="U71" i="24"/>
  <c r="AP71" i="24" s="1"/>
  <c r="R148" i="24"/>
  <c r="AO148" i="24" s="1"/>
  <c r="K148" i="24"/>
  <c r="U148" i="24"/>
  <c r="AP148" i="24" s="1"/>
  <c r="R269" i="24"/>
  <c r="K269" i="24"/>
  <c r="R189" i="24"/>
  <c r="AO189" i="24" s="1"/>
  <c r="K189" i="24"/>
  <c r="AN189" i="24" s="1"/>
  <c r="U189" i="24"/>
  <c r="AP189" i="24" s="1"/>
  <c r="K155" i="24"/>
  <c r="R155" i="24"/>
  <c r="R97" i="24"/>
  <c r="K97" i="24"/>
  <c r="H99" i="24" s="1"/>
  <c r="K281" i="24"/>
  <c r="U281" i="24"/>
  <c r="AP281" i="24" s="1"/>
  <c r="R281" i="24"/>
  <c r="AO281" i="24" s="1"/>
  <c r="K307" i="24"/>
  <c r="R307" i="24"/>
  <c r="K193" i="24"/>
  <c r="R193" i="24"/>
  <c r="R78" i="24"/>
  <c r="K78" i="24"/>
  <c r="U206" i="24"/>
  <c r="AP206" i="24" s="1"/>
  <c r="R206" i="24"/>
  <c r="AO206" i="24" s="1"/>
  <c r="K206" i="24"/>
  <c r="AN206" i="24" s="1"/>
  <c r="R59" i="24"/>
  <c r="R284" i="24"/>
  <c r="AO284" i="24" s="1"/>
  <c r="K284" i="24"/>
  <c r="AN284" i="24" s="1"/>
  <c r="U284" i="24"/>
  <c r="AP284" i="24" s="1"/>
  <c r="R288" i="24"/>
  <c r="K288" i="24"/>
  <c r="R116" i="24"/>
  <c r="K116" i="24"/>
  <c r="U205" i="24"/>
  <c r="AP205" i="24" s="1"/>
  <c r="R205" i="24"/>
  <c r="AO205" i="24" s="1"/>
  <c r="K205" i="24"/>
  <c r="U90" i="24"/>
  <c r="AP90" i="24" s="1"/>
  <c r="R90" i="24"/>
  <c r="AO90" i="24" s="1"/>
  <c r="K90" i="24"/>
  <c r="K270" i="24"/>
  <c r="AN270" i="24" s="1"/>
  <c r="R270" i="24"/>
  <c r="AO270" i="24" s="1"/>
  <c r="D620" i="24"/>
  <c r="Z163" i="15"/>
  <c r="J24" i="27"/>
  <c r="E13" i="32"/>
  <c r="L13" i="32" s="1"/>
  <c r="E8" i="32"/>
  <c r="G4" i="17"/>
  <c r="AC329" i="15"/>
  <c r="Q209" i="14"/>
  <c r="D156" i="36" s="1"/>
  <c r="Z371" i="15"/>
  <c r="AC371" i="15"/>
  <c r="Y371" i="15"/>
  <c r="AB371" i="15"/>
  <c r="X371" i="15"/>
  <c r="V371" i="15"/>
  <c r="F319" i="34" s="1"/>
  <c r="AA371" i="15"/>
  <c r="D69" i="10"/>
  <c r="C27" i="30"/>
  <c r="B5" i="32"/>
  <c r="B9" i="17"/>
  <c r="B6" i="32"/>
  <c r="X123" i="15"/>
  <c r="Q202" i="14"/>
  <c r="D154" i="36" s="1"/>
  <c r="V267" i="15"/>
  <c r="F245" i="34" s="1"/>
  <c r="AB423" i="15"/>
  <c r="X163" i="15"/>
  <c r="D282" i="24"/>
  <c r="E13" i="31"/>
  <c r="D454" i="24"/>
  <c r="E8" i="31"/>
  <c r="D243" i="24"/>
  <c r="E11" i="31"/>
  <c r="C34" i="30"/>
  <c r="E16" i="31"/>
  <c r="C151" i="30"/>
  <c r="B16" i="32"/>
  <c r="Z123" i="15"/>
  <c r="AB163" i="15"/>
  <c r="G128" i="30"/>
  <c r="Q211" i="15"/>
  <c r="Z211" i="15" s="1"/>
  <c r="AT13" i="25"/>
  <c r="Y329" i="15"/>
  <c r="V329" i="15"/>
  <c r="AT10" i="25"/>
  <c r="Z329" i="15"/>
  <c r="X329" i="15"/>
  <c r="AT9" i="25"/>
  <c r="M14" i="25"/>
  <c r="AT12" i="25"/>
  <c r="M27" i="25"/>
  <c r="Y163" i="15"/>
  <c r="Q210" i="15"/>
  <c r="Z210" i="15" s="1"/>
  <c r="V191" i="15"/>
  <c r="AA163" i="15"/>
  <c r="AC123" i="15"/>
  <c r="V123" i="15"/>
  <c r="F93" i="34" s="1"/>
  <c r="V154" i="15"/>
  <c r="AL154" i="15" s="1"/>
  <c r="AB312" i="15"/>
  <c r="BD193" i="15"/>
  <c r="BM193" i="15" s="1"/>
  <c r="AU10" i="25"/>
  <c r="AY195" i="15"/>
  <c r="AU195" i="15"/>
  <c r="AX195" i="15"/>
  <c r="AS195" i="15"/>
  <c r="AW195" i="15"/>
  <c r="AV195" i="15"/>
  <c r="AZ195" i="15"/>
  <c r="AC322" i="15"/>
  <c r="AU177" i="15"/>
  <c r="AZ297" i="15"/>
  <c r="AV297" i="15"/>
  <c r="AY297" i="15"/>
  <c r="AU297" i="15"/>
  <c r="AX297" i="15"/>
  <c r="AS297" i="15"/>
  <c r="AW297" i="15"/>
  <c r="AX290" i="15"/>
  <c r="BG290" i="15" s="1"/>
  <c r="AS290" i="15"/>
  <c r="BB290" i="15" s="1"/>
  <c r="AW290" i="15"/>
  <c r="BF290" i="15" s="1"/>
  <c r="AZ290" i="15"/>
  <c r="BI290" i="15" s="1"/>
  <c r="AV290" i="15"/>
  <c r="BE290" i="15" s="1"/>
  <c r="AY290" i="15"/>
  <c r="BH290" i="15" s="1"/>
  <c r="AU290" i="15"/>
  <c r="BD290" i="15" s="1"/>
  <c r="J36" i="27"/>
  <c r="Y220" i="15"/>
  <c r="AW201" i="15"/>
  <c r="AC312" i="15"/>
  <c r="V312" i="15"/>
  <c r="Z304" i="15"/>
  <c r="AS188" i="15"/>
  <c r="AE188" i="15"/>
  <c r="AS196" i="15"/>
  <c r="AW196" i="15"/>
  <c r="AZ196" i="15"/>
  <c r="AV196" i="15"/>
  <c r="AY196" i="15"/>
  <c r="AX196" i="15"/>
  <c r="AU196" i="15"/>
  <c r="Q199" i="14"/>
  <c r="D151" i="36" s="1"/>
  <c r="C128" i="30"/>
  <c r="E28" i="31"/>
  <c r="V247" i="15"/>
  <c r="AB247" i="15"/>
  <c r="AB183" i="15"/>
  <c r="J40" i="27"/>
  <c r="AE236" i="15"/>
  <c r="AE159" i="15"/>
  <c r="Z312" i="15"/>
  <c r="Z173" i="15"/>
  <c r="AU178" i="15"/>
  <c r="AS178" i="15"/>
  <c r="AX194" i="15"/>
  <c r="AS194" i="15"/>
  <c r="AW194" i="15"/>
  <c r="BD194" i="15"/>
  <c r="AV194" i="15"/>
  <c r="AU194" i="15"/>
  <c r="AZ194" i="15"/>
  <c r="AY194" i="15"/>
  <c r="AU187" i="15"/>
  <c r="AS187" i="15"/>
  <c r="AE187" i="15"/>
  <c r="AV179" i="15"/>
  <c r="AS179" i="15"/>
  <c r="V286" i="15"/>
  <c r="AW298" i="15"/>
  <c r="AZ298" i="15"/>
  <c r="AV298" i="15"/>
  <c r="AY298" i="15"/>
  <c r="AU298" i="15"/>
  <c r="AX298" i="15"/>
  <c r="AS298" i="15"/>
  <c r="AW193" i="15"/>
  <c r="AZ193" i="15"/>
  <c r="AV193" i="15"/>
  <c r="AU193" i="15"/>
  <c r="AS193" i="15"/>
  <c r="AY193" i="15"/>
  <c r="AX193" i="15"/>
  <c r="V151" i="15"/>
  <c r="F117" i="34" s="1"/>
  <c r="Z199" i="15"/>
  <c r="B12" i="17"/>
  <c r="E5" i="31"/>
  <c r="Q48" i="14"/>
  <c r="AE107" i="15"/>
  <c r="AA312" i="15"/>
  <c r="AS189" i="15"/>
  <c r="AE189" i="15"/>
  <c r="AZ296" i="15"/>
  <c r="AV296" i="15"/>
  <c r="AY296" i="15"/>
  <c r="AU296" i="15"/>
  <c r="AX296" i="15"/>
  <c r="AS296" i="15"/>
  <c r="AW296" i="15"/>
  <c r="X250" i="15"/>
  <c r="Q117" i="14"/>
  <c r="D36" i="36" s="1"/>
  <c r="J36" i="36" s="1"/>
  <c r="I36" i="36" s="1"/>
  <c r="AE203" i="15"/>
  <c r="V180" i="15"/>
  <c r="Y312" i="15"/>
  <c r="V186" i="15"/>
  <c r="E13" i="25"/>
  <c r="AT8" i="25"/>
  <c r="E24" i="25"/>
  <c r="AT19" i="25"/>
  <c r="AT7" i="25"/>
  <c r="B19" i="17"/>
  <c r="AB123" i="15"/>
  <c r="AA123" i="15"/>
  <c r="Q135" i="15"/>
  <c r="G312" i="24"/>
  <c r="H312" i="24" s="1"/>
  <c r="J26" i="27"/>
  <c r="D579" i="24"/>
  <c r="G71" i="30"/>
  <c r="G5" i="17"/>
  <c r="AC191" i="15"/>
  <c r="X302" i="15"/>
  <c r="AC171" i="15"/>
  <c r="AA288" i="15"/>
  <c r="AB218" i="15"/>
  <c r="G90" i="30"/>
  <c r="G232" i="30"/>
  <c r="G173" i="30"/>
  <c r="AC175" i="15"/>
  <c r="AC404" i="15"/>
  <c r="AB267" i="15"/>
  <c r="AB180" i="15"/>
  <c r="X191" i="15"/>
  <c r="Z191" i="15"/>
  <c r="X404" i="15"/>
  <c r="Y183" i="15"/>
  <c r="AB173" i="15"/>
  <c r="V173" i="15"/>
  <c r="X171" i="15"/>
  <c r="Z302" i="15"/>
  <c r="AB302" i="15"/>
  <c r="AB199" i="15"/>
  <c r="V199" i="15"/>
  <c r="Y286" i="15"/>
  <c r="AA286" i="15"/>
  <c r="AB304" i="15"/>
  <c r="X175" i="15"/>
  <c r="Z175" i="15"/>
  <c r="V218" i="15"/>
  <c r="Y218" i="15"/>
  <c r="X322" i="15"/>
  <c r="Z322" i="15"/>
  <c r="AC288" i="15"/>
  <c r="X288" i="15"/>
  <c r="Z267" i="15"/>
  <c r="X267" i="15"/>
  <c r="AC154" i="15"/>
  <c r="AA154" i="15"/>
  <c r="AB191" i="15"/>
  <c r="Z404" i="15"/>
  <c r="AB404" i="15"/>
  <c r="AA183" i="15"/>
  <c r="AC183" i="15"/>
  <c r="Y173" i="15"/>
  <c r="Z171" i="15"/>
  <c r="AB171" i="15"/>
  <c r="V302" i="15"/>
  <c r="Y302" i="15"/>
  <c r="Y199" i="15"/>
  <c r="AA199" i="15"/>
  <c r="AC286" i="15"/>
  <c r="V304" i="15"/>
  <c r="Y304" i="15"/>
  <c r="AB175" i="15"/>
  <c r="V175" i="15"/>
  <c r="AA218" i="15"/>
  <c r="AC218" i="15"/>
  <c r="AB322" i="15"/>
  <c r="Z288" i="15"/>
  <c r="AB288" i="15"/>
  <c r="AA267" i="15"/>
  <c r="Y180" i="15"/>
  <c r="AA180" i="15"/>
  <c r="Y154" i="15"/>
  <c r="X154" i="15"/>
  <c r="J28" i="27"/>
  <c r="Y191" i="15"/>
  <c r="Y404" i="15"/>
  <c r="X183" i="15"/>
  <c r="AA173" i="15"/>
  <c r="AC173" i="15"/>
  <c r="V171" i="15"/>
  <c r="Y171" i="15"/>
  <c r="AA302" i="15"/>
  <c r="AC302" i="15"/>
  <c r="AC199" i="15"/>
  <c r="X286" i="15"/>
  <c r="Z286" i="15"/>
  <c r="AA304" i="15"/>
  <c r="AC304" i="15"/>
  <c r="Y175" i="15"/>
  <c r="AA175" i="15"/>
  <c r="X218" i="15"/>
  <c r="Y322" i="15"/>
  <c r="AA322" i="15"/>
  <c r="V288" i="15"/>
  <c r="Y267" i="15"/>
  <c r="AC180" i="15"/>
  <c r="X180" i="15"/>
  <c r="AB154" i="15"/>
  <c r="Z154" i="15"/>
  <c r="AA191" i="15"/>
  <c r="AA404" i="15"/>
  <c r="Z183" i="15"/>
  <c r="X173" i="15"/>
  <c r="AA171" i="15"/>
  <c r="X199" i="15"/>
  <c r="AB286" i="15"/>
  <c r="Z218" i="15"/>
  <c r="Y288" i="15"/>
  <c r="AC267" i="15"/>
  <c r="Z180" i="15"/>
  <c r="D12" i="17"/>
  <c r="AU18" i="25"/>
  <c r="AU202" i="15"/>
  <c r="AW202" i="15"/>
  <c r="AY202" i="15"/>
  <c r="AY201" i="15"/>
  <c r="AX202" i="15"/>
  <c r="AX201" i="15"/>
  <c r="AV202" i="15"/>
  <c r="AS202" i="15"/>
  <c r="AU7" i="25"/>
  <c r="AU201" i="15"/>
  <c r="AS201" i="15"/>
  <c r="AV201" i="15"/>
  <c r="AZ201" i="15"/>
  <c r="AX236" i="15"/>
  <c r="AV236" i="15"/>
  <c r="AZ236" i="15"/>
  <c r="Y423" i="15"/>
  <c r="AA423" i="15"/>
  <c r="AY236" i="15"/>
  <c r="AU236" i="15"/>
  <c r="AC423" i="15"/>
  <c r="AW236" i="15"/>
  <c r="AS236" i="15"/>
  <c r="X423" i="15"/>
  <c r="E27" i="25"/>
  <c r="D320" i="24"/>
  <c r="D7" i="17"/>
  <c r="Q170" i="14"/>
  <c r="D124" i="36" s="1"/>
  <c r="E25" i="25"/>
  <c r="E21" i="25"/>
  <c r="AC216" i="15"/>
  <c r="Y216" i="15"/>
  <c r="AB216" i="15"/>
  <c r="X216" i="15"/>
  <c r="AA216" i="15"/>
  <c r="V216" i="15"/>
  <c r="F194" i="34" s="1"/>
  <c r="Z216" i="15"/>
  <c r="AS204" i="15"/>
  <c r="AZ204" i="15"/>
  <c r="AY204" i="15"/>
  <c r="AX204" i="15"/>
  <c r="AW204" i="15"/>
  <c r="AV204" i="15"/>
  <c r="AU204" i="15"/>
  <c r="AZ203" i="15"/>
  <c r="AX203" i="15"/>
  <c r="AV203" i="15"/>
  <c r="AS203" i="15"/>
  <c r="AW203" i="15"/>
  <c r="AY203" i="15"/>
  <c r="AU203" i="15"/>
  <c r="Q72" i="14"/>
  <c r="F72" i="36" s="1"/>
  <c r="I24" i="25"/>
  <c r="AX27" i="25" s="1"/>
  <c r="I21" i="25"/>
  <c r="AX14" i="25" s="1"/>
  <c r="V407" i="15"/>
  <c r="H25" i="25"/>
  <c r="I26" i="25"/>
  <c r="AX18" i="25" s="1"/>
  <c r="K25" i="25"/>
  <c r="I13" i="25"/>
  <c r="E26" i="25"/>
  <c r="J26" i="25" s="1"/>
  <c r="K26" i="25"/>
  <c r="T115" i="16" s="1"/>
  <c r="K21" i="25"/>
  <c r="H27" i="25"/>
  <c r="K27" i="25"/>
  <c r="T116" i="16" s="1"/>
  <c r="AU19" i="25"/>
  <c r="AB407" i="15"/>
  <c r="I27" i="25"/>
  <c r="K18" i="25"/>
  <c r="H19" i="25"/>
  <c r="AU12" i="25"/>
  <c r="H24" i="25"/>
  <c r="AU27" i="25"/>
  <c r="E22" i="25"/>
  <c r="K22" i="25"/>
  <c r="I22" i="25"/>
  <c r="AX15" i="25" s="1"/>
  <c r="K19" i="25"/>
  <c r="F440" i="34" s="1"/>
  <c r="Q46" i="14"/>
  <c r="AU15" i="25"/>
  <c r="H22" i="25"/>
  <c r="AU11" i="25"/>
  <c r="H18" i="25"/>
  <c r="Q45" i="14"/>
  <c r="K24" i="25"/>
  <c r="K23" i="25"/>
  <c r="I23" i="25"/>
  <c r="E23" i="25"/>
  <c r="H23" i="25"/>
  <c r="H21" i="25"/>
  <c r="AU14" i="25"/>
  <c r="V220" i="15"/>
  <c r="F198" i="34" s="1"/>
  <c r="C46" i="10"/>
  <c r="Q95" i="14"/>
  <c r="D24" i="36" s="1"/>
  <c r="J24" i="36" s="1"/>
  <c r="I24" i="36" s="1"/>
  <c r="V125" i="15"/>
  <c r="F95" i="34" s="1"/>
  <c r="AA156" i="15"/>
  <c r="AU244" i="15"/>
  <c r="Q151" i="14"/>
  <c r="J50" i="27"/>
  <c r="V138" i="15"/>
  <c r="F106" i="34" s="1"/>
  <c r="Q98" i="14"/>
  <c r="D77" i="36" s="1"/>
  <c r="Q152" i="14"/>
  <c r="AS235" i="15"/>
  <c r="J39" i="27"/>
  <c r="V157" i="15"/>
  <c r="F122" i="34" s="1"/>
  <c r="Q146" i="14"/>
  <c r="D25" i="36" s="1"/>
  <c r="J25" i="36" s="1"/>
  <c r="I25" i="36" s="1"/>
  <c r="J42" i="27"/>
  <c r="V207" i="15"/>
  <c r="F188" i="34" s="1"/>
  <c r="Q82" i="14"/>
  <c r="J32" i="27"/>
  <c r="Q81" i="14"/>
  <c r="J46" i="27"/>
  <c r="Q153" i="14"/>
  <c r="V197" i="15"/>
  <c r="F178" i="34" s="1"/>
  <c r="H20" i="25"/>
  <c r="AU13" i="25"/>
  <c r="I20" i="25"/>
  <c r="AX13" i="25" s="1"/>
  <c r="K20" i="25"/>
  <c r="E20" i="25"/>
  <c r="K14" i="25"/>
  <c r="F435" i="34" s="1"/>
  <c r="K13" i="25"/>
  <c r="V249" i="15"/>
  <c r="F220" i="34" s="1"/>
  <c r="AS244" i="15"/>
  <c r="AB406" i="15"/>
  <c r="V246" i="15"/>
  <c r="F217" i="34" s="1"/>
  <c r="V406" i="15"/>
  <c r="F364" i="34" s="1"/>
  <c r="Y406" i="15"/>
  <c r="C68" i="10"/>
  <c r="C36" i="20"/>
  <c r="AC157" i="15"/>
  <c r="AA406" i="15"/>
  <c r="AC406" i="15"/>
  <c r="V185" i="15"/>
  <c r="F166" i="34" s="1"/>
  <c r="X185" i="15"/>
  <c r="X406" i="15"/>
  <c r="V250" i="15"/>
  <c r="F221" i="34" s="1"/>
  <c r="Z250" i="15"/>
  <c r="AC250" i="15"/>
  <c r="Y250" i="15"/>
  <c r="AA250" i="15"/>
  <c r="AB250" i="15"/>
  <c r="I14" i="25"/>
  <c r="H14" i="25"/>
  <c r="AU9" i="25"/>
  <c r="E18" i="25"/>
  <c r="I18" i="25"/>
  <c r="AX11" i="25" s="1"/>
  <c r="E19" i="25"/>
  <c r="I19" i="25"/>
  <c r="I15" i="25"/>
  <c r="N15" i="25" s="1"/>
  <c r="I25" i="25"/>
  <c r="H13" i="25"/>
  <c r="AU8" i="25"/>
  <c r="AA407" i="15"/>
  <c r="AC407" i="15"/>
  <c r="X407" i="15"/>
  <c r="Z407" i="15"/>
  <c r="V149" i="15"/>
  <c r="F115" i="34" s="1"/>
  <c r="X220" i="15"/>
  <c r="V136" i="15"/>
  <c r="F104" i="34" s="1"/>
  <c r="V126" i="15"/>
  <c r="F96" i="34" s="1"/>
  <c r="V139" i="15"/>
  <c r="F107" i="34" s="1"/>
  <c r="V150" i="15"/>
  <c r="F116" i="34" s="1"/>
  <c r="Q198" i="15"/>
  <c r="G300" i="24"/>
  <c r="H300" i="24" s="1"/>
  <c r="Q129" i="14"/>
  <c r="D52" i="36" s="1"/>
  <c r="Q234" i="14"/>
  <c r="E77" i="36" s="1"/>
  <c r="AS245" i="15"/>
  <c r="AS234" i="15"/>
  <c r="V182" i="15"/>
  <c r="F163" i="34" s="1"/>
  <c r="V124" i="15"/>
  <c r="F94" i="34" s="1"/>
  <c r="Q184" i="14"/>
  <c r="D137" i="36" s="1"/>
  <c r="V134" i="15"/>
  <c r="F102" i="34" s="1"/>
  <c r="Z156" i="15"/>
  <c r="AC156" i="15"/>
  <c r="AA157" i="15"/>
  <c r="Z157" i="15"/>
  <c r="Y157" i="15"/>
  <c r="Q179" i="14"/>
  <c r="D132" i="36" s="1"/>
  <c r="AB157" i="15"/>
  <c r="X157" i="15"/>
  <c r="Q248" i="15"/>
  <c r="E219" i="34" s="1"/>
  <c r="Y156" i="15"/>
  <c r="K75" i="10"/>
  <c r="K74" i="10"/>
  <c r="AB156" i="15"/>
  <c r="Q75" i="14"/>
  <c r="V156" i="15"/>
  <c r="F121" i="34" s="1"/>
  <c r="Q74" i="14"/>
  <c r="Q193" i="14"/>
  <c r="D145" i="36" s="1"/>
  <c r="Q230" i="14"/>
  <c r="E38" i="36" s="1"/>
  <c r="J44" i="10"/>
  <c r="D48" i="10"/>
  <c r="J46" i="10" s="1"/>
  <c r="D56" i="10"/>
  <c r="F56" i="10" s="1"/>
  <c r="D76" i="10"/>
  <c r="X283" i="15"/>
  <c r="AB283" i="15"/>
  <c r="Y283" i="15"/>
  <c r="AC283" i="15"/>
  <c r="Z283" i="15"/>
  <c r="V283" i="15"/>
  <c r="F260" i="34" s="1"/>
  <c r="AA283" i="15"/>
  <c r="X308" i="15"/>
  <c r="AB308" i="15"/>
  <c r="Y308" i="15"/>
  <c r="AC308" i="15"/>
  <c r="Z308" i="15"/>
  <c r="V308" i="15"/>
  <c r="F283" i="34" s="1"/>
  <c r="AA308" i="15"/>
  <c r="Y284" i="15"/>
  <c r="AC284" i="15"/>
  <c r="Z284" i="15"/>
  <c r="V284" i="15"/>
  <c r="F261" i="34" s="1"/>
  <c r="AA284" i="15"/>
  <c r="X284" i="15"/>
  <c r="AB284" i="15"/>
  <c r="X299" i="15"/>
  <c r="AB299" i="15"/>
  <c r="Y299" i="15"/>
  <c r="AC299" i="15"/>
  <c r="Z299" i="15"/>
  <c r="V299" i="15"/>
  <c r="F274" i="34" s="1"/>
  <c r="AA299" i="15"/>
  <c r="Y324" i="15"/>
  <c r="AC324" i="15"/>
  <c r="Z324" i="15"/>
  <c r="AA324" i="15"/>
  <c r="X324" i="15"/>
  <c r="AB324" i="15"/>
  <c r="AA282" i="15"/>
  <c r="X282" i="15"/>
  <c r="AB282" i="15"/>
  <c r="Y282" i="15"/>
  <c r="AC282" i="15"/>
  <c r="Z282" i="15"/>
  <c r="Q86" i="14"/>
  <c r="D10" i="36" s="1"/>
  <c r="J10" i="36" s="1"/>
  <c r="I10" i="36" s="1"/>
  <c r="AV327" i="15"/>
  <c r="AZ327" i="15"/>
  <c r="AW327" i="15"/>
  <c r="AS327" i="15"/>
  <c r="AX327" i="15"/>
  <c r="AU327" i="15"/>
  <c r="AY327" i="15"/>
  <c r="Z310" i="15"/>
  <c r="V310" i="15"/>
  <c r="F285" i="34" s="1"/>
  <c r="AA310" i="15"/>
  <c r="X310" i="15"/>
  <c r="AB310" i="15"/>
  <c r="Y310" i="15"/>
  <c r="AC310" i="15"/>
  <c r="V285" i="15"/>
  <c r="F262" i="34" s="1"/>
  <c r="AA285" i="15"/>
  <c r="X285" i="15"/>
  <c r="AB285" i="15"/>
  <c r="Y285" i="15"/>
  <c r="AC285" i="15"/>
  <c r="Z285" i="15"/>
  <c r="Z311" i="15"/>
  <c r="AA311" i="15"/>
  <c r="X311" i="15"/>
  <c r="AB311" i="15"/>
  <c r="Y311" i="15"/>
  <c r="AC311" i="15"/>
  <c r="V325" i="15"/>
  <c r="F294" i="34" s="1"/>
  <c r="AA325" i="15"/>
  <c r="X325" i="15"/>
  <c r="AB325" i="15"/>
  <c r="Y325" i="15"/>
  <c r="AC325" i="15"/>
  <c r="Z325" i="15"/>
  <c r="AU326" i="15"/>
  <c r="BD326" i="15" s="1"/>
  <c r="AY326" i="15"/>
  <c r="BH326" i="15" s="1"/>
  <c r="AV326" i="15"/>
  <c r="BE326" i="15" s="1"/>
  <c r="AZ326" i="15"/>
  <c r="BI326" i="15" s="1"/>
  <c r="AW326" i="15"/>
  <c r="BF326" i="15" s="1"/>
  <c r="AS326" i="15"/>
  <c r="BB326" i="15" s="1"/>
  <c r="AX326" i="15"/>
  <c r="BG326" i="15" s="1"/>
  <c r="AA272" i="15"/>
  <c r="Z272" i="15"/>
  <c r="AC272" i="15"/>
  <c r="Y272" i="15"/>
  <c r="AB272" i="15"/>
  <c r="X272" i="15"/>
  <c r="V321" i="15"/>
  <c r="F290" i="34" s="1"/>
  <c r="AA321" i="15"/>
  <c r="AB321" i="15"/>
  <c r="Y321" i="15"/>
  <c r="AC321" i="15"/>
  <c r="Z321" i="15"/>
  <c r="Y309" i="15"/>
  <c r="AC309" i="15"/>
  <c r="Z309" i="15"/>
  <c r="V309" i="15"/>
  <c r="F284" i="34" s="1"/>
  <c r="AA309" i="15"/>
  <c r="X309" i="15"/>
  <c r="AB309" i="15"/>
  <c r="Y281" i="15"/>
  <c r="AC281" i="15"/>
  <c r="Z281" i="15"/>
  <c r="V281" i="15"/>
  <c r="F258" i="34" s="1"/>
  <c r="AA281" i="15"/>
  <c r="X281" i="15"/>
  <c r="AB281" i="15"/>
  <c r="AW328" i="15"/>
  <c r="AS328" i="15"/>
  <c r="AX328" i="15"/>
  <c r="AU328" i="15"/>
  <c r="AY328" i="15"/>
  <c r="AV328" i="15"/>
  <c r="AZ328" i="15"/>
  <c r="V307" i="15"/>
  <c r="F282" i="34" s="1"/>
  <c r="AA307" i="15"/>
  <c r="X307" i="15"/>
  <c r="AB307" i="15"/>
  <c r="Y307" i="15"/>
  <c r="AC307" i="15"/>
  <c r="Z307" i="15"/>
  <c r="V306" i="15"/>
  <c r="F281" i="34" s="1"/>
  <c r="AA306" i="15"/>
  <c r="X306" i="15"/>
  <c r="AB306" i="15"/>
  <c r="Y306" i="15"/>
  <c r="AC306" i="15"/>
  <c r="Z306" i="15"/>
  <c r="AB424" i="15"/>
  <c r="X424" i="15"/>
  <c r="AA424" i="15"/>
  <c r="V424" i="15"/>
  <c r="F377" i="34" s="1"/>
  <c r="Z424" i="15"/>
  <c r="AC424" i="15"/>
  <c r="Y424" i="15"/>
  <c r="Z426" i="15"/>
  <c r="AC426" i="15"/>
  <c r="Y426" i="15"/>
  <c r="AB426" i="15"/>
  <c r="X426" i="15"/>
  <c r="AA426" i="15"/>
  <c r="V426" i="15"/>
  <c r="F379" i="34" s="1"/>
  <c r="AC420" i="15"/>
  <c r="Y420" i="15"/>
  <c r="AB420" i="15"/>
  <c r="X420" i="15"/>
  <c r="AA420" i="15"/>
  <c r="V420" i="15"/>
  <c r="F373" i="34" s="1"/>
  <c r="Z420" i="15"/>
  <c r="AC425" i="15"/>
  <c r="Y425" i="15"/>
  <c r="AB425" i="15"/>
  <c r="X425" i="15"/>
  <c r="AA425" i="15"/>
  <c r="V425" i="15"/>
  <c r="F378" i="34" s="1"/>
  <c r="Z425" i="15"/>
  <c r="AB419" i="15"/>
  <c r="X419" i="15"/>
  <c r="AA419" i="15"/>
  <c r="V419" i="15"/>
  <c r="F372" i="34" s="1"/>
  <c r="Z419" i="15"/>
  <c r="AC419" i="15"/>
  <c r="Y419" i="15"/>
  <c r="Z421" i="15"/>
  <c r="AC421" i="15"/>
  <c r="Y421" i="15"/>
  <c r="AB421" i="15"/>
  <c r="X421" i="15"/>
  <c r="AA421" i="15"/>
  <c r="V421" i="15"/>
  <c r="F374" i="34" s="1"/>
  <c r="Q172" i="14"/>
  <c r="D126" i="36" s="1"/>
  <c r="AS280" i="15"/>
  <c r="AX280" i="15"/>
  <c r="AU280" i="15"/>
  <c r="AY280" i="15"/>
  <c r="AV280" i="15"/>
  <c r="AZ280" i="15"/>
  <c r="AW280" i="15"/>
  <c r="AS279" i="15"/>
  <c r="AX279" i="15"/>
  <c r="AU279" i="15"/>
  <c r="AY279" i="15"/>
  <c r="AW279" i="15"/>
  <c r="AV279" i="15"/>
  <c r="AZ279" i="15"/>
  <c r="AY278" i="15"/>
  <c r="AU278" i="15"/>
  <c r="AZ278" i="15"/>
  <c r="AX278" i="15"/>
  <c r="AS278" i="15"/>
  <c r="AW278" i="15"/>
  <c r="AV278" i="15"/>
  <c r="AU235" i="15"/>
  <c r="AW235" i="15"/>
  <c r="BI193" i="15"/>
  <c r="BR193" i="15" s="1"/>
  <c r="BK193" i="15"/>
  <c r="BT193" i="15" s="1"/>
  <c r="Q102" i="14"/>
  <c r="D31" i="36" s="1"/>
  <c r="J31" i="36" s="1"/>
  <c r="I31" i="36" s="1"/>
  <c r="AX188" i="15"/>
  <c r="AU188" i="15"/>
  <c r="AY188" i="15"/>
  <c r="AV188" i="15"/>
  <c r="AZ188" i="15"/>
  <c r="AW188" i="15"/>
  <c r="Q103" i="14"/>
  <c r="D32" i="36" s="1"/>
  <c r="J32" i="36" s="1"/>
  <c r="I32" i="36" s="1"/>
  <c r="AV189" i="15"/>
  <c r="AZ189" i="15"/>
  <c r="AW189" i="15"/>
  <c r="AX189" i="15"/>
  <c r="AU189" i="15"/>
  <c r="AY189" i="15"/>
  <c r="AX243" i="15"/>
  <c r="AS243" i="15"/>
  <c r="BF193" i="15"/>
  <c r="BO193" i="15" s="1"/>
  <c r="BH193" i="15"/>
  <c r="BQ193" i="15" s="1"/>
  <c r="Q101" i="14"/>
  <c r="D30" i="36" s="1"/>
  <c r="J30" i="36" s="1"/>
  <c r="I30" i="36" s="1"/>
  <c r="AV187" i="15"/>
  <c r="AZ187" i="15"/>
  <c r="AW187" i="15"/>
  <c r="AX187" i="15"/>
  <c r="AY187" i="15"/>
  <c r="AW177" i="15"/>
  <c r="AS177" i="15"/>
  <c r="AX177" i="15"/>
  <c r="AY177" i="15"/>
  <c r="AV177" i="15"/>
  <c r="AZ177" i="15"/>
  <c r="Q70" i="14"/>
  <c r="F71" i="36" s="1"/>
  <c r="J71" i="36" s="1"/>
  <c r="I71" i="36" s="1"/>
  <c r="BJ193" i="15"/>
  <c r="BS193" i="15" s="1"/>
  <c r="AU186" i="15"/>
  <c r="BD187" i="15" s="1"/>
  <c r="AS186" i="15"/>
  <c r="BB187" i="15" s="1"/>
  <c r="BK187" i="15" s="1"/>
  <c r="Q137" i="14"/>
  <c r="D66" i="36" s="1"/>
  <c r="J66" i="36" s="1"/>
  <c r="I66" i="36" s="1"/>
  <c r="Q119" i="14"/>
  <c r="D54" i="36" s="1"/>
  <c r="BG193" i="15"/>
  <c r="BP193" i="15" s="1"/>
  <c r="Q118" i="14"/>
  <c r="D49" i="36" s="1"/>
  <c r="J49" i="36" s="1"/>
  <c r="I49" i="36" s="1"/>
  <c r="Y125" i="15"/>
  <c r="AC125" i="15"/>
  <c r="D82" i="10"/>
  <c r="Q57" i="14"/>
  <c r="F19" i="36" s="1"/>
  <c r="Q175" i="14"/>
  <c r="D128" i="36" s="1"/>
  <c r="Q130" i="14"/>
  <c r="D62" i="36" s="1"/>
  <c r="J62" i="36" s="1"/>
  <c r="I62" i="36" s="1"/>
  <c r="Q171" i="14"/>
  <c r="D125" i="36" s="1"/>
  <c r="AZ243" i="15"/>
  <c r="AB151" i="15"/>
  <c r="AA125" i="15"/>
  <c r="Q185" i="14"/>
  <c r="D138" i="36" s="1"/>
  <c r="Q168" i="14"/>
  <c r="D122" i="36" s="1"/>
  <c r="Q116" i="14"/>
  <c r="D48" i="36" s="1"/>
  <c r="Q113" i="14"/>
  <c r="D45" i="36" s="1"/>
  <c r="J45" i="36" s="1"/>
  <c r="I45" i="36" s="1"/>
  <c r="Q94" i="14"/>
  <c r="D23" i="36" s="1"/>
  <c r="J23" i="36" s="1"/>
  <c r="I23" i="36" s="1"/>
  <c r="AA151" i="15"/>
  <c r="X151" i="15"/>
  <c r="X125" i="15"/>
  <c r="AB125" i="15"/>
  <c r="AV243" i="15"/>
  <c r="Q186" i="14"/>
  <c r="D139" i="36" s="1"/>
  <c r="Z125" i="15"/>
  <c r="Q189" i="14"/>
  <c r="D142" i="36" s="1"/>
  <c r="Q178" i="14"/>
  <c r="D131" i="36" s="1"/>
  <c r="Y151" i="15"/>
  <c r="Z151" i="15"/>
  <c r="AC151" i="15"/>
  <c r="AU243" i="15"/>
  <c r="AW243" i="15"/>
  <c r="AY243" i="15"/>
  <c r="Q195" i="14"/>
  <c r="D147" i="36" s="1"/>
  <c r="Q228" i="14"/>
  <c r="E48" i="36" s="1"/>
  <c r="Q226" i="14"/>
  <c r="E43" i="36" s="1"/>
  <c r="Q115" i="14"/>
  <c r="D47" i="36" s="1"/>
  <c r="J47" i="36" s="1"/>
  <c r="I47" i="36" s="1"/>
  <c r="Q65" i="14"/>
  <c r="F52" i="36" s="1"/>
  <c r="AA139" i="15"/>
  <c r="Z139" i="15"/>
  <c r="AC139" i="15"/>
  <c r="Y139" i="15"/>
  <c r="AB139" i="15"/>
  <c r="X139" i="15"/>
  <c r="Q93" i="14"/>
  <c r="D22" i="36" s="1"/>
  <c r="J22" i="36" s="1"/>
  <c r="I22" i="36" s="1"/>
  <c r="AZ179" i="15"/>
  <c r="AW179" i="15"/>
  <c r="AU179" i="15"/>
  <c r="AY179" i="15"/>
  <c r="AX179" i="15"/>
  <c r="Q141" i="14"/>
  <c r="D74" i="36" s="1"/>
  <c r="J74" i="36" s="1"/>
  <c r="I74" i="36" s="1"/>
  <c r="AX245" i="15"/>
  <c r="AW245" i="15"/>
  <c r="AZ245" i="15"/>
  <c r="AV245" i="15"/>
  <c r="AY245" i="15"/>
  <c r="AU245" i="15"/>
  <c r="Q69" i="14"/>
  <c r="F70" i="36" s="1"/>
  <c r="J70" i="36" s="1"/>
  <c r="I70" i="36" s="1"/>
  <c r="AC150" i="15"/>
  <c r="Y150" i="15"/>
  <c r="AB150" i="15"/>
  <c r="X150" i="15"/>
  <c r="AA150" i="15"/>
  <c r="Z150" i="15"/>
  <c r="Q64" i="14"/>
  <c r="F51" i="36" s="1"/>
  <c r="AC138" i="15"/>
  <c r="Y138" i="15"/>
  <c r="AB138" i="15"/>
  <c r="X138" i="15"/>
  <c r="AA138" i="15"/>
  <c r="Z138" i="15"/>
  <c r="Q164" i="14"/>
  <c r="D118" i="36" s="1"/>
  <c r="Q218" i="14"/>
  <c r="E8" i="36" s="1"/>
  <c r="J8" i="36" s="1"/>
  <c r="I8" i="36" s="1"/>
  <c r="Q220" i="14"/>
  <c r="E18" i="36" s="1"/>
  <c r="Q84" i="14"/>
  <c r="D6" i="36" s="1"/>
  <c r="AA170" i="15"/>
  <c r="Y170" i="15"/>
  <c r="AC170" i="15"/>
  <c r="AB170" i="15"/>
  <c r="Z170" i="15"/>
  <c r="Q135" i="14"/>
  <c r="D64" i="36" s="1"/>
  <c r="J64" i="36" s="1"/>
  <c r="I64" i="36" s="1"/>
  <c r="AX234" i="15"/>
  <c r="AW234" i="15"/>
  <c r="AZ234" i="15"/>
  <c r="AV234" i="15"/>
  <c r="AY234" i="15"/>
  <c r="AU234" i="15"/>
  <c r="Q154" i="14"/>
  <c r="D109" i="36" s="1"/>
  <c r="Q223" i="14"/>
  <c r="E29" i="36" s="1"/>
  <c r="Q167" i="14"/>
  <c r="D121" i="36" s="1"/>
  <c r="Q120" i="14"/>
  <c r="D55" i="36" s="1"/>
  <c r="E491" i="34" s="1"/>
  <c r="Q85" i="14"/>
  <c r="D9" i="36" s="1"/>
  <c r="Q231" i="14"/>
  <c r="E46" i="36" s="1"/>
  <c r="Q68" i="14"/>
  <c r="F69" i="36" s="1"/>
  <c r="J69" i="36" s="1"/>
  <c r="I69" i="36" s="1"/>
  <c r="AA149" i="15"/>
  <c r="Z149" i="15"/>
  <c r="AC149" i="15"/>
  <c r="Y149" i="15"/>
  <c r="AB149" i="15"/>
  <c r="X149" i="15"/>
  <c r="Q107" i="14"/>
  <c r="D40" i="36" s="1"/>
  <c r="Q66" i="14"/>
  <c r="F53" i="36" s="1"/>
  <c r="J53" i="36" s="1"/>
  <c r="I53" i="36" s="1"/>
  <c r="AC140" i="15"/>
  <c r="Y140" i="15"/>
  <c r="AB140" i="15"/>
  <c r="X140" i="15"/>
  <c r="AA140" i="15"/>
  <c r="Z140" i="15"/>
  <c r="Q105" i="14"/>
  <c r="D34" i="36" s="1"/>
  <c r="J34" i="36" s="1"/>
  <c r="I34" i="36" s="1"/>
  <c r="Q58" i="14"/>
  <c r="F27" i="36" s="1"/>
  <c r="J27" i="36" s="1"/>
  <c r="I27" i="36" s="1"/>
  <c r="AC126" i="15"/>
  <c r="Y126" i="15"/>
  <c r="AB126" i="15"/>
  <c r="X126" i="15"/>
  <c r="AA126" i="15"/>
  <c r="Z126" i="15"/>
  <c r="Q155" i="14"/>
  <c r="D110" i="36" s="1"/>
  <c r="Q159" i="14"/>
  <c r="D114" i="36" s="1"/>
  <c r="Q142" i="14"/>
  <c r="D75" i="36" s="1"/>
  <c r="J75" i="36" s="1"/>
  <c r="I75" i="36" s="1"/>
  <c r="AC246" i="15"/>
  <c r="AB246" i="15"/>
  <c r="X246" i="15"/>
  <c r="AA246" i="15"/>
  <c r="Z246" i="15"/>
  <c r="Q143" i="14"/>
  <c r="D78" i="36" s="1"/>
  <c r="J78" i="36" s="1"/>
  <c r="I78" i="36" s="1"/>
  <c r="AA247" i="15"/>
  <c r="Z247" i="15"/>
  <c r="AC247" i="15"/>
  <c r="Y247" i="15"/>
  <c r="X247" i="15"/>
  <c r="Q91" i="14"/>
  <c r="D20" i="36" s="1"/>
  <c r="J20" i="36" s="1"/>
  <c r="I20" i="36" s="1"/>
  <c r="Q56" i="14"/>
  <c r="F18" i="36" s="1"/>
  <c r="AA124" i="15"/>
  <c r="Z124" i="15"/>
  <c r="AC124" i="15"/>
  <c r="Y124" i="15"/>
  <c r="AB124" i="15"/>
  <c r="X124" i="15"/>
  <c r="Q176" i="14"/>
  <c r="D129" i="36" s="1"/>
  <c r="Q188" i="14"/>
  <c r="D141" i="36" s="1"/>
  <c r="Q122" i="14"/>
  <c r="D56" i="36" s="1"/>
  <c r="J56" i="36" s="1"/>
  <c r="I56" i="36" s="1"/>
  <c r="Q60" i="14"/>
  <c r="F28" i="36" s="1"/>
  <c r="J28" i="36" s="1"/>
  <c r="I28" i="36" s="1"/>
  <c r="AA134" i="15"/>
  <c r="Z134" i="15"/>
  <c r="AC134" i="15"/>
  <c r="Y134" i="15"/>
  <c r="AB134" i="15"/>
  <c r="X134" i="15"/>
  <c r="Q157" i="14"/>
  <c r="D112" i="36" s="1"/>
  <c r="Q145" i="14"/>
  <c r="D80" i="36" s="1"/>
  <c r="J80" i="36" s="1"/>
  <c r="I80" i="36" s="1"/>
  <c r="AA249" i="15"/>
  <c r="Z249" i="15"/>
  <c r="AC249" i="15"/>
  <c r="Y249" i="15"/>
  <c r="AB249" i="15"/>
  <c r="X249" i="15"/>
  <c r="Q96" i="14"/>
  <c r="D18" i="36" s="1"/>
  <c r="AC182" i="15"/>
  <c r="Y182" i="15"/>
  <c r="X182" i="15"/>
  <c r="AB182" i="15"/>
  <c r="AA182" i="15"/>
  <c r="Z182" i="15"/>
  <c r="Q181" i="14"/>
  <c r="D134" i="36" s="1"/>
  <c r="Q131" i="14"/>
  <c r="D63" i="36" s="1"/>
  <c r="J63" i="36" s="1"/>
  <c r="I63" i="36" s="1"/>
  <c r="AC220" i="15"/>
  <c r="AB220" i="15"/>
  <c r="AA220" i="15"/>
  <c r="Z220" i="15"/>
  <c r="Q156" i="14"/>
  <c r="D111" i="36" s="1"/>
  <c r="Q229" i="14"/>
  <c r="E50" i="36" s="1"/>
  <c r="Q110" i="14"/>
  <c r="D43" i="36" s="1"/>
  <c r="J43" i="36" s="1"/>
  <c r="I43" i="36" s="1"/>
  <c r="Q190" i="14"/>
  <c r="D143" i="36" s="1"/>
  <c r="Q128" i="14"/>
  <c r="D61" i="36" s="1"/>
  <c r="J61" i="36" s="1"/>
  <c r="I61" i="36" s="1"/>
  <c r="AA217" i="15"/>
  <c r="Z217" i="15"/>
  <c r="AC217" i="15"/>
  <c r="Y217" i="15"/>
  <c r="AB217" i="15"/>
  <c r="X217" i="15"/>
  <c r="Q136" i="14"/>
  <c r="D65" i="36" s="1"/>
  <c r="J65" i="36" s="1"/>
  <c r="I65" i="36" s="1"/>
  <c r="AZ235" i="15"/>
  <c r="AV235" i="15"/>
  <c r="AY235" i="15"/>
  <c r="AX235" i="15"/>
  <c r="Q169" i="14"/>
  <c r="D123" i="36" s="1"/>
  <c r="Q162" i="14"/>
  <c r="D116" i="36" s="1"/>
  <c r="Q219" i="14"/>
  <c r="E11" i="36" s="1"/>
  <c r="Q99" i="14"/>
  <c r="D19" i="36" s="1"/>
  <c r="AC185" i="15"/>
  <c r="Y185" i="15"/>
  <c r="AB185" i="15"/>
  <c r="AA185" i="15"/>
  <c r="Z185" i="15"/>
  <c r="Q73" i="14"/>
  <c r="F73" i="36" s="1"/>
  <c r="Q187" i="14"/>
  <c r="D140" i="36" s="1"/>
  <c r="Q225" i="14"/>
  <c r="E40" i="36" s="1"/>
  <c r="Q182" i="14"/>
  <c r="D135" i="36" s="1"/>
  <c r="Q177" i="14"/>
  <c r="D130" i="36" s="1"/>
  <c r="Q121" i="14"/>
  <c r="D51" i="36" s="1"/>
  <c r="AA207" i="15"/>
  <c r="Z207" i="15"/>
  <c r="X207" i="15"/>
  <c r="AC207" i="15"/>
  <c r="AB207" i="15"/>
  <c r="Y207" i="15"/>
  <c r="Q104" i="14"/>
  <c r="D33" i="36" s="1"/>
  <c r="AA190" i="15"/>
  <c r="Z190" i="15"/>
  <c r="AB190" i="15"/>
  <c r="Y190" i="15"/>
  <c r="X190" i="15"/>
  <c r="AC190" i="15"/>
  <c r="Q88" i="14"/>
  <c r="D12" i="36" s="1"/>
  <c r="J12" i="36" s="1"/>
  <c r="I12" i="36" s="1"/>
  <c r="Q163" i="14"/>
  <c r="D117" i="36" s="1"/>
  <c r="Q232" i="14"/>
  <c r="E67" i="36" s="1"/>
  <c r="J67" i="36" s="1"/>
  <c r="I67" i="36" s="1"/>
  <c r="Q111" i="14"/>
  <c r="D44" i="36" s="1"/>
  <c r="AC197" i="15"/>
  <c r="Y197" i="15"/>
  <c r="AB197" i="15"/>
  <c r="X197" i="15"/>
  <c r="Z197" i="15"/>
  <c r="AA197" i="15"/>
  <c r="Q100" i="14"/>
  <c r="D29" i="36" s="1"/>
  <c r="AX186" i="15"/>
  <c r="BG187" i="15" s="1"/>
  <c r="AY186" i="15"/>
  <c r="BH187" i="15" s="1"/>
  <c r="AW186" i="15"/>
  <c r="BF187" i="15" s="1"/>
  <c r="AV186" i="15"/>
  <c r="BE187" i="15" s="1"/>
  <c r="AZ186" i="15"/>
  <c r="BI187" i="15" s="1"/>
  <c r="Q87" i="14"/>
  <c r="D11" i="36" s="1"/>
  <c r="Q127" i="14"/>
  <c r="D60" i="36" s="1"/>
  <c r="J60" i="36" s="1"/>
  <c r="I60" i="36" s="1"/>
  <c r="Q89" i="14"/>
  <c r="D13" i="36" s="1"/>
  <c r="J13" i="36" s="1"/>
  <c r="I13" i="36" s="1"/>
  <c r="Q109" i="14"/>
  <c r="D42" i="36" s="1"/>
  <c r="J42" i="36" s="1"/>
  <c r="I42" i="36" s="1"/>
  <c r="Q140" i="14"/>
  <c r="D73" i="36" s="1"/>
  <c r="AZ244" i="15"/>
  <c r="AV244" i="15"/>
  <c r="AY244" i="15"/>
  <c r="AX244" i="15"/>
  <c r="AW244" i="15"/>
  <c r="Q217" i="14"/>
  <c r="E7" i="36" s="1"/>
  <c r="Q161" i="14"/>
  <c r="D115" i="36" s="1"/>
  <c r="Q62" i="14"/>
  <c r="F39" i="36" s="1"/>
  <c r="J39" i="36" s="1"/>
  <c r="I39" i="36" s="1"/>
  <c r="AA136" i="15"/>
  <c r="Z136" i="15"/>
  <c r="AC136" i="15"/>
  <c r="Y136" i="15"/>
  <c r="AB136" i="15"/>
  <c r="X136" i="15"/>
  <c r="Q106" i="14"/>
  <c r="D35" i="36" s="1"/>
  <c r="J35" i="36" s="1"/>
  <c r="I35" i="36" s="1"/>
  <c r="Q108" i="14"/>
  <c r="D41" i="36" s="1"/>
  <c r="J41" i="36" s="1"/>
  <c r="I41" i="36" s="1"/>
  <c r="BI194" i="15"/>
  <c r="BH194" i="15"/>
  <c r="BJ194" i="15"/>
  <c r="BG194" i="15"/>
  <c r="BF194" i="15"/>
  <c r="BK194" i="15"/>
  <c r="Q92" i="14"/>
  <c r="D21" i="36" s="1"/>
  <c r="J21" i="36" s="1"/>
  <c r="I21" i="36" s="1"/>
  <c r="AZ178" i="15"/>
  <c r="AV178" i="15"/>
  <c r="AX178" i="15"/>
  <c r="AW178" i="15"/>
  <c r="AY178" i="15"/>
  <c r="Q194" i="14"/>
  <c r="D146" i="36" s="1"/>
  <c r="Q191" i="14"/>
  <c r="D144" i="36" s="1"/>
  <c r="Q233" i="14"/>
  <c r="E68" i="36" s="1"/>
  <c r="J68" i="36" s="1"/>
  <c r="I68" i="36" s="1"/>
  <c r="Q165" i="14"/>
  <c r="D119" i="36" s="1"/>
  <c r="Q183" i="14"/>
  <c r="D136" i="36" s="1"/>
  <c r="Q166" i="14"/>
  <c r="D120" i="36" s="1"/>
  <c r="Q222" i="14"/>
  <c r="E37" i="36" s="1"/>
  <c r="J37" i="36" s="1"/>
  <c r="I37" i="36" s="1"/>
  <c r="Q224" i="14"/>
  <c r="E33" i="36" s="1"/>
  <c r="Q90" i="14"/>
  <c r="D14" i="36" s="1"/>
  <c r="Q227" i="14"/>
  <c r="E44" i="36" s="1"/>
  <c r="J34" i="10"/>
  <c r="AI300" i="15" l="1"/>
  <c r="AO300" i="15"/>
  <c r="AJ300" i="15"/>
  <c r="AL300" i="15"/>
  <c r="F275" i="34"/>
  <c r="AN300" i="15"/>
  <c r="AH300" i="15"/>
  <c r="AM300" i="15"/>
  <c r="P22" i="20"/>
  <c r="D560" i="34" s="1"/>
  <c r="AN40" i="24"/>
  <c r="K501" i="24"/>
  <c r="AD501" i="24" s="1"/>
  <c r="U540" i="24"/>
  <c r="U544" i="24" s="1"/>
  <c r="AH544" i="24" s="1"/>
  <c r="V112" i="15"/>
  <c r="F84" i="34" s="1"/>
  <c r="AD624" i="24"/>
  <c r="AN628" i="24" s="1"/>
  <c r="AN633" i="24" s="1"/>
  <c r="AG633" i="24"/>
  <c r="BD112" i="15"/>
  <c r="X112" i="15"/>
  <c r="N628" i="24"/>
  <c r="T106" i="16"/>
  <c r="AN400" i="24"/>
  <c r="AO396" i="24"/>
  <c r="H428" i="34"/>
  <c r="AM422" i="15"/>
  <c r="H314" i="24"/>
  <c r="AO32" i="24"/>
  <c r="AK322" i="15"/>
  <c r="R526" i="24"/>
  <c r="AF526" i="24" s="1"/>
  <c r="AP396" i="24"/>
  <c r="AN328" i="24"/>
  <c r="AI633" i="24"/>
  <c r="H526" i="24"/>
  <c r="H628" i="24"/>
  <c r="K506" i="24"/>
  <c r="AD506" i="24" s="1"/>
  <c r="U172" i="24"/>
  <c r="AP172" i="24" s="1"/>
  <c r="AD162" i="24"/>
  <c r="AR521" i="24"/>
  <c r="H92" i="24"/>
  <c r="D92" i="24" s="1"/>
  <c r="AN90" i="24"/>
  <c r="AN288" i="24"/>
  <c r="AN290" i="24" s="1"/>
  <c r="AQ290" i="24"/>
  <c r="AR290" i="24"/>
  <c r="AT195" i="24"/>
  <c r="AO195" i="24"/>
  <c r="AO193" i="24"/>
  <c r="AS195" i="24"/>
  <c r="AS99" i="24"/>
  <c r="AT99" i="24"/>
  <c r="AO99" i="24"/>
  <c r="AO97" i="24"/>
  <c r="AN71" i="24"/>
  <c r="H73" i="24"/>
  <c r="AN198" i="24"/>
  <c r="AN200" i="24" s="1"/>
  <c r="AQ200" i="24"/>
  <c r="AR200" i="24"/>
  <c r="AN174" i="24"/>
  <c r="AN176" i="24" s="1"/>
  <c r="AQ176" i="24"/>
  <c r="AR176" i="24"/>
  <c r="AN186" i="24"/>
  <c r="H188" i="24"/>
  <c r="D188" i="24" s="1"/>
  <c r="AN265" i="24"/>
  <c r="H267" i="24"/>
  <c r="D267" i="24" s="1"/>
  <c r="AT214" i="24"/>
  <c r="AO214" i="24"/>
  <c r="AO212" i="24"/>
  <c r="AS214" i="24"/>
  <c r="AN590" i="24"/>
  <c r="AN592" i="24" s="1"/>
  <c r="AQ592" i="24"/>
  <c r="AR592" i="24"/>
  <c r="AN383" i="24"/>
  <c r="H386" i="24"/>
  <c r="E386" i="24" s="1"/>
  <c r="AN376" i="24"/>
  <c r="H378" i="24"/>
  <c r="AO274" i="24"/>
  <c r="AO276" i="24" s="1"/>
  <c r="AT276" i="24"/>
  <c r="AS276" i="24"/>
  <c r="AU200" i="24"/>
  <c r="AP198" i="24"/>
  <c r="AP200" i="24" s="1"/>
  <c r="AV200" i="24"/>
  <c r="AS328" i="24"/>
  <c r="AT328" i="24"/>
  <c r="AO326" i="24"/>
  <c r="AO328" i="24"/>
  <c r="AT425" i="24"/>
  <c r="AO425" i="24"/>
  <c r="AO423" i="24"/>
  <c r="AS425" i="24"/>
  <c r="AN416" i="24"/>
  <c r="H418" i="24"/>
  <c r="AN338" i="24"/>
  <c r="H340" i="24"/>
  <c r="AN550" i="24"/>
  <c r="H552" i="24"/>
  <c r="AR552" i="24"/>
  <c r="AQ552" i="24"/>
  <c r="AN610" i="24"/>
  <c r="AN612" i="24" s="1"/>
  <c r="AQ612" i="24"/>
  <c r="AR612" i="24"/>
  <c r="AN319" i="24"/>
  <c r="H321" i="24"/>
  <c r="AO521" i="24"/>
  <c r="AN109" i="24"/>
  <c r="H111" i="24"/>
  <c r="AU391" i="24"/>
  <c r="AP389" i="24"/>
  <c r="AP391" i="24" s="1"/>
  <c r="AV391" i="24"/>
  <c r="AP524" i="24"/>
  <c r="AP526" i="24" s="1"/>
  <c r="AV526" i="24"/>
  <c r="AU526" i="24"/>
  <c r="AN558" i="24"/>
  <c r="H560" i="24"/>
  <c r="AN538" i="24"/>
  <c r="H540" i="24"/>
  <c r="AN570" i="24"/>
  <c r="AN572" i="24" s="1"/>
  <c r="AR572" i="24"/>
  <c r="AQ572" i="24"/>
  <c r="AN409" i="24"/>
  <c r="AN411" i="24" s="1"/>
  <c r="AQ411" i="24"/>
  <c r="AR411" i="24"/>
  <c r="AP312" i="24"/>
  <c r="AP314" i="24" s="1"/>
  <c r="AU314" i="24"/>
  <c r="AV314" i="24"/>
  <c r="AN59" i="24"/>
  <c r="AN61" i="24" s="1"/>
  <c r="H61" i="24"/>
  <c r="AQ61" i="24"/>
  <c r="AR61" i="24"/>
  <c r="AR501" i="24"/>
  <c r="AN501" i="24"/>
  <c r="AN499" i="24"/>
  <c r="H501" i="24"/>
  <c r="D501" i="24" s="1"/>
  <c r="AQ501" i="24"/>
  <c r="AT314" i="24"/>
  <c r="AO312" i="24"/>
  <c r="AO314" i="24" s="1"/>
  <c r="AS314" i="24"/>
  <c r="H305" i="24"/>
  <c r="E305" i="24" s="1"/>
  <c r="H191" i="24"/>
  <c r="H210" i="24"/>
  <c r="E210" i="24" s="1"/>
  <c r="AR328" i="24"/>
  <c r="H324" i="24"/>
  <c r="AO288" i="24"/>
  <c r="AO290" i="24" s="1"/>
  <c r="AS290" i="24"/>
  <c r="AT290" i="24"/>
  <c r="AQ195" i="24"/>
  <c r="AN195" i="24"/>
  <c r="AN193" i="24"/>
  <c r="AR195" i="24"/>
  <c r="AO155" i="24"/>
  <c r="AO157" i="24" s="1"/>
  <c r="AS157" i="24"/>
  <c r="AT157" i="24"/>
  <c r="H150" i="24"/>
  <c r="AN148" i="24"/>
  <c r="AO137" i="24"/>
  <c r="AS138" i="24"/>
  <c r="AT138" i="24"/>
  <c r="AO138" i="24"/>
  <c r="AO174" i="24"/>
  <c r="AO176" i="24" s="1"/>
  <c r="AT176" i="24"/>
  <c r="AS176" i="24"/>
  <c r="AP590" i="24"/>
  <c r="AP592" i="24" s="1"/>
  <c r="AU592" i="24"/>
  <c r="AV592" i="24"/>
  <c r="AP274" i="24"/>
  <c r="AP276" i="24" s="1"/>
  <c r="AV276" i="24"/>
  <c r="AU276" i="24"/>
  <c r="AN598" i="24"/>
  <c r="H600" i="24"/>
  <c r="AT200" i="24"/>
  <c r="AO198" i="24"/>
  <c r="AO200" i="24" s="1"/>
  <c r="AS200" i="24"/>
  <c r="AN444" i="24"/>
  <c r="AN442" i="24"/>
  <c r="AR444" i="24"/>
  <c r="AQ444" i="24"/>
  <c r="H444" i="24"/>
  <c r="E444" i="24" s="1"/>
  <c r="AN357" i="24"/>
  <c r="H359" i="24"/>
  <c r="AN428" i="24"/>
  <c r="AN430" i="24" s="1"/>
  <c r="AQ430" i="24"/>
  <c r="AR430" i="24"/>
  <c r="AO610" i="24"/>
  <c r="AO612" i="24" s="1"/>
  <c r="AT612" i="24"/>
  <c r="AS612" i="24"/>
  <c r="AV511" i="24"/>
  <c r="AU511" i="24"/>
  <c r="AN167" i="24"/>
  <c r="H169" i="24"/>
  <c r="H54" i="24"/>
  <c r="AN52" i="24"/>
  <c r="AT506" i="24"/>
  <c r="AO504" i="24"/>
  <c r="AO506" i="24" s="1"/>
  <c r="AS506" i="24"/>
  <c r="AO447" i="24"/>
  <c r="AO449" i="24" s="1"/>
  <c r="AT449" i="24"/>
  <c r="AS449" i="24"/>
  <c r="AN389" i="24"/>
  <c r="AN391" i="24" s="1"/>
  <c r="H391" i="24"/>
  <c r="AR391" i="24"/>
  <c r="AQ391" i="24"/>
  <c r="R41" i="24"/>
  <c r="AF41" i="24" s="1"/>
  <c r="AO40" i="24"/>
  <c r="AN447" i="24"/>
  <c r="AN449" i="24" s="1"/>
  <c r="AQ449" i="24"/>
  <c r="AR449" i="24"/>
  <c r="AN231" i="24"/>
  <c r="AN233" i="24" s="1"/>
  <c r="AQ233" i="24"/>
  <c r="AR233" i="24"/>
  <c r="AT252" i="24"/>
  <c r="AO252" i="24"/>
  <c r="AO250" i="24"/>
  <c r="AS252" i="24"/>
  <c r="AN552" i="24"/>
  <c r="H592" i="24"/>
  <c r="H286" i="24"/>
  <c r="D286" i="24" s="1"/>
  <c r="H172" i="24"/>
  <c r="E172" i="24" s="1"/>
  <c r="H511" i="24"/>
  <c r="AP511" i="24" s="1"/>
  <c r="H233" i="24"/>
  <c r="E233" i="24" s="1"/>
  <c r="AR300" i="24"/>
  <c r="AR302" i="24" s="1"/>
  <c r="AQ300" i="24"/>
  <c r="AQ302" i="24" s="1"/>
  <c r="AR312" i="24"/>
  <c r="AR314" i="24" s="1"/>
  <c r="AQ312" i="24"/>
  <c r="AQ314" i="24" s="1"/>
  <c r="H118" i="24"/>
  <c r="E118" i="24" s="1"/>
  <c r="AN116" i="24"/>
  <c r="AN118" i="24" s="1"/>
  <c r="AR118" i="24"/>
  <c r="AQ118" i="24"/>
  <c r="AO59" i="24"/>
  <c r="AO61" i="24" s="1"/>
  <c r="AT61" i="24"/>
  <c r="AS61" i="24"/>
  <c r="AN78" i="24"/>
  <c r="AN80" i="24" s="1"/>
  <c r="AR80" i="24"/>
  <c r="AQ80" i="24"/>
  <c r="AO307" i="24"/>
  <c r="AO309" i="24" s="1"/>
  <c r="AT309" i="24"/>
  <c r="AS309" i="24"/>
  <c r="AN281" i="24"/>
  <c r="H283" i="24"/>
  <c r="D283" i="24" s="1"/>
  <c r="AR157" i="24"/>
  <c r="AQ157" i="24"/>
  <c r="AN157" i="24"/>
  <c r="H157" i="24"/>
  <c r="E157" i="24" s="1"/>
  <c r="AN155" i="24"/>
  <c r="AR271" i="24"/>
  <c r="AN271" i="24"/>
  <c r="AN269" i="24"/>
  <c r="H271" i="24"/>
  <c r="D271" i="24" s="1"/>
  <c r="AQ271" i="24"/>
  <c r="AN137" i="24"/>
  <c r="AN138" i="24"/>
  <c r="H138" i="24"/>
  <c r="AQ138" i="24"/>
  <c r="AR138" i="24"/>
  <c r="AT592" i="24"/>
  <c r="AO590" i="24"/>
  <c r="AO592" i="24" s="1"/>
  <c r="AS592" i="24"/>
  <c r="AR406" i="24"/>
  <c r="AQ406" i="24"/>
  <c r="AN404" i="24"/>
  <c r="AN406" i="24"/>
  <c r="AN243" i="24"/>
  <c r="H245" i="24"/>
  <c r="AQ347" i="24"/>
  <c r="AR347" i="24"/>
  <c r="AN345" i="24"/>
  <c r="AN347" i="24" s="1"/>
  <c r="AN454" i="24"/>
  <c r="H456" i="24"/>
  <c r="D456" i="24" s="1"/>
  <c r="AN463" i="24"/>
  <c r="AN461" i="24"/>
  <c r="AR463" i="24"/>
  <c r="AQ463" i="24"/>
  <c r="AT444" i="24"/>
  <c r="AO444" i="24"/>
  <c r="AO442" i="24"/>
  <c r="AS444" i="24"/>
  <c r="AN482" i="24"/>
  <c r="AN480" i="24"/>
  <c r="AR482" i="24"/>
  <c r="AQ482" i="24"/>
  <c r="AP552" i="24"/>
  <c r="AP550" i="24"/>
  <c r="AU552" i="24"/>
  <c r="AV552" i="24"/>
  <c r="AP428" i="24"/>
  <c r="AP430" i="24" s="1"/>
  <c r="AU430" i="24"/>
  <c r="AV430" i="24"/>
  <c r="AP610" i="24"/>
  <c r="AP612" i="24" s="1"/>
  <c r="AV612" i="24"/>
  <c r="AU612" i="24"/>
  <c r="AQ366" i="24"/>
  <c r="AN366" i="24"/>
  <c r="AN364" i="24"/>
  <c r="AR366" i="24"/>
  <c r="AV512" i="24"/>
  <c r="AR512" i="24"/>
  <c r="AR513" i="24" s="1"/>
  <c r="AU512" i="24"/>
  <c r="AQ512" i="24"/>
  <c r="AQ513" i="24" s="1"/>
  <c r="AT512" i="24"/>
  <c r="AT513" i="24" s="1"/>
  <c r="AS512" i="24"/>
  <c r="AS513" i="24" s="1"/>
  <c r="AS638" i="24" s="1"/>
  <c r="AO160" i="24"/>
  <c r="AO162" i="24" s="1"/>
  <c r="AT162" i="24"/>
  <c r="AS162" i="24"/>
  <c r="AN521" i="24"/>
  <c r="AQ386" i="24"/>
  <c r="AN386" i="24"/>
  <c r="AR386" i="24"/>
  <c r="AN384" i="24"/>
  <c r="AR41" i="24"/>
  <c r="H41" i="24"/>
  <c r="AQ41" i="24"/>
  <c r="AN39" i="24"/>
  <c r="AN41" i="24" s="1"/>
  <c r="AO231" i="24"/>
  <c r="AO233" i="24" s="1"/>
  <c r="AS233" i="24"/>
  <c r="AT233" i="24"/>
  <c r="AN128" i="24"/>
  <c r="H131" i="24"/>
  <c r="AR252" i="24"/>
  <c r="AQ252" i="24"/>
  <c r="AN252" i="24"/>
  <c r="AN250" i="24"/>
  <c r="AQ526" i="24"/>
  <c r="AN524" i="24"/>
  <c r="AN526" i="24" s="1"/>
  <c r="AR526" i="24"/>
  <c r="AN262" i="24"/>
  <c r="H264" i="24"/>
  <c r="E264" i="24" s="1"/>
  <c r="AP504" i="24"/>
  <c r="AP506" i="24" s="1"/>
  <c r="AU506" i="24"/>
  <c r="AV506" i="24"/>
  <c r="R169" i="24"/>
  <c r="AN504" i="24"/>
  <c r="AN506" i="24" s="1"/>
  <c r="AQ506" i="24"/>
  <c r="AR506" i="24"/>
  <c r="AN518" i="24"/>
  <c r="H521" i="24"/>
  <c r="D521" i="24" s="1"/>
  <c r="AO524" i="24"/>
  <c r="AO526" i="24" s="1"/>
  <c r="AT526" i="24"/>
  <c r="AS526" i="24"/>
  <c r="AP409" i="24"/>
  <c r="AP411" i="24" s="1"/>
  <c r="AV411" i="24"/>
  <c r="AU411" i="24"/>
  <c r="AE628" i="24"/>
  <c r="AE633" i="24" s="1"/>
  <c r="AQ628" i="24"/>
  <c r="AQ633" i="24" s="1"/>
  <c r="AN578" i="24"/>
  <c r="H580" i="24"/>
  <c r="D580" i="24" s="1"/>
  <c r="AS521" i="24"/>
  <c r="H430" i="24"/>
  <c r="H366" i="24"/>
  <c r="AT521" i="24"/>
  <c r="H512" i="24"/>
  <c r="H513" i="24" s="1"/>
  <c r="H290" i="24"/>
  <c r="E290" i="24" s="1"/>
  <c r="AT366" i="24"/>
  <c r="H459" i="24"/>
  <c r="H80" i="24"/>
  <c r="E80" i="24" s="1"/>
  <c r="AS366" i="24"/>
  <c r="AG628" i="24"/>
  <c r="AT628" i="24"/>
  <c r="AT633" i="24" s="1"/>
  <c r="AO628" i="24"/>
  <c r="AO633" i="24" s="1"/>
  <c r="AS628" i="24"/>
  <c r="AS633" i="24" s="1"/>
  <c r="H612" i="24"/>
  <c r="H328" i="24"/>
  <c r="D328" i="24" s="1"/>
  <c r="AN205" i="24"/>
  <c r="H207" i="24"/>
  <c r="AT118" i="24"/>
  <c r="AS118" i="24"/>
  <c r="AO116" i="24"/>
  <c r="AO118" i="24"/>
  <c r="AO80" i="24"/>
  <c r="AT80" i="24"/>
  <c r="AS80" i="24"/>
  <c r="AO78" i="24"/>
  <c r="AR309" i="24"/>
  <c r="AQ309" i="24"/>
  <c r="AN309" i="24"/>
  <c r="AN307" i="24"/>
  <c r="AN99" i="24"/>
  <c r="AN97" i="24"/>
  <c r="AR99" i="24"/>
  <c r="AQ99" i="24"/>
  <c r="AO269" i="24"/>
  <c r="AO271" i="24" s="1"/>
  <c r="AS271" i="24"/>
  <c r="AT271" i="24"/>
  <c r="AN274" i="24"/>
  <c r="AN276" i="24" s="1"/>
  <c r="H276" i="24"/>
  <c r="AR276" i="24"/>
  <c r="AQ276" i="24"/>
  <c r="AN224" i="24"/>
  <c r="H226" i="24"/>
  <c r="AN300" i="24"/>
  <c r="H302" i="24"/>
  <c r="AQ214" i="24"/>
  <c r="AN214" i="24"/>
  <c r="AN212" i="24"/>
  <c r="AR214" i="24"/>
  <c r="AT406" i="24"/>
  <c r="AS406" i="24"/>
  <c r="AO404" i="24"/>
  <c r="AO406" i="24" s="1"/>
  <c r="AS347" i="24"/>
  <c r="AO345" i="24"/>
  <c r="AO347" i="24" s="1"/>
  <c r="AT347" i="24"/>
  <c r="AN435" i="24"/>
  <c r="H437" i="24"/>
  <c r="AT463" i="24"/>
  <c r="AO463" i="24"/>
  <c r="AO461" i="24"/>
  <c r="AS463" i="24"/>
  <c r="AT482" i="24"/>
  <c r="AO482" i="24"/>
  <c r="AO480" i="24"/>
  <c r="AS482" i="24"/>
  <c r="AN425" i="24"/>
  <c r="AN423" i="24"/>
  <c r="AR425" i="24"/>
  <c r="AQ425" i="24"/>
  <c r="AT552" i="24"/>
  <c r="AO550" i="24"/>
  <c r="AO552" i="24" s="1"/>
  <c r="AS552" i="24"/>
  <c r="AO428" i="24"/>
  <c r="AO430" i="24" s="1"/>
  <c r="AT430" i="24"/>
  <c r="AS430" i="24"/>
  <c r="AN473" i="24"/>
  <c r="H475" i="24"/>
  <c r="AP160" i="24"/>
  <c r="AP162" i="24" s="1"/>
  <c r="AU162" i="24"/>
  <c r="AV162" i="24"/>
  <c r="AQ521" i="24"/>
  <c r="AN519" i="24"/>
  <c r="AT386" i="24"/>
  <c r="AO386" i="24"/>
  <c r="AS386" i="24"/>
  <c r="AO384" i="24"/>
  <c r="AO499" i="24"/>
  <c r="AO501" i="24" s="1"/>
  <c r="AT501" i="24"/>
  <c r="AS501" i="24"/>
  <c r="AT572" i="24"/>
  <c r="AO570" i="24"/>
  <c r="AO572" i="24" s="1"/>
  <c r="AS572" i="24"/>
  <c r="AP447" i="24"/>
  <c r="AP449" i="24" s="1"/>
  <c r="AV449" i="24"/>
  <c r="AU449" i="24"/>
  <c r="AO409" i="24"/>
  <c r="AO411" i="24" s="1"/>
  <c r="AT411" i="24"/>
  <c r="AS411" i="24"/>
  <c r="AT41" i="24"/>
  <c r="AS41" i="24"/>
  <c r="AO39" i="24"/>
  <c r="AO41" i="24" s="1"/>
  <c r="AN32" i="24"/>
  <c r="H34" i="24"/>
  <c r="AN492" i="24"/>
  <c r="H494" i="24"/>
  <c r="AO389" i="24"/>
  <c r="AO391" i="24" s="1"/>
  <c r="AT391" i="24"/>
  <c r="AS391" i="24"/>
  <c r="K248" i="24"/>
  <c r="AN248" i="24" s="1"/>
  <c r="AN246" i="24"/>
  <c r="AP400" i="24"/>
  <c r="AP570" i="24"/>
  <c r="AP572" i="24" s="1"/>
  <c r="AV572" i="24"/>
  <c r="AU572" i="24"/>
  <c r="H252" i="24"/>
  <c r="D252" i="24" s="1"/>
  <c r="H176" i="24"/>
  <c r="E176" i="24" s="1"/>
  <c r="H425" i="24"/>
  <c r="E425" i="24" s="1"/>
  <c r="O628" i="24"/>
  <c r="M628" i="24"/>
  <c r="H572" i="24"/>
  <c r="H200" i="24"/>
  <c r="AQ328" i="24"/>
  <c r="AP633" i="24"/>
  <c r="AV633" i="24"/>
  <c r="AU633" i="24"/>
  <c r="H309" i="24"/>
  <c r="H195" i="24"/>
  <c r="E195" i="24" s="1"/>
  <c r="H449" i="24"/>
  <c r="H347" i="24"/>
  <c r="E347" i="24" s="1"/>
  <c r="H95" i="24"/>
  <c r="E95" i="24" s="1"/>
  <c r="K580" i="24"/>
  <c r="K584" i="24" s="1"/>
  <c r="U411" i="24"/>
  <c r="AH411" i="24" s="1"/>
  <c r="R314" i="24"/>
  <c r="AF314" i="24" s="1"/>
  <c r="R391" i="24"/>
  <c r="AF391" i="24" s="1"/>
  <c r="H398" i="24"/>
  <c r="K449" i="24"/>
  <c r="AD449" i="24" s="1"/>
  <c r="R560" i="24"/>
  <c r="H406" i="24"/>
  <c r="H402" i="24"/>
  <c r="E402" i="24" s="1"/>
  <c r="H411" i="24"/>
  <c r="K34" i="24"/>
  <c r="E482" i="24"/>
  <c r="K92" i="24"/>
  <c r="R207" i="24"/>
  <c r="R286" i="24"/>
  <c r="AO286" i="24" s="1"/>
  <c r="R195" i="24"/>
  <c r="AF195" i="24" s="1"/>
  <c r="R99" i="24"/>
  <c r="AF99" i="24" s="1"/>
  <c r="U150" i="24"/>
  <c r="K73" i="24"/>
  <c r="K77" i="24" s="1"/>
  <c r="U210" i="24"/>
  <c r="AP210" i="24" s="1"/>
  <c r="K200" i="24"/>
  <c r="AD200" i="24" s="1"/>
  <c r="K176" i="24"/>
  <c r="AD176" i="24" s="1"/>
  <c r="R305" i="24"/>
  <c r="AO305" i="24" s="1"/>
  <c r="R226" i="24"/>
  <c r="K188" i="24"/>
  <c r="R302" i="24"/>
  <c r="K267" i="24"/>
  <c r="R214" i="24"/>
  <c r="AF214" i="24" s="1"/>
  <c r="K592" i="24"/>
  <c r="AD592" i="24" s="1"/>
  <c r="K459" i="24"/>
  <c r="AN459" i="24" s="1"/>
  <c r="R406" i="24"/>
  <c r="AF406" i="24" s="1"/>
  <c r="U378" i="24"/>
  <c r="U245" i="24"/>
  <c r="U600" i="24"/>
  <c r="R347" i="24"/>
  <c r="AF347" i="24" s="1"/>
  <c r="R463" i="24"/>
  <c r="AF463" i="24" s="1"/>
  <c r="R398" i="24"/>
  <c r="R482" i="24"/>
  <c r="AF482" i="24" s="1"/>
  <c r="U359" i="24"/>
  <c r="U340" i="24"/>
  <c r="R430" i="24"/>
  <c r="AF430" i="24" s="1"/>
  <c r="R366" i="24"/>
  <c r="AF366" i="24" s="1"/>
  <c r="U162" i="24"/>
  <c r="AH162" i="24" s="1"/>
  <c r="R252" i="24"/>
  <c r="AF252" i="24" s="1"/>
  <c r="R172" i="24"/>
  <c r="U391" i="24"/>
  <c r="AH391" i="24" s="1"/>
  <c r="AP392" i="24" s="1"/>
  <c r="R572" i="24"/>
  <c r="AF572" i="24" s="1"/>
  <c r="U449" i="24"/>
  <c r="AH449" i="24" s="1"/>
  <c r="R580" i="24"/>
  <c r="U34" i="24"/>
  <c r="R506" i="24"/>
  <c r="AF506" i="24" s="1"/>
  <c r="K172" i="24"/>
  <c r="AN172" i="24" s="1"/>
  <c r="R449" i="24"/>
  <c r="AF449" i="24" s="1"/>
  <c r="K411" i="24"/>
  <c r="AD411" i="24" s="1"/>
  <c r="U314" i="24"/>
  <c r="AH314" i="24" s="1"/>
  <c r="R92" i="24"/>
  <c r="K195" i="24"/>
  <c r="AD195" i="24" s="1"/>
  <c r="R157" i="24"/>
  <c r="AF157" i="24" s="1"/>
  <c r="K150" i="24"/>
  <c r="R73" i="24"/>
  <c r="U226" i="24"/>
  <c r="R188" i="24"/>
  <c r="R267" i="24"/>
  <c r="AO267" i="24" s="1"/>
  <c r="K95" i="24"/>
  <c r="AN95" i="24" s="1"/>
  <c r="U592" i="24"/>
  <c r="AH592" i="24" s="1"/>
  <c r="R459" i="24"/>
  <c r="AO459" i="24" s="1"/>
  <c r="K378" i="24"/>
  <c r="K382" i="24" s="1"/>
  <c r="R276" i="24"/>
  <c r="AF276" i="24" s="1"/>
  <c r="R245" i="24"/>
  <c r="U200" i="24"/>
  <c r="AH200" i="24" s="1"/>
  <c r="R456" i="24"/>
  <c r="R328" i="24"/>
  <c r="AF328" i="24" s="1"/>
  <c r="U398" i="24"/>
  <c r="R324" i="24"/>
  <c r="AO324" i="24" s="1"/>
  <c r="K418" i="24"/>
  <c r="K422" i="24" s="1"/>
  <c r="K340" i="24"/>
  <c r="K344" i="24" s="1"/>
  <c r="K612" i="24"/>
  <c r="AD612" i="24" s="1"/>
  <c r="K169" i="24"/>
  <c r="U248" i="24"/>
  <c r="U506" i="24"/>
  <c r="AH506" i="24" s="1"/>
  <c r="U169" i="24"/>
  <c r="AP169" i="24" s="1"/>
  <c r="R540" i="24"/>
  <c r="U111" i="24"/>
  <c r="K391" i="24"/>
  <c r="AD391" i="24" s="1"/>
  <c r="U92" i="24"/>
  <c r="K118" i="24"/>
  <c r="AD118" i="24" s="1"/>
  <c r="U286" i="24"/>
  <c r="AP286" i="24" s="1"/>
  <c r="R61" i="24"/>
  <c r="AF61" i="24" s="1"/>
  <c r="K80" i="24"/>
  <c r="AD80" i="24" s="1"/>
  <c r="R309" i="24"/>
  <c r="AF309" i="24" s="1"/>
  <c r="R150" i="24"/>
  <c r="K210" i="24"/>
  <c r="AN210" i="24" s="1"/>
  <c r="U305" i="24"/>
  <c r="AP305" i="24" s="1"/>
  <c r="U302" i="24"/>
  <c r="U267" i="24"/>
  <c r="AP267" i="24" s="1"/>
  <c r="R95" i="24"/>
  <c r="AO95" i="24" s="1"/>
  <c r="R592" i="24"/>
  <c r="AF592" i="24" s="1"/>
  <c r="U459" i="24"/>
  <c r="AP459" i="24" s="1"/>
  <c r="U276" i="24"/>
  <c r="AH276" i="24" s="1"/>
  <c r="K600" i="24"/>
  <c r="K604" i="24" s="1"/>
  <c r="R200" i="24"/>
  <c r="AF200" i="24" s="1"/>
  <c r="U456" i="24"/>
  <c r="U460" i="24" s="1"/>
  <c r="AH460" i="24" s="1"/>
  <c r="K444" i="24"/>
  <c r="AD444" i="24" s="1"/>
  <c r="K398" i="24"/>
  <c r="U324" i="24"/>
  <c r="AP324" i="24" s="1"/>
  <c r="K359" i="24"/>
  <c r="K363" i="24" s="1"/>
  <c r="R418" i="24"/>
  <c r="R340" i="24"/>
  <c r="K430" i="24"/>
  <c r="AD430" i="24" s="1"/>
  <c r="R612" i="24"/>
  <c r="AF612" i="24" s="1"/>
  <c r="K494" i="24"/>
  <c r="K498" i="24" s="1"/>
  <c r="R233" i="24"/>
  <c r="AF233" i="24" s="1"/>
  <c r="R131" i="24"/>
  <c r="K252" i="24"/>
  <c r="AD252" i="24" s="1"/>
  <c r="K314" i="24"/>
  <c r="AD314" i="24" s="1"/>
  <c r="K54" i="24"/>
  <c r="U560" i="24"/>
  <c r="R34" i="24"/>
  <c r="R411" i="24"/>
  <c r="AF411" i="24" s="1"/>
  <c r="R118" i="24"/>
  <c r="AF118" i="24" s="1"/>
  <c r="K286" i="24"/>
  <c r="AN286" i="24" s="1"/>
  <c r="R80" i="24"/>
  <c r="AF80" i="24" s="1"/>
  <c r="K309" i="24"/>
  <c r="AD309" i="24" s="1"/>
  <c r="K99" i="24"/>
  <c r="AD99" i="24" s="1"/>
  <c r="U73" i="24"/>
  <c r="R210" i="24"/>
  <c r="AO210" i="24" s="1"/>
  <c r="K276" i="24"/>
  <c r="AD276" i="24" s="1"/>
  <c r="K305" i="24"/>
  <c r="AN305" i="24" s="1"/>
  <c r="K226" i="24"/>
  <c r="U188" i="24"/>
  <c r="K302" i="24"/>
  <c r="K214" i="24"/>
  <c r="AD214" i="24" s="1"/>
  <c r="U95" i="24"/>
  <c r="AP95" i="24" s="1"/>
  <c r="K406" i="24"/>
  <c r="AD406" i="24" s="1"/>
  <c r="R378" i="24"/>
  <c r="R600" i="24"/>
  <c r="K347" i="24"/>
  <c r="AD347" i="24" s="1"/>
  <c r="K456" i="24"/>
  <c r="K463" i="24"/>
  <c r="AD463" i="24" s="1"/>
  <c r="R444" i="24"/>
  <c r="AF444" i="24" s="1"/>
  <c r="K482" i="24"/>
  <c r="AD482" i="24" s="1"/>
  <c r="K324" i="24"/>
  <c r="AN324" i="24" s="1"/>
  <c r="R359" i="24"/>
  <c r="U418" i="24"/>
  <c r="U430" i="24"/>
  <c r="AH430" i="24" s="1"/>
  <c r="U612" i="24"/>
  <c r="AH612" i="24" s="1"/>
  <c r="K366" i="24"/>
  <c r="AD366" i="24" s="1"/>
  <c r="R162" i="24"/>
  <c r="AF162" i="24" s="1"/>
  <c r="K233" i="24"/>
  <c r="AD233" i="24" s="1"/>
  <c r="R111" i="24"/>
  <c r="U526" i="24"/>
  <c r="AH526" i="24" s="1"/>
  <c r="AP527" i="24" s="1"/>
  <c r="K264" i="24"/>
  <c r="U264" i="24"/>
  <c r="K560" i="24"/>
  <c r="K540" i="24"/>
  <c r="R54" i="24"/>
  <c r="K572" i="24"/>
  <c r="AD572" i="24" s="1"/>
  <c r="R248" i="24"/>
  <c r="AO248" i="24" s="1"/>
  <c r="J15" i="25"/>
  <c r="J54" i="36"/>
  <c r="I54" i="36" s="1"/>
  <c r="E143" i="36"/>
  <c r="F143" i="36"/>
  <c r="G143" i="36"/>
  <c r="F112" i="36"/>
  <c r="E112" i="36"/>
  <c r="G112" i="36"/>
  <c r="E110" i="36"/>
  <c r="F110" i="36"/>
  <c r="G110" i="36"/>
  <c r="E148" i="36"/>
  <c r="F148" i="36"/>
  <c r="G148" i="36"/>
  <c r="E144" i="36"/>
  <c r="F144" i="36"/>
  <c r="G144" i="36"/>
  <c r="E140" i="36"/>
  <c r="G140" i="36"/>
  <c r="F140" i="36"/>
  <c r="F134" i="36"/>
  <c r="E134" i="36"/>
  <c r="G134" i="36"/>
  <c r="E141" i="36"/>
  <c r="G141" i="36"/>
  <c r="F141" i="36"/>
  <c r="E109" i="36"/>
  <c r="G109" i="36"/>
  <c r="F109" i="36"/>
  <c r="E118" i="36"/>
  <c r="F118" i="36"/>
  <c r="G118" i="36"/>
  <c r="G139" i="36"/>
  <c r="E139" i="36"/>
  <c r="F139" i="36"/>
  <c r="G128" i="36"/>
  <c r="F128" i="36"/>
  <c r="E128" i="36"/>
  <c r="E126" i="36"/>
  <c r="G126" i="36"/>
  <c r="F126" i="36"/>
  <c r="E132" i="36"/>
  <c r="F132" i="36"/>
  <c r="G132" i="36"/>
  <c r="E124" i="36"/>
  <c r="G124" i="36"/>
  <c r="F124" i="36"/>
  <c r="G154" i="36"/>
  <c r="E154" i="36"/>
  <c r="F154" i="36"/>
  <c r="F120" i="36"/>
  <c r="G120" i="36"/>
  <c r="E120" i="36"/>
  <c r="G136" i="36"/>
  <c r="F136" i="36"/>
  <c r="E136" i="36"/>
  <c r="E117" i="36"/>
  <c r="G117" i="36"/>
  <c r="F117" i="36"/>
  <c r="G116" i="36"/>
  <c r="E116" i="36"/>
  <c r="F116" i="36"/>
  <c r="E129" i="36"/>
  <c r="F129" i="36"/>
  <c r="G129" i="36"/>
  <c r="G131" i="36"/>
  <c r="E131" i="36"/>
  <c r="F131" i="36"/>
  <c r="E122" i="36"/>
  <c r="G122" i="36"/>
  <c r="F122" i="36"/>
  <c r="F145" i="36"/>
  <c r="E145" i="36"/>
  <c r="G145" i="36"/>
  <c r="E137" i="36"/>
  <c r="G137" i="36"/>
  <c r="F137" i="36"/>
  <c r="E151" i="36"/>
  <c r="F151" i="36"/>
  <c r="G151" i="36"/>
  <c r="F153" i="36"/>
  <c r="E153" i="36"/>
  <c r="G153" i="36"/>
  <c r="E152" i="36"/>
  <c r="G152" i="36"/>
  <c r="F152" i="36"/>
  <c r="F113" i="36"/>
  <c r="G113" i="36"/>
  <c r="E113" i="36"/>
  <c r="F150" i="36"/>
  <c r="G150" i="36"/>
  <c r="E150" i="36"/>
  <c r="F115" i="36"/>
  <c r="G115" i="36"/>
  <c r="E115" i="36"/>
  <c r="G146" i="36"/>
  <c r="F146" i="36"/>
  <c r="E146" i="36"/>
  <c r="F130" i="36"/>
  <c r="G130" i="36"/>
  <c r="E130" i="36"/>
  <c r="F119" i="36"/>
  <c r="E119" i="36"/>
  <c r="G119" i="36"/>
  <c r="G135" i="36"/>
  <c r="F135" i="36"/>
  <c r="E135" i="36"/>
  <c r="F123" i="36"/>
  <c r="E123" i="36"/>
  <c r="G123" i="36"/>
  <c r="E111" i="36"/>
  <c r="G111" i="36"/>
  <c r="F111" i="36"/>
  <c r="E114" i="36"/>
  <c r="G114" i="36"/>
  <c r="F114" i="36"/>
  <c r="E121" i="36"/>
  <c r="G121" i="36"/>
  <c r="F121" i="36"/>
  <c r="E147" i="36"/>
  <c r="G147" i="36"/>
  <c r="F147" i="36"/>
  <c r="F142" i="36"/>
  <c r="E142" i="36"/>
  <c r="G142" i="36"/>
  <c r="F138" i="36"/>
  <c r="G138" i="36"/>
  <c r="E138" i="36"/>
  <c r="E125" i="36"/>
  <c r="F125" i="36"/>
  <c r="G125" i="36"/>
  <c r="F156" i="36"/>
  <c r="G156" i="36"/>
  <c r="E156" i="36"/>
  <c r="F149" i="36"/>
  <c r="G149" i="36"/>
  <c r="E149" i="36"/>
  <c r="E133" i="36"/>
  <c r="F133" i="36"/>
  <c r="G133" i="36"/>
  <c r="E155" i="36"/>
  <c r="G155" i="36"/>
  <c r="F155" i="36"/>
  <c r="F127" i="36"/>
  <c r="E127" i="36"/>
  <c r="G127" i="36"/>
  <c r="T112" i="16"/>
  <c r="F444" i="34"/>
  <c r="T107" i="16"/>
  <c r="F439" i="34"/>
  <c r="T104" i="16"/>
  <c r="F434" i="34"/>
  <c r="T113" i="16"/>
  <c r="F445" i="34"/>
  <c r="T109" i="16"/>
  <c r="F441" i="34"/>
  <c r="T111" i="16"/>
  <c r="F443" i="34"/>
  <c r="T110" i="16"/>
  <c r="F442" i="34"/>
  <c r="T114" i="16"/>
  <c r="F446" i="34"/>
  <c r="J50" i="36"/>
  <c r="I50" i="36" s="1"/>
  <c r="E497" i="34"/>
  <c r="E83" i="36"/>
  <c r="E87" i="36"/>
  <c r="E84" i="36"/>
  <c r="E82" i="36"/>
  <c r="E85" i="36"/>
  <c r="E86" i="36"/>
  <c r="J55" i="36"/>
  <c r="I55" i="36" s="1"/>
  <c r="J14" i="36"/>
  <c r="I14" i="36" s="1"/>
  <c r="E489" i="34"/>
  <c r="J7" i="36"/>
  <c r="I7" i="36" s="1"/>
  <c r="E81" i="36"/>
  <c r="E496" i="34" s="1"/>
  <c r="J9" i="36"/>
  <c r="I9" i="36" s="1"/>
  <c r="H14" i="36"/>
  <c r="H37" i="36"/>
  <c r="H8" i="36"/>
  <c r="J17" i="36"/>
  <c r="I17" i="36" s="1"/>
  <c r="H25" i="36"/>
  <c r="H75" i="36"/>
  <c r="J19" i="36"/>
  <c r="I19" i="36" s="1"/>
  <c r="J73" i="36"/>
  <c r="I73" i="36" s="1"/>
  <c r="J11" i="36"/>
  <c r="I11" i="36" s="1"/>
  <c r="J33" i="36"/>
  <c r="I33" i="36" s="1"/>
  <c r="J6" i="36"/>
  <c r="I6" i="36" s="1"/>
  <c r="AO50" i="14" a="1"/>
  <c r="AO50" i="14" s="1"/>
  <c r="J77" i="36"/>
  <c r="I77" i="36" s="1"/>
  <c r="J46" i="36"/>
  <c r="I46" i="36" s="1"/>
  <c r="J44" i="36"/>
  <c r="I44" i="36" s="1"/>
  <c r="J18" i="36"/>
  <c r="I18" i="36" s="1"/>
  <c r="J40" i="36"/>
  <c r="I40" i="36" s="1"/>
  <c r="J72" i="36"/>
  <c r="I72" i="36" s="1"/>
  <c r="J29" i="36"/>
  <c r="I29" i="36" s="1"/>
  <c r="J51" i="36"/>
  <c r="I51" i="36" s="1"/>
  <c r="J48" i="36"/>
  <c r="I48" i="36" s="1"/>
  <c r="J52" i="36"/>
  <c r="I52" i="36" s="1"/>
  <c r="R22" i="20"/>
  <c r="E560" i="34" s="1"/>
  <c r="Y278" i="15"/>
  <c r="Y211" i="15"/>
  <c r="Q23" i="20"/>
  <c r="R23" i="20"/>
  <c r="E561" i="34" s="1"/>
  <c r="D563" i="34"/>
  <c r="S25" i="20"/>
  <c r="F563" i="34" s="1"/>
  <c r="AO422" i="15"/>
  <c r="AJ422" i="15"/>
  <c r="I50" i="31"/>
  <c r="I58" i="31" s="1"/>
  <c r="U580" i="24"/>
  <c r="K526" i="24"/>
  <c r="AD526" i="24" s="1"/>
  <c r="AF260" i="30"/>
  <c r="AD261" i="30" s="1"/>
  <c r="U54" i="24"/>
  <c r="U494" i="24"/>
  <c r="AP494" i="24" s="1"/>
  <c r="AP498" i="24" s="1"/>
  <c r="R176" i="24"/>
  <c r="AF176" i="24" s="1"/>
  <c r="AA112" i="15"/>
  <c r="AN423" i="15"/>
  <c r="AQ217" i="15"/>
  <c r="K111" i="24"/>
  <c r="AI208" i="15"/>
  <c r="AQ140" i="15"/>
  <c r="F108" i="34"/>
  <c r="F365" i="34"/>
  <c r="AH407" i="15"/>
  <c r="AL407" i="15"/>
  <c r="AK407" i="15"/>
  <c r="R264" i="24"/>
  <c r="F147" i="34"/>
  <c r="Y269" i="15"/>
  <c r="X269" i="15"/>
  <c r="AC269" i="15"/>
  <c r="AI422" i="15"/>
  <c r="AK290" i="15"/>
  <c r="AR422" i="15"/>
  <c r="AP422" i="15"/>
  <c r="V269" i="15"/>
  <c r="AB269" i="15"/>
  <c r="AC211" i="15"/>
  <c r="AN422" i="15"/>
  <c r="AL422" i="15"/>
  <c r="Z269" i="15"/>
  <c r="AA269" i="15"/>
  <c r="AA211" i="15"/>
  <c r="AH422" i="15"/>
  <c r="AK422" i="15"/>
  <c r="AQ422" i="15"/>
  <c r="F250" i="34"/>
  <c r="AH272" i="15"/>
  <c r="R402" i="24"/>
  <c r="R494" i="24"/>
  <c r="L20" i="33"/>
  <c r="K20" i="33"/>
  <c r="K157" i="24"/>
  <c r="AD157" i="24" s="1"/>
  <c r="J294" i="30"/>
  <c r="AC294" i="30" s="1"/>
  <c r="AD295" i="30" s="1"/>
  <c r="AD300" i="30" s="1"/>
  <c r="K207" i="24"/>
  <c r="T152" i="30"/>
  <c r="T153" i="30" s="1"/>
  <c r="J50" i="33"/>
  <c r="AR190" i="15"/>
  <c r="AO208" i="15"/>
  <c r="AO190" i="15"/>
  <c r="AJ208" i="15"/>
  <c r="J37" i="33"/>
  <c r="J152" i="30"/>
  <c r="J153" i="30" s="1"/>
  <c r="K131" i="24"/>
  <c r="AM190" i="15"/>
  <c r="AL190" i="15"/>
  <c r="AR208" i="15"/>
  <c r="AH208" i="15"/>
  <c r="K44" i="33"/>
  <c r="AP208" i="15"/>
  <c r="AK208" i="15"/>
  <c r="AP190" i="15"/>
  <c r="AK190" i="15"/>
  <c r="Y112" i="15"/>
  <c r="AP272" i="15"/>
  <c r="AL208" i="15"/>
  <c r="AN208" i="15"/>
  <c r="L50" i="33"/>
  <c r="J44" i="33"/>
  <c r="K43" i="33"/>
  <c r="AN190" i="15"/>
  <c r="AQ190" i="15"/>
  <c r="AR272" i="15"/>
  <c r="J43" i="33"/>
  <c r="AM140" i="15"/>
  <c r="K41" i="24"/>
  <c r="AD41" i="24" s="1"/>
  <c r="U131" i="24"/>
  <c r="J110" i="33"/>
  <c r="J30" i="33"/>
  <c r="L45" i="33"/>
  <c r="L110" i="33"/>
  <c r="K30" i="33"/>
  <c r="K45" i="33"/>
  <c r="L46" i="33"/>
  <c r="J38" i="33"/>
  <c r="J46" i="33"/>
  <c r="J19" i="33"/>
  <c r="K24" i="33"/>
  <c r="AK217" i="15"/>
  <c r="U402" i="24"/>
  <c r="AP402" i="24" s="1"/>
  <c r="AJ217" i="15"/>
  <c r="AK140" i="15"/>
  <c r="R386" i="24"/>
  <c r="AF386" i="24" s="1"/>
  <c r="BF113" i="15"/>
  <c r="AP326" i="15"/>
  <c r="AH217" i="15"/>
  <c r="AL423" i="15"/>
  <c r="AL140" i="15"/>
  <c r="AR140" i="15"/>
  <c r="AH140" i="15"/>
  <c r="AP217" i="15"/>
  <c r="AL217" i="15"/>
  <c r="AC112" i="15"/>
  <c r="L33" i="33"/>
  <c r="AP140" i="15"/>
  <c r="AN140" i="15"/>
  <c r="AO217" i="15"/>
  <c r="AR217" i="15"/>
  <c r="AI217" i="15"/>
  <c r="AO140" i="15"/>
  <c r="AM217" i="15"/>
  <c r="AN217" i="15"/>
  <c r="AH163" i="15"/>
  <c r="AB112" i="15"/>
  <c r="L31" i="33"/>
  <c r="J34" i="33"/>
  <c r="D248" i="24"/>
  <c r="E248" i="24"/>
  <c r="L34" i="33"/>
  <c r="K15" i="33"/>
  <c r="J23" i="33"/>
  <c r="J51" i="33"/>
  <c r="K40" i="33"/>
  <c r="L29" i="33"/>
  <c r="AF320" i="30"/>
  <c r="AD321" i="30" s="1"/>
  <c r="J31" i="33"/>
  <c r="J274" i="30"/>
  <c r="AC274" i="30" s="1"/>
  <c r="AD275" i="30" s="1"/>
  <c r="AD280" i="30" s="1"/>
  <c r="Q194" i="30"/>
  <c r="AE194" i="30" s="1"/>
  <c r="AF200" i="30" s="1"/>
  <c r="L41" i="33"/>
  <c r="K41" i="33"/>
  <c r="J20" i="33"/>
  <c r="L38" i="33"/>
  <c r="AH183" i="15"/>
  <c r="L39" i="33"/>
  <c r="AC278" i="15"/>
  <c r="J15" i="33"/>
  <c r="L51" i="33"/>
  <c r="L114" i="33"/>
  <c r="Q341" i="30"/>
  <c r="AE341" i="30" s="1"/>
  <c r="AF347" i="30" s="1"/>
  <c r="AK288" i="15"/>
  <c r="F265" i="34"/>
  <c r="AK199" i="15"/>
  <c r="F180" i="34"/>
  <c r="AJ186" i="15"/>
  <c r="F167" i="34"/>
  <c r="AI286" i="15"/>
  <c r="F263" i="34"/>
  <c r="AJ247" i="15"/>
  <c r="F218" i="34"/>
  <c r="AO329" i="15"/>
  <c r="F298" i="34"/>
  <c r="AP423" i="15"/>
  <c r="F376" i="34"/>
  <c r="AJ304" i="15"/>
  <c r="F279" i="34"/>
  <c r="AP173" i="15"/>
  <c r="F154" i="34"/>
  <c r="AL191" i="15"/>
  <c r="F172" i="34"/>
  <c r="AO175" i="15"/>
  <c r="F156" i="34"/>
  <c r="AP302" i="15"/>
  <c r="F277" i="34"/>
  <c r="AK218" i="15"/>
  <c r="F196" i="34"/>
  <c r="AH180" i="15"/>
  <c r="F161" i="34"/>
  <c r="AH417" i="15"/>
  <c r="F370" i="34"/>
  <c r="AQ208" i="15"/>
  <c r="F189" i="34"/>
  <c r="AI171" i="15"/>
  <c r="F152" i="34"/>
  <c r="AO312" i="15"/>
  <c r="F287" i="34"/>
  <c r="L27" i="33"/>
  <c r="R501" i="24"/>
  <c r="AF501" i="24" s="1"/>
  <c r="J112" i="33"/>
  <c r="K37" i="33"/>
  <c r="BB414" i="15"/>
  <c r="BL414" i="15" s="1"/>
  <c r="V408" i="15" s="1"/>
  <c r="AH408" i="15" s="1"/>
  <c r="AP154" i="15"/>
  <c r="F119" i="34"/>
  <c r="L19" i="33"/>
  <c r="K39" i="33"/>
  <c r="J40" i="33"/>
  <c r="K29" i="33"/>
  <c r="L112" i="33"/>
  <c r="K114" i="33"/>
  <c r="K33" i="33"/>
  <c r="V278" i="15"/>
  <c r="AH278" i="15" s="1"/>
  <c r="X201" i="15"/>
  <c r="J34" i="27"/>
  <c r="E192" i="34"/>
  <c r="V404" i="15"/>
  <c r="E362" i="34"/>
  <c r="BO414" i="15"/>
  <c r="Y408" i="15" s="1"/>
  <c r="Y427" i="15" s="1"/>
  <c r="BR414" i="15"/>
  <c r="AB408" i="15" s="1"/>
  <c r="AB427" i="15" s="1"/>
  <c r="K27" i="33"/>
  <c r="J24" i="33"/>
  <c r="V210" i="15"/>
  <c r="F191" i="34" s="1"/>
  <c r="E191" i="34"/>
  <c r="L16" i="33"/>
  <c r="V135" i="15"/>
  <c r="E103" i="34"/>
  <c r="K16" i="33"/>
  <c r="AB198" i="15"/>
  <c r="E179" i="34"/>
  <c r="BI414" i="15"/>
  <c r="BS414" i="15" s="1"/>
  <c r="AC408" i="15" s="1"/>
  <c r="AC427" i="15" s="1"/>
  <c r="I454" i="34" s="1"/>
  <c r="BF414" i="15"/>
  <c r="BP414" i="15" s="1"/>
  <c r="Z408" i="15" s="1"/>
  <c r="Z427" i="15" s="1"/>
  <c r="BN414" i="15"/>
  <c r="X408" i="15" s="1"/>
  <c r="X427" i="15" s="1"/>
  <c r="V201" i="15"/>
  <c r="F182" i="34" s="1"/>
  <c r="AK267" i="15"/>
  <c r="L23" i="33"/>
  <c r="L21" i="33"/>
  <c r="U552" i="24"/>
  <c r="AH552" i="24" s="1"/>
  <c r="AH423" i="15"/>
  <c r="AO423" i="15"/>
  <c r="AQ423" i="15"/>
  <c r="AO272" i="15"/>
  <c r="AM272" i="15"/>
  <c r="AK272" i="15"/>
  <c r="BG112" i="15"/>
  <c r="K552" i="24"/>
  <c r="AD552" i="24" s="1"/>
  <c r="AJ423" i="15"/>
  <c r="AK423" i="15"/>
  <c r="AM423" i="15"/>
  <c r="AI272" i="15"/>
  <c r="AJ272" i="15"/>
  <c r="BE112" i="15"/>
  <c r="J42" i="33"/>
  <c r="AR423" i="15"/>
  <c r="AQ272" i="15"/>
  <c r="AN272" i="15"/>
  <c r="BI112" i="15"/>
  <c r="J194" i="30"/>
  <c r="AC194" i="30" s="1"/>
  <c r="AD195" i="30" s="1"/>
  <c r="AD200" i="30" s="1"/>
  <c r="L42" i="33"/>
  <c r="G341" i="30"/>
  <c r="G342" i="30" s="1"/>
  <c r="AI163" i="15"/>
  <c r="V243" i="15"/>
  <c r="F214" i="34" s="1"/>
  <c r="K21" i="33"/>
  <c r="AI247" i="15"/>
  <c r="R521" i="24"/>
  <c r="AF521" i="24" s="1"/>
  <c r="AC341" i="30"/>
  <c r="AD342" i="30" s="1"/>
  <c r="AD347" i="30" s="1"/>
  <c r="L342" i="30"/>
  <c r="K342" i="30"/>
  <c r="N342" i="30"/>
  <c r="K386" i="24"/>
  <c r="AD386" i="24" s="1"/>
  <c r="G363" i="30"/>
  <c r="J363" i="30"/>
  <c r="AF369" i="30"/>
  <c r="AF364" i="30"/>
  <c r="BB201" i="15"/>
  <c r="BD201" i="15"/>
  <c r="BG201" i="15"/>
  <c r="AA201" i="15"/>
  <c r="BI201" i="15"/>
  <c r="AC201" i="15"/>
  <c r="BF201" i="15"/>
  <c r="Z201" i="15"/>
  <c r="BE201" i="15"/>
  <c r="Y201" i="15"/>
  <c r="BH201" i="15"/>
  <c r="AB201" i="15"/>
  <c r="L28" i="33"/>
  <c r="J28" i="33"/>
  <c r="K28" i="33"/>
  <c r="J36" i="33"/>
  <c r="K36" i="33"/>
  <c r="L36" i="33"/>
  <c r="J32" i="33"/>
  <c r="K32" i="33"/>
  <c r="L32" i="33"/>
  <c r="L49" i="33"/>
  <c r="J49" i="33"/>
  <c r="K49" i="33"/>
  <c r="L25" i="33"/>
  <c r="J25" i="33"/>
  <c r="K25" i="33"/>
  <c r="J35" i="33"/>
  <c r="K35" i="33"/>
  <c r="L35" i="33"/>
  <c r="J17" i="33"/>
  <c r="K17" i="33"/>
  <c r="L17" i="33"/>
  <c r="J22" i="33"/>
  <c r="K22" i="33"/>
  <c r="L22" i="33"/>
  <c r="J113" i="33"/>
  <c r="K113" i="33"/>
  <c r="L113" i="33"/>
  <c r="J47" i="33"/>
  <c r="K47" i="33"/>
  <c r="L47" i="33"/>
  <c r="L14" i="33"/>
  <c r="K14" i="33"/>
  <c r="J14" i="33"/>
  <c r="K48" i="33"/>
  <c r="L48" i="33"/>
  <c r="J48" i="33"/>
  <c r="L18" i="33"/>
  <c r="J18" i="33"/>
  <c r="K18" i="33"/>
  <c r="K111" i="33"/>
  <c r="L111" i="33"/>
  <c r="J111" i="33"/>
  <c r="J26" i="33"/>
  <c r="K26" i="33"/>
  <c r="L26" i="33"/>
  <c r="K109" i="33"/>
  <c r="L109" i="33"/>
  <c r="J109" i="33"/>
  <c r="K521" i="24"/>
  <c r="AD521" i="24" s="1"/>
  <c r="AH247" i="15"/>
  <c r="V177" i="15"/>
  <c r="AO177" i="15" s="1"/>
  <c r="BH112" i="15"/>
  <c r="AR123" i="15"/>
  <c r="AH123" i="15"/>
  <c r="AC210" i="15"/>
  <c r="AI123" i="15"/>
  <c r="AH191" i="15"/>
  <c r="Z112" i="15"/>
  <c r="BF112" i="15"/>
  <c r="AA210" i="15"/>
  <c r="Y210" i="15"/>
  <c r="AK163" i="15"/>
  <c r="X210" i="15"/>
  <c r="Q124" i="14"/>
  <c r="D58" i="36" s="1"/>
  <c r="E492" i="34" s="1"/>
  <c r="AB210" i="15"/>
  <c r="AJ163" i="15"/>
  <c r="R437" i="24"/>
  <c r="R552" i="24"/>
  <c r="AF552" i="24" s="1"/>
  <c r="K328" i="24"/>
  <c r="AD328" i="24" s="1"/>
  <c r="AF275" i="30"/>
  <c r="AF280" i="30"/>
  <c r="AF181" i="30"/>
  <c r="AF176" i="30"/>
  <c r="AF235" i="30"/>
  <c r="AF240" i="30"/>
  <c r="AF300" i="30"/>
  <c r="AF295" i="30"/>
  <c r="AR417" i="15"/>
  <c r="AO417" i="15"/>
  <c r="AN417" i="15"/>
  <c r="AK417" i="15"/>
  <c r="AJ417" i="15"/>
  <c r="AQ417" i="15"/>
  <c r="K154" i="24"/>
  <c r="K402" i="24"/>
  <c r="AN402" i="24" s="1"/>
  <c r="AP417" i="15"/>
  <c r="AM417" i="15"/>
  <c r="K245" i="24"/>
  <c r="AL417" i="15"/>
  <c r="AI417" i="15"/>
  <c r="Q125" i="14"/>
  <c r="D59" i="36" s="1"/>
  <c r="J59" i="36" s="1"/>
  <c r="I59" i="36" s="1"/>
  <c r="X211" i="15"/>
  <c r="AB211" i="15"/>
  <c r="V211" i="15"/>
  <c r="J13" i="25"/>
  <c r="U321" i="24"/>
  <c r="U513" i="24"/>
  <c r="U517" i="24" s="1"/>
  <c r="AH517" i="24" s="1"/>
  <c r="AI527" i="24" s="1"/>
  <c r="K513" i="24"/>
  <c r="AJ123" i="15"/>
  <c r="R513" i="24"/>
  <c r="R517" i="24" s="1"/>
  <c r="AF517" i="24" s="1"/>
  <c r="AD221" i="30"/>
  <c r="U207" i="24"/>
  <c r="AP207" i="24" s="1"/>
  <c r="R475" i="24"/>
  <c r="Q115" i="30"/>
  <c r="E324" i="24"/>
  <c r="Q58" i="30"/>
  <c r="K425" i="24"/>
  <c r="AD425" i="24" s="1"/>
  <c r="K437" i="24"/>
  <c r="U191" i="24"/>
  <c r="AL206" i="15"/>
  <c r="AK206" i="15"/>
  <c r="AR206" i="15"/>
  <c r="AH206" i="15"/>
  <c r="AO206" i="15"/>
  <c r="AQ206" i="15"/>
  <c r="AP206" i="15"/>
  <c r="AJ206" i="15"/>
  <c r="AI206" i="15"/>
  <c r="AN206" i="15"/>
  <c r="AM206" i="15"/>
  <c r="AK205" i="15"/>
  <c r="AR205" i="15"/>
  <c r="AP205" i="15"/>
  <c r="AH205" i="15"/>
  <c r="AO205" i="15"/>
  <c r="AL205" i="15"/>
  <c r="AI205" i="15"/>
  <c r="AN205" i="15"/>
  <c r="AQ205" i="15"/>
  <c r="AM205" i="15"/>
  <c r="AJ205" i="15"/>
  <c r="Y135" i="15"/>
  <c r="K283" i="24"/>
  <c r="R425" i="24"/>
  <c r="AF425" i="24" s="1"/>
  <c r="U437" i="24"/>
  <c r="T115" i="30"/>
  <c r="T58" i="30"/>
  <c r="J115" i="30"/>
  <c r="J58" i="30"/>
  <c r="J35" i="30"/>
  <c r="J39" i="30" s="1"/>
  <c r="Q35" i="30"/>
  <c r="Q39" i="30" s="1"/>
  <c r="T35" i="30"/>
  <c r="T39" i="30" s="1"/>
  <c r="K138" i="24"/>
  <c r="K475" i="24"/>
  <c r="K321" i="24"/>
  <c r="R138" i="24"/>
  <c r="AF138" i="24" s="1"/>
  <c r="R321" i="24"/>
  <c r="U475" i="24"/>
  <c r="R290" i="24"/>
  <c r="AF290" i="24" s="1"/>
  <c r="K290" i="24"/>
  <c r="AD290" i="24" s="1"/>
  <c r="R283" i="24"/>
  <c r="R191" i="24"/>
  <c r="K191" i="24"/>
  <c r="K271" i="24"/>
  <c r="AD271" i="24" s="1"/>
  <c r="U283" i="24"/>
  <c r="R271" i="24"/>
  <c r="AF271" i="24" s="1"/>
  <c r="BI113" i="15"/>
  <c r="AJ329" i="15"/>
  <c r="AI329" i="15"/>
  <c r="AH329" i="15"/>
  <c r="E19" i="32"/>
  <c r="E25" i="32" s="1"/>
  <c r="L8" i="32"/>
  <c r="AI191" i="15"/>
  <c r="AM191" i="15"/>
  <c r="AK191" i="15"/>
  <c r="AM163" i="15"/>
  <c r="J19" i="25"/>
  <c r="AN267" i="15"/>
  <c r="AL267" i="15"/>
  <c r="AP267" i="15"/>
  <c r="AI267" i="15"/>
  <c r="AH267" i="15"/>
  <c r="AM267" i="15"/>
  <c r="AQ267" i="15"/>
  <c r="AJ267" i="15"/>
  <c r="AO267" i="15"/>
  <c r="AR267" i="15"/>
  <c r="AK312" i="15"/>
  <c r="AL312" i="15"/>
  <c r="J24" i="25"/>
  <c r="AR371" i="15"/>
  <c r="AP371" i="15"/>
  <c r="AH371" i="15"/>
  <c r="AO371" i="15"/>
  <c r="AK371" i="15"/>
  <c r="AL371" i="15"/>
  <c r="AJ371" i="15"/>
  <c r="AM371" i="15"/>
  <c r="AQ371" i="15"/>
  <c r="AI371" i="15"/>
  <c r="AN371" i="15"/>
  <c r="AP191" i="15"/>
  <c r="AN191" i="15"/>
  <c r="AQ163" i="15"/>
  <c r="AO163" i="15"/>
  <c r="AL163" i="15"/>
  <c r="AR163" i="15"/>
  <c r="AP163" i="15"/>
  <c r="AN163" i="15"/>
  <c r="AO154" i="15"/>
  <c r="AM154" i="15"/>
  <c r="BE113" i="15"/>
  <c r="AQ191" i="15"/>
  <c r="AJ191" i="15"/>
  <c r="BD113" i="15"/>
  <c r="BH113" i="15"/>
  <c r="BG113" i="15"/>
  <c r="AJ312" i="15"/>
  <c r="AI312" i="15"/>
  <c r="BD296" i="15"/>
  <c r="AQ312" i="15"/>
  <c r="AP312" i="15"/>
  <c r="AM312" i="15"/>
  <c r="AR312" i="15"/>
  <c r="AN312" i="15"/>
  <c r="AH312" i="15"/>
  <c r="AP123" i="15"/>
  <c r="AQ329" i="15"/>
  <c r="BG296" i="15"/>
  <c r="BI296" i="15"/>
  <c r="AR191" i="15"/>
  <c r="AO191" i="15"/>
  <c r="AN123" i="15"/>
  <c r="AR329" i="15"/>
  <c r="AX9" i="25"/>
  <c r="N14" i="25"/>
  <c r="AX7" i="25"/>
  <c r="AK123" i="15"/>
  <c r="AP329" i="15"/>
  <c r="AN329" i="15"/>
  <c r="AO326" i="15"/>
  <c r="AO123" i="15"/>
  <c r="AK329" i="15"/>
  <c r="AL329" i="15"/>
  <c r="BF188" i="15"/>
  <c r="AX19" i="25"/>
  <c r="N27" i="25"/>
  <c r="AX8" i="25"/>
  <c r="N13" i="25"/>
  <c r="AQ123" i="15"/>
  <c r="AM123" i="15"/>
  <c r="AM329" i="15"/>
  <c r="AH286" i="15"/>
  <c r="AL123" i="15"/>
  <c r="BI188" i="15"/>
  <c r="AK154" i="15"/>
  <c r="AQ154" i="15"/>
  <c r="AH154" i="15"/>
  <c r="AH326" i="15"/>
  <c r="AN154" i="15"/>
  <c r="AJ154" i="15"/>
  <c r="AI154" i="15"/>
  <c r="AR154" i="15"/>
  <c r="X326" i="15"/>
  <c r="BB296" i="15"/>
  <c r="BE296" i="15"/>
  <c r="AM326" i="15"/>
  <c r="AN286" i="15"/>
  <c r="BG327" i="15"/>
  <c r="Y326" i="15"/>
  <c r="AJ286" i="15"/>
  <c r="AR286" i="15"/>
  <c r="AQ286" i="15"/>
  <c r="AI326" i="15"/>
  <c r="AQ326" i="15"/>
  <c r="AL326" i="15"/>
  <c r="AO286" i="15"/>
  <c r="AL286" i="15"/>
  <c r="AM286" i="15"/>
  <c r="AE259" i="15"/>
  <c r="AR326" i="15"/>
  <c r="AJ326" i="15"/>
  <c r="AB326" i="15"/>
  <c r="BI202" i="15"/>
  <c r="BF296" i="15"/>
  <c r="BH296" i="15"/>
  <c r="AK286" i="15"/>
  <c r="AP286" i="15"/>
  <c r="AK326" i="15"/>
  <c r="AN326" i="15"/>
  <c r="AC326" i="15"/>
  <c r="AL420" i="15"/>
  <c r="AP420" i="15"/>
  <c r="AM420" i="15"/>
  <c r="AQ420" i="15"/>
  <c r="AN420" i="15"/>
  <c r="AR420" i="15"/>
  <c r="AO420" i="15"/>
  <c r="AK420" i="15"/>
  <c r="AL424" i="15"/>
  <c r="AP424" i="15"/>
  <c r="AM424" i="15"/>
  <c r="AQ424" i="15"/>
  <c r="AN424" i="15"/>
  <c r="AR424" i="15"/>
  <c r="AO424" i="15"/>
  <c r="AK424" i="15"/>
  <c r="AI281" i="15"/>
  <c r="AN281" i="15"/>
  <c r="AR281" i="15"/>
  <c r="AL281" i="15"/>
  <c r="AQ281" i="15"/>
  <c r="AM281" i="15"/>
  <c r="AK281" i="15"/>
  <c r="AO281" i="15"/>
  <c r="AP281" i="15"/>
  <c r="AK321" i="15"/>
  <c r="AL321" i="15"/>
  <c r="AP321" i="15"/>
  <c r="AM321" i="15"/>
  <c r="AQ321" i="15"/>
  <c r="AN321" i="15"/>
  <c r="AR321" i="15"/>
  <c r="AO321" i="15"/>
  <c r="BB327" i="15"/>
  <c r="AI299" i="15"/>
  <c r="AN299" i="15"/>
  <c r="AR299" i="15"/>
  <c r="AL299" i="15"/>
  <c r="AQ299" i="15"/>
  <c r="AM299" i="15"/>
  <c r="AK299" i="15"/>
  <c r="AO299" i="15"/>
  <c r="AP299" i="15"/>
  <c r="AM136" i="15"/>
  <c r="AQ136" i="15"/>
  <c r="AP136" i="15"/>
  <c r="AN136" i="15"/>
  <c r="AR136" i="15"/>
  <c r="AK136" i="15"/>
  <c r="AO136" i="15"/>
  <c r="AL136" i="15"/>
  <c r="AN149" i="15"/>
  <c r="AR149" i="15"/>
  <c r="AO149" i="15"/>
  <c r="AK149" i="15"/>
  <c r="AL149" i="15"/>
  <c r="AP149" i="15"/>
  <c r="AM149" i="15"/>
  <c r="AQ149" i="15"/>
  <c r="AH185" i="15"/>
  <c r="AL185" i="15"/>
  <c r="AP185" i="15"/>
  <c r="AO185" i="15"/>
  <c r="AQ185" i="15"/>
  <c r="AK185" i="15"/>
  <c r="AM185" i="15"/>
  <c r="AR185" i="15"/>
  <c r="AN185" i="15"/>
  <c r="AM249" i="15"/>
  <c r="AQ249" i="15"/>
  <c r="AN249" i="15"/>
  <c r="AO249" i="15"/>
  <c r="AK249" i="15"/>
  <c r="AP249" i="15"/>
  <c r="AL249" i="15"/>
  <c r="AR249" i="15"/>
  <c r="AI197" i="15"/>
  <c r="AM197" i="15"/>
  <c r="AQ197" i="15"/>
  <c r="AO197" i="15"/>
  <c r="AK197" i="15"/>
  <c r="AP197" i="15"/>
  <c r="AL197" i="15"/>
  <c r="AR197" i="15"/>
  <c r="AN197" i="15"/>
  <c r="AI207" i="15"/>
  <c r="AM207" i="15"/>
  <c r="AQ207" i="15"/>
  <c r="AL207" i="15"/>
  <c r="AR207" i="15"/>
  <c r="AN207" i="15"/>
  <c r="AK207" i="15"/>
  <c r="AO207" i="15"/>
  <c r="AP207" i="15"/>
  <c r="AP407" i="15"/>
  <c r="AM407" i="15"/>
  <c r="AQ407" i="15"/>
  <c r="AN407" i="15"/>
  <c r="AR407" i="15"/>
  <c r="AO407" i="15"/>
  <c r="AI216" i="15"/>
  <c r="AO216" i="15"/>
  <c r="AK216" i="15"/>
  <c r="AP216" i="15"/>
  <c r="AL216" i="15"/>
  <c r="AQ216" i="15"/>
  <c r="AM216" i="15"/>
  <c r="AR216" i="15"/>
  <c r="AN216" i="15"/>
  <c r="BB202" i="15"/>
  <c r="AM180" i="15"/>
  <c r="AR180" i="15"/>
  <c r="AL180" i="15"/>
  <c r="AR199" i="15"/>
  <c r="AH199" i="15"/>
  <c r="AJ175" i="15"/>
  <c r="AM175" i="15"/>
  <c r="AH175" i="15"/>
  <c r="AN173" i="15"/>
  <c r="AQ173" i="15"/>
  <c r="AI173" i="15"/>
  <c r="AP183" i="15"/>
  <c r="AI183" i="15"/>
  <c r="AJ218" i="15"/>
  <c r="AH218" i="15"/>
  <c r="AJ288" i="15"/>
  <c r="AP288" i="15"/>
  <c r="AO288" i="15"/>
  <c r="AA326" i="15"/>
  <c r="AR171" i="15"/>
  <c r="AO171" i="15"/>
  <c r="AN186" i="15"/>
  <c r="AL186" i="15"/>
  <c r="AK186" i="15"/>
  <c r="AQ302" i="15"/>
  <c r="AK302" i="15"/>
  <c r="AI302" i="15"/>
  <c r="AL304" i="15"/>
  <c r="AH304" i="15"/>
  <c r="AN304" i="15"/>
  <c r="AO290" i="15"/>
  <c r="AP322" i="15"/>
  <c r="AO322" i="15"/>
  <c r="BD195" i="15"/>
  <c r="BM194" i="15" s="1"/>
  <c r="BH188" i="15"/>
  <c r="BE188" i="15"/>
  <c r="AL421" i="15"/>
  <c r="AP421" i="15"/>
  <c r="AM421" i="15"/>
  <c r="AQ421" i="15"/>
  <c r="AN421" i="15"/>
  <c r="AR421" i="15"/>
  <c r="AK421" i="15"/>
  <c r="AO421" i="15"/>
  <c r="AL425" i="15"/>
  <c r="AP425" i="15"/>
  <c r="AM425" i="15"/>
  <c r="AQ425" i="15"/>
  <c r="AN425" i="15"/>
  <c r="AR425" i="15"/>
  <c r="AK425" i="15"/>
  <c r="AO425" i="15"/>
  <c r="AI307" i="15"/>
  <c r="AL307" i="15"/>
  <c r="AP307" i="15"/>
  <c r="AM307" i="15"/>
  <c r="AQ307" i="15"/>
  <c r="AN307" i="15"/>
  <c r="AR307" i="15"/>
  <c r="AK307" i="15"/>
  <c r="AO307" i="15"/>
  <c r="AI311" i="15"/>
  <c r="AM311" i="15"/>
  <c r="AQ311" i="15"/>
  <c r="AK311" i="15"/>
  <c r="AP311" i="15"/>
  <c r="AL311" i="15"/>
  <c r="AR311" i="15"/>
  <c r="AN311" i="15"/>
  <c r="AO311" i="15"/>
  <c r="AI285" i="15"/>
  <c r="AM285" i="15"/>
  <c r="AQ285" i="15"/>
  <c r="AN285" i="15"/>
  <c r="AO285" i="15"/>
  <c r="AK285" i="15"/>
  <c r="AP285" i="15"/>
  <c r="AL285" i="15"/>
  <c r="AR285" i="15"/>
  <c r="BH327" i="15"/>
  <c r="BF327" i="15"/>
  <c r="AI284" i="15"/>
  <c r="AM284" i="15"/>
  <c r="AQ284" i="15"/>
  <c r="AN284" i="15"/>
  <c r="AO284" i="15"/>
  <c r="AK284" i="15"/>
  <c r="AP284" i="15"/>
  <c r="AL284" i="15"/>
  <c r="AR284" i="15"/>
  <c r="AI283" i="15"/>
  <c r="AM283" i="15"/>
  <c r="AQ283" i="15"/>
  <c r="AK283" i="15"/>
  <c r="AP283" i="15"/>
  <c r="AL283" i="15"/>
  <c r="AR283" i="15"/>
  <c r="AN283" i="15"/>
  <c r="AO283" i="15"/>
  <c r="AM150" i="15"/>
  <c r="AQ150" i="15"/>
  <c r="AL150" i="15"/>
  <c r="AN150" i="15"/>
  <c r="AR150" i="15"/>
  <c r="AK150" i="15"/>
  <c r="AO150" i="15"/>
  <c r="AP150" i="15"/>
  <c r="AM125" i="15"/>
  <c r="AQ125" i="15"/>
  <c r="AN125" i="15"/>
  <c r="AR125" i="15"/>
  <c r="AK125" i="15"/>
  <c r="AO125" i="15"/>
  <c r="AL125" i="15"/>
  <c r="AP125" i="15"/>
  <c r="BE202" i="15"/>
  <c r="BH202" i="15"/>
  <c r="AQ180" i="15"/>
  <c r="AK180" i="15"/>
  <c r="AP180" i="15"/>
  <c r="AJ199" i="15"/>
  <c r="AN199" i="15"/>
  <c r="AM199" i="15"/>
  <c r="AH151" i="15"/>
  <c r="AM151" i="15"/>
  <c r="AQ151" i="15"/>
  <c r="AP151" i="15"/>
  <c r="AN151" i="15"/>
  <c r="AR151" i="15"/>
  <c r="AK151" i="15"/>
  <c r="AO151" i="15"/>
  <c r="AL151" i="15"/>
  <c r="AP175" i="15"/>
  <c r="AR175" i="15"/>
  <c r="AI175" i="15"/>
  <c r="AJ173" i="15"/>
  <c r="AH173" i="15"/>
  <c r="AJ183" i="15"/>
  <c r="AL183" i="15"/>
  <c r="AM183" i="15"/>
  <c r="AR218" i="15"/>
  <c r="AO218" i="15"/>
  <c r="AQ218" i="15"/>
  <c r="AQ288" i="15"/>
  <c r="AN288" i="15"/>
  <c r="AH288" i="15"/>
  <c r="AN171" i="15"/>
  <c r="AL171" i="15"/>
  <c r="AQ171" i="15"/>
  <c r="AR186" i="15"/>
  <c r="AH186" i="15"/>
  <c r="AO186" i="15"/>
  <c r="AJ302" i="15"/>
  <c r="AO302" i="15"/>
  <c r="AO304" i="15"/>
  <c r="AM304" i="15"/>
  <c r="AR304" i="15"/>
  <c r="AH290" i="15"/>
  <c r="AJ290" i="15"/>
  <c r="AI290" i="15"/>
  <c r="X177" i="15"/>
  <c r="AJ322" i="15"/>
  <c r="AH322" i="15"/>
  <c r="AR322" i="15"/>
  <c r="BK195" i="15"/>
  <c r="BT194" i="15" s="1"/>
  <c r="BI195" i="15"/>
  <c r="AA193" i="15" s="1"/>
  <c r="BG188" i="15"/>
  <c r="AM170" i="15"/>
  <c r="AQ170" i="15"/>
  <c r="AN170" i="15"/>
  <c r="AR170" i="15"/>
  <c r="AO170" i="15"/>
  <c r="AK170" i="15"/>
  <c r="AL170" i="15"/>
  <c r="AP170" i="15"/>
  <c r="AL426" i="15"/>
  <c r="AP426" i="15"/>
  <c r="AM426" i="15"/>
  <c r="AQ426" i="15"/>
  <c r="AN426" i="15"/>
  <c r="AR426" i="15"/>
  <c r="AO426" i="15"/>
  <c r="AK426" i="15"/>
  <c r="AI306" i="15"/>
  <c r="AN306" i="15"/>
  <c r="AR306" i="15"/>
  <c r="AL306" i="15"/>
  <c r="AQ306" i="15"/>
  <c r="AM306" i="15"/>
  <c r="AK306" i="15"/>
  <c r="AO306" i="15"/>
  <c r="AP306" i="15"/>
  <c r="BD327" i="15"/>
  <c r="BI327" i="15"/>
  <c r="AL308" i="15"/>
  <c r="AM308" i="15"/>
  <c r="AQ308" i="15"/>
  <c r="AN308" i="15"/>
  <c r="AR308" i="15"/>
  <c r="AO308" i="15"/>
  <c r="AK308" i="15"/>
  <c r="AP308" i="15"/>
  <c r="AN134" i="15"/>
  <c r="AR134" i="15"/>
  <c r="AM134" i="15"/>
  <c r="AO134" i="15"/>
  <c r="AK134" i="15"/>
  <c r="AL134" i="15"/>
  <c r="AP134" i="15"/>
  <c r="AQ134" i="15"/>
  <c r="AM124" i="15"/>
  <c r="AQ124" i="15"/>
  <c r="AP124" i="15"/>
  <c r="AN124" i="15"/>
  <c r="AR124" i="15"/>
  <c r="AK124" i="15"/>
  <c r="AO124" i="15"/>
  <c r="AL124" i="15"/>
  <c r="AM139" i="15"/>
  <c r="AQ139" i="15"/>
  <c r="AL139" i="15"/>
  <c r="AN139" i="15"/>
  <c r="AR139" i="15"/>
  <c r="AK139" i="15"/>
  <c r="AO139" i="15"/>
  <c r="AP139" i="15"/>
  <c r="AM250" i="15"/>
  <c r="AQ250" i="15"/>
  <c r="AK250" i="15"/>
  <c r="AP250" i="15"/>
  <c r="AL250" i="15"/>
  <c r="AR250" i="15"/>
  <c r="AN250" i="15"/>
  <c r="AO250" i="15"/>
  <c r="AM406" i="15"/>
  <c r="AQ406" i="15"/>
  <c r="AN406" i="15"/>
  <c r="AR406" i="15"/>
  <c r="AO406" i="15"/>
  <c r="AK406" i="15"/>
  <c r="AL406" i="15"/>
  <c r="AP406" i="15"/>
  <c r="V234" i="15"/>
  <c r="BF202" i="15"/>
  <c r="AJ180" i="15"/>
  <c r="AO180" i="15"/>
  <c r="AP199" i="15"/>
  <c r="AI199" i="15"/>
  <c r="AQ199" i="15"/>
  <c r="BB188" i="15"/>
  <c r="BK188" i="15" s="1"/>
  <c r="AL175" i="15"/>
  <c r="AK175" i="15"/>
  <c r="AM173" i="15"/>
  <c r="AO173" i="15"/>
  <c r="AL173" i="15"/>
  <c r="AO183" i="15"/>
  <c r="AR183" i="15"/>
  <c r="AQ183" i="15"/>
  <c r="AM247" i="15"/>
  <c r="AQ247" i="15"/>
  <c r="AN247" i="15"/>
  <c r="AO247" i="15"/>
  <c r="AK247" i="15"/>
  <c r="AP247" i="15"/>
  <c r="AL247" i="15"/>
  <c r="AR247" i="15"/>
  <c r="AL218" i="15"/>
  <c r="AI218" i="15"/>
  <c r="AM218" i="15"/>
  <c r="AL288" i="15"/>
  <c r="AR288" i="15"/>
  <c r="AI288" i="15"/>
  <c r="AK171" i="15"/>
  <c r="AP171" i="15"/>
  <c r="AM171" i="15"/>
  <c r="AM186" i="15"/>
  <c r="AP186" i="15"/>
  <c r="AN302" i="15"/>
  <c r="AR302" i="15"/>
  <c r="AL302" i="15"/>
  <c r="AP304" i="15"/>
  <c r="AQ304" i="15"/>
  <c r="AI304" i="15"/>
  <c r="AR290" i="15"/>
  <c r="AQ290" i="15"/>
  <c r="AP290" i="15"/>
  <c r="X290" i="15"/>
  <c r="AL322" i="15"/>
  <c r="AM322" i="15"/>
  <c r="AN322" i="15"/>
  <c r="BG195" i="15"/>
  <c r="BP194" i="15" s="1"/>
  <c r="BF195" i="15"/>
  <c r="BO194" i="15" s="1"/>
  <c r="AL419" i="15"/>
  <c r="AP419" i="15"/>
  <c r="AM419" i="15"/>
  <c r="AQ419" i="15"/>
  <c r="AN419" i="15"/>
  <c r="AR419" i="15"/>
  <c r="AK419" i="15"/>
  <c r="AO419" i="15"/>
  <c r="AL309" i="15"/>
  <c r="AN309" i="15"/>
  <c r="AR309" i="15"/>
  <c r="AO309" i="15"/>
  <c r="AK309" i="15"/>
  <c r="AP309" i="15"/>
  <c r="AM309" i="15"/>
  <c r="AQ309" i="15"/>
  <c r="AM325" i="15"/>
  <c r="AO325" i="15"/>
  <c r="AK325" i="15"/>
  <c r="AP325" i="15"/>
  <c r="AL325" i="15"/>
  <c r="AQ325" i="15"/>
  <c r="AR325" i="15"/>
  <c r="AN325" i="15"/>
  <c r="AL310" i="15"/>
  <c r="AO310" i="15"/>
  <c r="AK310" i="15"/>
  <c r="AP310" i="15"/>
  <c r="AQ310" i="15"/>
  <c r="AM310" i="15"/>
  <c r="AR310" i="15"/>
  <c r="AN310" i="15"/>
  <c r="BE327" i="15"/>
  <c r="AI282" i="15"/>
  <c r="AM282" i="15"/>
  <c r="AQ282" i="15"/>
  <c r="AN282" i="15"/>
  <c r="AO282" i="15"/>
  <c r="AK282" i="15"/>
  <c r="AP282" i="15"/>
  <c r="AL282" i="15"/>
  <c r="AR282" i="15"/>
  <c r="AI324" i="15"/>
  <c r="AL324" i="15"/>
  <c r="AP324" i="15"/>
  <c r="AM324" i="15"/>
  <c r="AQ324" i="15"/>
  <c r="AN324" i="15"/>
  <c r="AR324" i="15"/>
  <c r="AO324" i="15"/>
  <c r="AK324" i="15"/>
  <c r="AI182" i="15"/>
  <c r="AM182" i="15"/>
  <c r="AQ182" i="15"/>
  <c r="AN182" i="15"/>
  <c r="AO182" i="15"/>
  <c r="AP182" i="15"/>
  <c r="AK182" i="15"/>
  <c r="AL182" i="15"/>
  <c r="AR182" i="15"/>
  <c r="AM126" i="15"/>
  <c r="AQ126" i="15"/>
  <c r="AL126" i="15"/>
  <c r="AN126" i="15"/>
  <c r="AR126" i="15"/>
  <c r="AK126" i="15"/>
  <c r="AO126" i="15"/>
  <c r="AP126" i="15"/>
  <c r="AN246" i="15"/>
  <c r="AR246" i="15"/>
  <c r="AO246" i="15"/>
  <c r="AP246" i="15"/>
  <c r="AL246" i="15"/>
  <c r="AQ246" i="15"/>
  <c r="AM246" i="15"/>
  <c r="AK246" i="15"/>
  <c r="AM138" i="15"/>
  <c r="AQ138" i="15"/>
  <c r="AN138" i="15"/>
  <c r="AR138" i="15"/>
  <c r="AK138" i="15"/>
  <c r="AO138" i="15"/>
  <c r="AP138" i="15"/>
  <c r="AL138" i="15"/>
  <c r="BG202" i="15"/>
  <c r="BD202" i="15"/>
  <c r="AI180" i="15"/>
  <c r="AN180" i="15"/>
  <c r="AL199" i="15"/>
  <c r="AO199" i="15"/>
  <c r="BD188" i="15"/>
  <c r="AN175" i="15"/>
  <c r="AQ175" i="15"/>
  <c r="AR173" i="15"/>
  <c r="AK173" i="15"/>
  <c r="AK183" i="15"/>
  <c r="AN183" i="15"/>
  <c r="AP218" i="15"/>
  <c r="AN218" i="15"/>
  <c r="AM288" i="15"/>
  <c r="Z326" i="15"/>
  <c r="AH171" i="15"/>
  <c r="AJ171" i="15"/>
  <c r="AI186" i="15"/>
  <c r="AQ186" i="15"/>
  <c r="AH302" i="15"/>
  <c r="AM302" i="15"/>
  <c r="AK304" i="15"/>
  <c r="AN290" i="15"/>
  <c r="AM290" i="15"/>
  <c r="AL290" i="15"/>
  <c r="AQ322" i="15"/>
  <c r="AI322" i="15"/>
  <c r="BH195" i="15"/>
  <c r="Z193" i="15" s="1"/>
  <c r="BJ195" i="15"/>
  <c r="AB193" i="15" s="1"/>
  <c r="J25" i="25"/>
  <c r="J21" i="25"/>
  <c r="J27" i="25"/>
  <c r="AH421" i="15"/>
  <c r="AI421" i="15"/>
  <c r="AJ421" i="15"/>
  <c r="AH425" i="15"/>
  <c r="AI425" i="15"/>
  <c r="AJ425" i="15"/>
  <c r="AH307" i="15"/>
  <c r="AJ307" i="15"/>
  <c r="AH321" i="15"/>
  <c r="AI321" i="15"/>
  <c r="AJ321" i="15"/>
  <c r="AH311" i="15"/>
  <c r="AJ311" i="15"/>
  <c r="AH285" i="15"/>
  <c r="AJ285" i="15"/>
  <c r="AJ284" i="15"/>
  <c r="AH284" i="15"/>
  <c r="AJ283" i="15"/>
  <c r="AH283" i="15"/>
  <c r="AI134" i="15"/>
  <c r="AJ134" i="15"/>
  <c r="AH134" i="15"/>
  <c r="AI124" i="15"/>
  <c r="AJ124" i="15"/>
  <c r="AH124" i="15"/>
  <c r="AJ126" i="15"/>
  <c r="AH126" i="15"/>
  <c r="AI126" i="15"/>
  <c r="AJ185" i="15"/>
  <c r="AI185" i="15"/>
  <c r="AJ249" i="15"/>
  <c r="AI249" i="15"/>
  <c r="AH249" i="15"/>
  <c r="AH197" i="15"/>
  <c r="AJ197" i="15"/>
  <c r="AI426" i="15"/>
  <c r="AH426" i="15"/>
  <c r="AJ426" i="15"/>
  <c r="AJ306" i="15"/>
  <c r="AH306" i="15"/>
  <c r="AI308" i="15"/>
  <c r="AJ308" i="15"/>
  <c r="AH308" i="15"/>
  <c r="AI140" i="15"/>
  <c r="AJ140" i="15"/>
  <c r="AJ182" i="15"/>
  <c r="AH182" i="15"/>
  <c r="AJ136" i="15"/>
  <c r="AH136" i="15"/>
  <c r="AI136" i="15"/>
  <c r="AJ149" i="15"/>
  <c r="AI149" i="15"/>
  <c r="AH149" i="15"/>
  <c r="AH250" i="15"/>
  <c r="AI250" i="15"/>
  <c r="AJ250" i="15"/>
  <c r="AJ207" i="15"/>
  <c r="AH207" i="15"/>
  <c r="AH138" i="15"/>
  <c r="AI138" i="15"/>
  <c r="AJ138" i="15"/>
  <c r="AI407" i="15"/>
  <c r="AJ407" i="15"/>
  <c r="AI151" i="15"/>
  <c r="AJ151" i="15"/>
  <c r="AJ419" i="15"/>
  <c r="AH419" i="15"/>
  <c r="AI419" i="15"/>
  <c r="AJ309" i="15"/>
  <c r="AI309" i="15"/>
  <c r="AH309" i="15"/>
  <c r="AI325" i="15"/>
  <c r="AJ325" i="15"/>
  <c r="AH325" i="15"/>
  <c r="AH310" i="15"/>
  <c r="AJ310" i="15"/>
  <c r="AI310" i="15"/>
  <c r="AH282" i="15"/>
  <c r="AJ282" i="15"/>
  <c r="AH324" i="15"/>
  <c r="AJ324" i="15"/>
  <c r="AH150" i="15"/>
  <c r="AI150" i="15"/>
  <c r="AJ150" i="15"/>
  <c r="AH406" i="15"/>
  <c r="AI406" i="15"/>
  <c r="AJ406" i="15"/>
  <c r="AH170" i="15"/>
  <c r="AJ170" i="15"/>
  <c r="AI170" i="15"/>
  <c r="AH420" i="15"/>
  <c r="AI420" i="15"/>
  <c r="AJ420" i="15"/>
  <c r="AH424" i="15"/>
  <c r="AI424" i="15"/>
  <c r="AJ424" i="15"/>
  <c r="AJ281" i="15"/>
  <c r="AH281" i="15"/>
  <c r="AJ299" i="15"/>
  <c r="AH299" i="15"/>
  <c r="AJ190" i="15"/>
  <c r="AI190" i="15"/>
  <c r="AH190" i="15"/>
  <c r="AH139" i="15"/>
  <c r="AI139" i="15"/>
  <c r="AJ139" i="15"/>
  <c r="AH246" i="15"/>
  <c r="AJ246" i="15"/>
  <c r="AI246" i="15"/>
  <c r="AJ125" i="15"/>
  <c r="AH125" i="15"/>
  <c r="AI125" i="15"/>
  <c r="AJ216" i="15"/>
  <c r="AH216" i="15"/>
  <c r="AJ134" i="24"/>
  <c r="D463" i="24"/>
  <c r="Z135" i="15"/>
  <c r="D21" i="17"/>
  <c r="Q235" i="14"/>
  <c r="J18" i="25"/>
  <c r="Z248" i="15"/>
  <c r="E191" i="24"/>
  <c r="J22" i="25"/>
  <c r="D309" i="24"/>
  <c r="E340" i="24"/>
  <c r="J23" i="25"/>
  <c r="D406" i="24"/>
  <c r="E214" i="24"/>
  <c r="Q97" i="14"/>
  <c r="D76" i="36" s="1"/>
  <c r="E493" i="34" s="1"/>
  <c r="AB135" i="15"/>
  <c r="J20" i="25"/>
  <c r="AX10" i="25"/>
  <c r="J14" i="25"/>
  <c r="AA135" i="15"/>
  <c r="AC135" i="15"/>
  <c r="X135" i="15"/>
  <c r="Q61" i="14"/>
  <c r="F38" i="36" s="1"/>
  <c r="F81" i="36" s="1"/>
  <c r="E481" i="34" s="1"/>
  <c r="AC198" i="15"/>
  <c r="Z198" i="15"/>
  <c r="Z243" i="15"/>
  <c r="X198" i="15"/>
  <c r="AA198" i="15"/>
  <c r="X243" i="15"/>
  <c r="Y198" i="15"/>
  <c r="Q112" i="14"/>
  <c r="D38" i="36" s="1"/>
  <c r="E490" i="34" s="1"/>
  <c r="AX12" i="25"/>
  <c r="T108" i="16"/>
  <c r="T103" i="16"/>
  <c r="T105" i="16"/>
  <c r="V248" i="15"/>
  <c r="F219" i="34" s="1"/>
  <c r="V198" i="15"/>
  <c r="F179" i="34" s="1"/>
  <c r="Y290" i="15"/>
  <c r="AA290" i="15"/>
  <c r="AB290" i="15"/>
  <c r="Z290" i="15"/>
  <c r="AC290" i="15"/>
  <c r="K76" i="10"/>
  <c r="Y248" i="15"/>
  <c r="AA248" i="15"/>
  <c r="AC248" i="15"/>
  <c r="X248" i="15"/>
  <c r="Q144" i="14"/>
  <c r="D79" i="36" s="1"/>
  <c r="AB248" i="15"/>
  <c r="AA186" i="15"/>
  <c r="Z278" i="15"/>
  <c r="AB278" i="15"/>
  <c r="X234" i="15"/>
  <c r="Z234" i="15"/>
  <c r="X278" i="15"/>
  <c r="AA278" i="15"/>
  <c r="Y234" i="15"/>
  <c r="AC234" i="15"/>
  <c r="AB186" i="15"/>
  <c r="AB234" i="15"/>
  <c r="AA234" i="15"/>
  <c r="AC243" i="15"/>
  <c r="AB243" i="15"/>
  <c r="Y243" i="15"/>
  <c r="AA243" i="15"/>
  <c r="Z186" i="15"/>
  <c r="X186" i="15"/>
  <c r="AC186" i="15"/>
  <c r="Y186" i="15"/>
  <c r="AB177" i="15"/>
  <c r="Z177" i="15"/>
  <c r="AC177" i="15"/>
  <c r="AA177" i="15"/>
  <c r="Y177" i="15"/>
  <c r="AA427" i="15"/>
  <c r="F69" i="10"/>
  <c r="E69" i="10"/>
  <c r="AP540" i="24" l="1"/>
  <c r="AP544" i="24"/>
  <c r="AV544" i="24"/>
  <c r="AU544" i="24"/>
  <c r="R211" i="24"/>
  <c r="AF211" i="24" s="1"/>
  <c r="AR628" i="24"/>
  <c r="AR633" i="24" s="1"/>
  <c r="AP211" i="24"/>
  <c r="AN302" i="24"/>
  <c r="AN306" i="24" s="1"/>
  <c r="E138" i="24"/>
  <c r="R96" i="24"/>
  <c r="AF96" i="24" s="1"/>
  <c r="AT100" i="24" s="1"/>
  <c r="AT105" i="24" s="1"/>
  <c r="K173" i="24"/>
  <c r="O177" i="24" s="1"/>
  <c r="K96" i="24"/>
  <c r="AD96" i="24" s="1"/>
  <c r="AE100" i="24" s="1"/>
  <c r="AE105" i="24" s="1"/>
  <c r="K192" i="24"/>
  <c r="AD192" i="24" s="1"/>
  <c r="AE196" i="24" s="1"/>
  <c r="R192" i="24"/>
  <c r="AF192" i="24" s="1"/>
  <c r="AG196" i="24" s="1"/>
  <c r="AP173" i="24"/>
  <c r="AI553" i="24"/>
  <c r="R460" i="24"/>
  <c r="AF460" i="24" s="1"/>
  <c r="AT464" i="24" s="1"/>
  <c r="AT469" i="24" s="1"/>
  <c r="K268" i="24"/>
  <c r="AD268" i="24" s="1"/>
  <c r="K306" i="24"/>
  <c r="O310" i="24" s="1"/>
  <c r="AS641" i="24"/>
  <c r="R173" i="24"/>
  <c r="AF173" i="24" s="1"/>
  <c r="AG177" i="24" s="1"/>
  <c r="AJ176" i="24" s="1"/>
  <c r="AT641" i="24"/>
  <c r="AR641" i="24"/>
  <c r="AN641" i="24"/>
  <c r="AQ641" i="24"/>
  <c r="AO641" i="24"/>
  <c r="AQ643" i="24"/>
  <c r="AN643" i="24"/>
  <c r="U268" i="24"/>
  <c r="AH268" i="24" s="1"/>
  <c r="AI277" i="24" s="1"/>
  <c r="AI643" i="24"/>
  <c r="AR643" i="24"/>
  <c r="AN287" i="24"/>
  <c r="AP643" i="24"/>
  <c r="AP512" i="24"/>
  <c r="AP513" i="24" s="1"/>
  <c r="AP517" i="24" s="1"/>
  <c r="AS643" i="24"/>
  <c r="AL643" i="24"/>
  <c r="AP268" i="24"/>
  <c r="AV643" i="24"/>
  <c r="AI641" i="24"/>
  <c r="AT643" i="24"/>
  <c r="AN325" i="24"/>
  <c r="AU643" i="24"/>
  <c r="AO643" i="24"/>
  <c r="U287" i="24"/>
  <c r="AH287" i="24" s="1"/>
  <c r="AI296" i="24" s="1"/>
  <c r="AP283" i="24"/>
  <c r="AV287" i="24"/>
  <c r="AU287" i="24"/>
  <c r="R287" i="24"/>
  <c r="AF287" i="24" s="1"/>
  <c r="AT291" i="24" s="1"/>
  <c r="AT296" i="24" s="1"/>
  <c r="AO283" i="24"/>
  <c r="AO287" i="24"/>
  <c r="AS287" i="24"/>
  <c r="AT287" i="24"/>
  <c r="R325" i="24"/>
  <c r="AF325" i="24" s="1"/>
  <c r="AG334" i="24" s="1"/>
  <c r="AO325" i="24"/>
  <c r="AO321" i="24"/>
  <c r="AS325" i="24"/>
  <c r="AT325" i="24"/>
  <c r="AN283" i="24"/>
  <c r="AQ287" i="24"/>
  <c r="AR287" i="24"/>
  <c r="U192" i="24"/>
  <c r="AH192" i="24" s="1"/>
  <c r="AI201" i="24" s="1"/>
  <c r="AP191" i="24"/>
  <c r="AT522" i="24"/>
  <c r="AT527" i="24" s="1"/>
  <c r="AS522" i="24"/>
  <c r="AS527" i="24" s="1"/>
  <c r="AP321" i="24"/>
  <c r="AV325" i="24"/>
  <c r="AU325" i="24"/>
  <c r="AN131" i="24"/>
  <c r="AN135" i="24"/>
  <c r="H135" i="24"/>
  <c r="AR135" i="24"/>
  <c r="AQ135" i="24"/>
  <c r="R58" i="24"/>
  <c r="AF58" i="24" s="1"/>
  <c r="AO62" i="24" s="1"/>
  <c r="AO67" i="24" s="1"/>
  <c r="AO58" i="24"/>
  <c r="AO54" i="24"/>
  <c r="AS58" i="24"/>
  <c r="AT58" i="24"/>
  <c r="AN264" i="24"/>
  <c r="H268" i="24"/>
  <c r="AR268" i="24"/>
  <c r="AQ268" i="24"/>
  <c r="U422" i="24"/>
  <c r="AH422" i="24" s="1"/>
  <c r="AP418" i="24"/>
  <c r="AP422" i="24"/>
  <c r="AU422" i="24"/>
  <c r="AV422" i="24"/>
  <c r="R604" i="24"/>
  <c r="AF604" i="24" s="1"/>
  <c r="AO604" i="24"/>
  <c r="AO600" i="24"/>
  <c r="AT604" i="24"/>
  <c r="AS604" i="24"/>
  <c r="AN58" i="24"/>
  <c r="AN54" i="24"/>
  <c r="AQ58" i="24"/>
  <c r="AR58" i="24"/>
  <c r="R344" i="24"/>
  <c r="AF344" i="24" s="1"/>
  <c r="AO344" i="24"/>
  <c r="AO340" i="24"/>
  <c r="AT344" i="24"/>
  <c r="AS344" i="24"/>
  <c r="AN403" i="24"/>
  <c r="AN398" i="24"/>
  <c r="AR403" i="24"/>
  <c r="AQ403" i="24"/>
  <c r="AN604" i="24"/>
  <c r="AN600" i="24"/>
  <c r="AQ604" i="24"/>
  <c r="AR604" i="24"/>
  <c r="AN340" i="24"/>
  <c r="AN344" i="24"/>
  <c r="AQ344" i="24"/>
  <c r="AR344" i="24"/>
  <c r="R77" i="24"/>
  <c r="AF77" i="24" s="1"/>
  <c r="AO73" i="24"/>
  <c r="AO77" i="24"/>
  <c r="AS77" i="24"/>
  <c r="AT77" i="24"/>
  <c r="AO96" i="24"/>
  <c r="AO92" i="24"/>
  <c r="AT96" i="24"/>
  <c r="AS96" i="24"/>
  <c r="U344" i="24"/>
  <c r="AH344" i="24" s="1"/>
  <c r="AP340" i="24"/>
  <c r="AP344" i="24"/>
  <c r="AU344" i="24"/>
  <c r="AV344" i="24"/>
  <c r="U382" i="24"/>
  <c r="AH382" i="24" s="1"/>
  <c r="AV382" i="24"/>
  <c r="AU382" i="24"/>
  <c r="R230" i="24"/>
  <c r="AF230" i="24" s="1"/>
  <c r="AG234" i="24" s="1"/>
  <c r="AO230" i="24"/>
  <c r="AO226" i="24"/>
  <c r="AS230" i="24"/>
  <c r="AT230" i="24"/>
  <c r="H498" i="24"/>
  <c r="H502" i="24" s="1"/>
  <c r="BF28" i="24" s="1"/>
  <c r="E78" i="16" s="1"/>
  <c r="H441" i="24"/>
  <c r="H211" i="24"/>
  <c r="AO169" i="24"/>
  <c r="AS173" i="24"/>
  <c r="AT173" i="24"/>
  <c r="AT517" i="24"/>
  <c r="AP553" i="24"/>
  <c r="H287" i="24"/>
  <c r="AU513" i="24"/>
  <c r="H154" i="24"/>
  <c r="H158" i="24" s="1"/>
  <c r="BF10" i="24" s="1"/>
  <c r="E60" i="16" s="1"/>
  <c r="H564" i="24"/>
  <c r="H422" i="24"/>
  <c r="H426" i="24" s="1"/>
  <c r="BF24" i="24" s="1"/>
  <c r="E74" i="16" s="1"/>
  <c r="AN188" i="24"/>
  <c r="AI469" i="24"/>
  <c r="AP469" i="24"/>
  <c r="AV469" i="24"/>
  <c r="AU469" i="24"/>
  <c r="AN479" i="24"/>
  <c r="AN475" i="24"/>
  <c r="AQ479" i="24"/>
  <c r="AR479" i="24"/>
  <c r="AN441" i="24"/>
  <c r="AN437" i="24"/>
  <c r="AQ441" i="24"/>
  <c r="AR441" i="24"/>
  <c r="R479" i="24"/>
  <c r="AF479" i="24" s="1"/>
  <c r="AG483" i="24" s="1"/>
  <c r="AO475" i="24"/>
  <c r="AO479" i="24"/>
  <c r="AT479" i="24"/>
  <c r="AS479" i="24"/>
  <c r="AN245" i="24"/>
  <c r="AN249" i="24"/>
  <c r="AR249" i="24"/>
  <c r="AQ249" i="24"/>
  <c r="AP131" i="24"/>
  <c r="AP135" i="24"/>
  <c r="AU135" i="24"/>
  <c r="AV135" i="24"/>
  <c r="AQ211" i="24"/>
  <c r="AR211" i="24"/>
  <c r="K544" i="24"/>
  <c r="AD544" i="24" s="1"/>
  <c r="AN540" i="24"/>
  <c r="AN544" i="24"/>
  <c r="H544" i="24"/>
  <c r="AQ544" i="24"/>
  <c r="AR544" i="24"/>
  <c r="R363" i="24"/>
  <c r="AF363" i="24" s="1"/>
  <c r="AG367" i="24" s="1"/>
  <c r="AT363" i="24"/>
  <c r="AS363" i="24"/>
  <c r="R382" i="24"/>
  <c r="AF382" i="24" s="1"/>
  <c r="AG387" i="24" s="1"/>
  <c r="AO378" i="24"/>
  <c r="AO382" i="24" s="1"/>
  <c r="AS382" i="24"/>
  <c r="AT382" i="24"/>
  <c r="AR498" i="24"/>
  <c r="AQ498" i="24"/>
  <c r="R422" i="24"/>
  <c r="AF422" i="24" s="1"/>
  <c r="AG426" i="24" s="1"/>
  <c r="AO418" i="24"/>
  <c r="AO422" i="24"/>
  <c r="AS422" i="24"/>
  <c r="AT422" i="24"/>
  <c r="R154" i="24"/>
  <c r="AF154" i="24" s="1"/>
  <c r="AG158" i="24" s="1"/>
  <c r="AO154" i="24"/>
  <c r="AO150" i="24"/>
  <c r="AT154" i="24"/>
  <c r="AS154" i="24"/>
  <c r="AP287" i="24"/>
  <c r="U115" i="24"/>
  <c r="AH115" i="24" s="1"/>
  <c r="AP115" i="24"/>
  <c r="AP111" i="24"/>
  <c r="AV115" i="24"/>
  <c r="AU115" i="24"/>
  <c r="U249" i="24"/>
  <c r="AH249" i="24" s="1"/>
  <c r="AP248" i="24"/>
  <c r="AN422" i="24"/>
  <c r="AN418" i="24"/>
  <c r="AR422" i="24"/>
  <c r="AQ422" i="24"/>
  <c r="AO456" i="24"/>
  <c r="AO460" i="24"/>
  <c r="AS460" i="24"/>
  <c r="AT460" i="24"/>
  <c r="AN378" i="24"/>
  <c r="AN382" i="24" s="1"/>
  <c r="H382" i="24"/>
  <c r="H387" i="24" s="1"/>
  <c r="BF22" i="24" s="1"/>
  <c r="V91" i="16" s="1"/>
  <c r="AQ382" i="24"/>
  <c r="AR382" i="24"/>
  <c r="AN150" i="24"/>
  <c r="AN154" i="24"/>
  <c r="AQ154" i="24"/>
  <c r="AR154" i="24"/>
  <c r="U363" i="24"/>
  <c r="AH363" i="24" s="1"/>
  <c r="AP359" i="24"/>
  <c r="AP363" i="24"/>
  <c r="AV363" i="24"/>
  <c r="AU363" i="24"/>
  <c r="AN73" i="24"/>
  <c r="AN77" i="24"/>
  <c r="AR77" i="24"/>
  <c r="AQ77" i="24"/>
  <c r="AN494" i="24"/>
  <c r="AN498" i="24" s="1"/>
  <c r="H230" i="24"/>
  <c r="AN207" i="24"/>
  <c r="AN211" i="24" s="1"/>
  <c r="H81" i="24"/>
  <c r="BF6" i="24" s="1"/>
  <c r="V83" i="16" s="1"/>
  <c r="H517" i="24"/>
  <c r="AO512" i="24"/>
  <c r="AO513" i="24" s="1"/>
  <c r="AO517" i="24" s="1"/>
  <c r="AO522" i="24" s="1"/>
  <c r="AO527" i="24" s="1"/>
  <c r="AQ517" i="24"/>
  <c r="AV553" i="24"/>
  <c r="AO359" i="24"/>
  <c r="AO363" i="24" s="1"/>
  <c r="H249" i="24"/>
  <c r="AN169" i="24"/>
  <c r="AN173" i="24" s="1"/>
  <c r="AV513" i="24"/>
  <c r="AO191" i="24"/>
  <c r="H325" i="24"/>
  <c r="H115" i="24"/>
  <c r="AN191" i="24"/>
  <c r="U441" i="24"/>
  <c r="AH441" i="24" s="1"/>
  <c r="AP437" i="24"/>
  <c r="AP441" i="24"/>
  <c r="AU441" i="24"/>
  <c r="AV441" i="24"/>
  <c r="U211" i="24"/>
  <c r="AH211" i="24" s="1"/>
  <c r="AI220" i="24" s="1"/>
  <c r="AU211" i="24"/>
  <c r="AV211" i="24"/>
  <c r="R441" i="24"/>
  <c r="AF441" i="24" s="1"/>
  <c r="AG445" i="24" s="1"/>
  <c r="AO437" i="24"/>
  <c r="AO441" i="24"/>
  <c r="AS441" i="24"/>
  <c r="AT441" i="24"/>
  <c r="R498" i="24"/>
  <c r="AF498" i="24" s="1"/>
  <c r="AG507" i="24" s="1"/>
  <c r="AO494" i="24"/>
  <c r="AO498" i="24" s="1"/>
  <c r="AT498" i="24"/>
  <c r="AS498" i="24"/>
  <c r="U498" i="24"/>
  <c r="AH498" i="24" s="1"/>
  <c r="AI507" i="24" s="1"/>
  <c r="AV498" i="24"/>
  <c r="AU498" i="24"/>
  <c r="U584" i="24"/>
  <c r="AH584" i="24" s="1"/>
  <c r="AI593" i="24" s="1"/>
  <c r="AP580" i="24"/>
  <c r="AP584" i="24"/>
  <c r="AV584" i="24"/>
  <c r="AU584" i="24"/>
  <c r="K564" i="24"/>
  <c r="L568" i="24" s="1"/>
  <c r="AN560" i="24"/>
  <c r="AN564" i="24"/>
  <c r="AR564" i="24"/>
  <c r="AQ564" i="24"/>
  <c r="R115" i="24"/>
  <c r="AF115" i="24" s="1"/>
  <c r="AO111" i="24"/>
  <c r="AO115" i="24" s="1"/>
  <c r="AS115" i="24"/>
  <c r="AT115" i="24"/>
  <c r="AN460" i="24"/>
  <c r="AN456" i="24"/>
  <c r="AQ460" i="24"/>
  <c r="AR460" i="24"/>
  <c r="AP188" i="24"/>
  <c r="AV192" i="24"/>
  <c r="AU192" i="24"/>
  <c r="R38" i="24"/>
  <c r="AF38" i="24" s="1"/>
  <c r="AT38" i="24"/>
  <c r="AO34" i="24"/>
  <c r="AO38" i="24" s="1"/>
  <c r="AS38" i="24"/>
  <c r="AN363" i="24"/>
  <c r="AN359" i="24"/>
  <c r="H363" i="24"/>
  <c r="H367" i="24" s="1"/>
  <c r="BF21" i="24" s="1"/>
  <c r="E71" i="16" s="1"/>
  <c r="AR363" i="24"/>
  <c r="AQ363" i="24"/>
  <c r="AP456" i="24"/>
  <c r="AP460" i="24"/>
  <c r="AU460" i="24"/>
  <c r="AV460" i="24"/>
  <c r="AP306" i="24"/>
  <c r="AP302" i="24"/>
  <c r="AV306" i="24"/>
  <c r="AU306" i="24"/>
  <c r="R544" i="24"/>
  <c r="AF544" i="24" s="1"/>
  <c r="AG553" i="24" s="1"/>
  <c r="AO540" i="24"/>
  <c r="AO544" i="24"/>
  <c r="AS544" i="24"/>
  <c r="AT544" i="24"/>
  <c r="AQ173" i="24"/>
  <c r="AR173" i="24"/>
  <c r="AO188" i="24"/>
  <c r="AT192" i="24"/>
  <c r="AS192" i="24"/>
  <c r="U38" i="24"/>
  <c r="AH38" i="24" s="1"/>
  <c r="AU38" i="24"/>
  <c r="AV38" i="24"/>
  <c r="AP34" i="24"/>
  <c r="AP38" i="24"/>
  <c r="U604" i="24"/>
  <c r="AH604" i="24" s="1"/>
  <c r="AU613" i="24" s="1"/>
  <c r="AP600" i="24"/>
  <c r="AP604" i="24"/>
  <c r="AU604" i="24"/>
  <c r="AV604" i="24"/>
  <c r="AO306" i="24"/>
  <c r="AO302" i="24"/>
  <c r="AS306" i="24"/>
  <c r="AT306" i="24"/>
  <c r="U154" i="24"/>
  <c r="AH154" i="24" s="1"/>
  <c r="AP154" i="24"/>
  <c r="AP150" i="24"/>
  <c r="AU154" i="24"/>
  <c r="AV154" i="24"/>
  <c r="AO207" i="24"/>
  <c r="AO211" i="24" s="1"/>
  <c r="AO215" i="24" s="1"/>
  <c r="AO220" i="24" s="1"/>
  <c r="AT211" i="24"/>
  <c r="AT215" i="24" s="1"/>
  <c r="AT220" i="24" s="1"/>
  <c r="AS211" i="24"/>
  <c r="H38" i="24"/>
  <c r="AN34" i="24"/>
  <c r="AN38" i="24" s="1"/>
  <c r="AR38" i="24"/>
  <c r="AQ38" i="24"/>
  <c r="AN580" i="24"/>
  <c r="AN584" i="24" s="1"/>
  <c r="AR584" i="24"/>
  <c r="AQ584" i="24"/>
  <c r="AP378" i="24"/>
  <c r="AP382" i="24" s="1"/>
  <c r="H584" i="24"/>
  <c r="H588" i="24" s="1"/>
  <c r="AU553" i="24"/>
  <c r="AQ306" i="24"/>
  <c r="AQ638" i="24"/>
  <c r="AT638" i="24"/>
  <c r="AN512" i="24"/>
  <c r="AN513" i="24" s="1"/>
  <c r="AN517" i="24" s="1"/>
  <c r="H604" i="24"/>
  <c r="H608" i="24" s="1"/>
  <c r="AN111" i="24"/>
  <c r="AN115" i="24" s="1"/>
  <c r="H344" i="24"/>
  <c r="H348" i="24" s="1"/>
  <c r="BF20" i="24" s="1"/>
  <c r="E70" i="16" s="1"/>
  <c r="AN267" i="24"/>
  <c r="AN268" i="24" s="1"/>
  <c r="H96" i="24"/>
  <c r="U479" i="24"/>
  <c r="AH479" i="24" s="1"/>
  <c r="AP475" i="24"/>
  <c r="AP479" i="24"/>
  <c r="AU479" i="24"/>
  <c r="AV479" i="24"/>
  <c r="AN321" i="24"/>
  <c r="AQ325" i="24"/>
  <c r="AR325" i="24"/>
  <c r="R403" i="24"/>
  <c r="AF403" i="24" s="1"/>
  <c r="AG412" i="24" s="1"/>
  <c r="AO402" i="24"/>
  <c r="R268" i="24"/>
  <c r="AF268" i="24" s="1"/>
  <c r="AS272" i="24" s="1"/>
  <c r="AS277" i="24" s="1"/>
  <c r="AO268" i="24"/>
  <c r="AO264" i="24"/>
  <c r="AS268" i="24"/>
  <c r="AT268" i="24"/>
  <c r="AQ115" i="24"/>
  <c r="AR115" i="24"/>
  <c r="U58" i="24"/>
  <c r="AH58" i="24" s="1"/>
  <c r="AP58" i="24"/>
  <c r="AP54" i="24"/>
  <c r="AU58" i="24"/>
  <c r="AV58" i="24"/>
  <c r="AP264" i="24"/>
  <c r="AU268" i="24"/>
  <c r="AV268" i="24"/>
  <c r="AN230" i="24"/>
  <c r="AN226" i="24"/>
  <c r="AR230" i="24"/>
  <c r="AQ230" i="24"/>
  <c r="U77" i="24"/>
  <c r="AH77" i="24" s="1"/>
  <c r="AP73" i="24"/>
  <c r="AP77" i="24"/>
  <c r="AV77" i="24"/>
  <c r="AU77" i="24"/>
  <c r="U564" i="24"/>
  <c r="AH564" i="24" s="1"/>
  <c r="AP564" i="24"/>
  <c r="AP560" i="24"/>
  <c r="AV564" i="24"/>
  <c r="AU564" i="24"/>
  <c r="AS135" i="24"/>
  <c r="AO131" i="24"/>
  <c r="AO135" i="24"/>
  <c r="AT135" i="24"/>
  <c r="AP325" i="24"/>
  <c r="AP96" i="24"/>
  <c r="AP92" i="24"/>
  <c r="AV96" i="24"/>
  <c r="AU96" i="24"/>
  <c r="U173" i="24"/>
  <c r="AH173" i="24" s="1"/>
  <c r="AI182" i="24" s="1"/>
  <c r="AU173" i="24"/>
  <c r="AV173" i="24"/>
  <c r="AP403" i="24"/>
  <c r="AP398" i="24"/>
  <c r="AV403" i="24"/>
  <c r="AU403" i="24"/>
  <c r="AO249" i="24"/>
  <c r="AO245" i="24"/>
  <c r="AS249" i="24"/>
  <c r="AT249" i="24"/>
  <c r="U230" i="24"/>
  <c r="AH230" i="24" s="1"/>
  <c r="AP230" i="24"/>
  <c r="AP226" i="24"/>
  <c r="AU230" i="24"/>
  <c r="AV230" i="24"/>
  <c r="R584" i="24"/>
  <c r="AF584" i="24" s="1"/>
  <c r="AG593" i="24" s="1"/>
  <c r="AO580" i="24"/>
  <c r="AO584" i="24"/>
  <c r="AT584" i="24"/>
  <c r="AS584" i="24"/>
  <c r="AT403" i="24"/>
  <c r="AS403" i="24"/>
  <c r="AO403" i="24"/>
  <c r="AP249" i="24"/>
  <c r="AP245" i="24"/>
  <c r="AU249" i="24"/>
  <c r="AV249" i="24"/>
  <c r="AR192" i="24"/>
  <c r="AQ192" i="24"/>
  <c r="AN96" i="24"/>
  <c r="AN92" i="24"/>
  <c r="AR96" i="24"/>
  <c r="AQ96" i="24"/>
  <c r="R564" i="24"/>
  <c r="AF564" i="24" s="1"/>
  <c r="AG573" i="24" s="1"/>
  <c r="AO564" i="24"/>
  <c r="AO560" i="24"/>
  <c r="AS564" i="24"/>
  <c r="AT564" i="24"/>
  <c r="H479" i="24"/>
  <c r="AO398" i="24"/>
  <c r="H306" i="24"/>
  <c r="AS517" i="24"/>
  <c r="AR517" i="24"/>
  <c r="H460" i="24"/>
  <c r="AR306" i="24"/>
  <c r="AR638" i="24"/>
  <c r="H173" i="24"/>
  <c r="H177" i="24" s="1"/>
  <c r="BF11" i="24" s="1"/>
  <c r="V88" i="16" s="1"/>
  <c r="H58" i="24"/>
  <c r="AO172" i="24"/>
  <c r="H192" i="24"/>
  <c r="H77" i="24"/>
  <c r="U306" i="24"/>
  <c r="AH306" i="24" s="1"/>
  <c r="U96" i="24"/>
  <c r="AH96" i="24" s="1"/>
  <c r="R249" i="24"/>
  <c r="AF249" i="24" s="1"/>
  <c r="AG253" i="24" s="1"/>
  <c r="K460" i="24"/>
  <c r="AD460" i="24" s="1"/>
  <c r="R306" i="24"/>
  <c r="AF306" i="24" s="1"/>
  <c r="AT310" i="24" s="1"/>
  <c r="AT315" i="24" s="1"/>
  <c r="K230" i="24"/>
  <c r="H234" i="24" s="1"/>
  <c r="BF14" i="24" s="1"/>
  <c r="V89" i="16" s="1"/>
  <c r="K115" i="24"/>
  <c r="O119" i="24" s="1"/>
  <c r="K287" i="24"/>
  <c r="H291" i="24" s="1"/>
  <c r="U325" i="24"/>
  <c r="AH325" i="24" s="1"/>
  <c r="AI334" i="24" s="1"/>
  <c r="AD584" i="24"/>
  <c r="AE588" i="24" s="1"/>
  <c r="AE593" i="24" s="1"/>
  <c r="AD77" i="24"/>
  <c r="AE81" i="24" s="1"/>
  <c r="AE86" i="24" s="1"/>
  <c r="AD422" i="24"/>
  <c r="AE426" i="24" s="1"/>
  <c r="AE431" i="24" s="1"/>
  <c r="H403" i="24"/>
  <c r="K38" i="24"/>
  <c r="AD363" i="24"/>
  <c r="AE367" i="24" s="1"/>
  <c r="AE372" i="24" s="1"/>
  <c r="AD344" i="24"/>
  <c r="AE348" i="24" s="1"/>
  <c r="AE353" i="24" s="1"/>
  <c r="AD604" i="24"/>
  <c r="AD382" i="24"/>
  <c r="AE387" i="24" s="1"/>
  <c r="AE392" i="24" s="1"/>
  <c r="E494" i="24"/>
  <c r="U403" i="24"/>
  <c r="AH403" i="24" s="1"/>
  <c r="AD154" i="24"/>
  <c r="AD498" i="24"/>
  <c r="AE502" i="24" s="1"/>
  <c r="AE507" i="24" s="1"/>
  <c r="K58" i="24"/>
  <c r="K211" i="24"/>
  <c r="N215" i="24" s="1"/>
  <c r="BI13" i="24" s="1"/>
  <c r="M63" i="16" s="1"/>
  <c r="K135" i="24"/>
  <c r="L139" i="24" s="1"/>
  <c r="U135" i="24"/>
  <c r="R135" i="24"/>
  <c r="E267" i="24"/>
  <c r="F157" i="36"/>
  <c r="O109" i="36" a="1"/>
  <c r="U109" i="36" a="1"/>
  <c r="G157" i="36"/>
  <c r="E157" i="36"/>
  <c r="I109" i="36" a="1"/>
  <c r="H380" i="34"/>
  <c r="D454" i="34"/>
  <c r="K380" i="34"/>
  <c r="G454" i="34"/>
  <c r="J380" i="34"/>
  <c r="F454" i="34"/>
  <c r="L380" i="34"/>
  <c r="H454" i="34"/>
  <c r="I380" i="34"/>
  <c r="E454" i="34"/>
  <c r="D82" i="36"/>
  <c r="J79" i="36"/>
  <c r="I79" i="36" s="1"/>
  <c r="E494" i="34"/>
  <c r="F85" i="36"/>
  <c r="F86" i="36"/>
  <c r="F84" i="36"/>
  <c r="F82" i="36"/>
  <c r="F87" i="36"/>
  <c r="F83" i="36"/>
  <c r="J58" i="36"/>
  <c r="I58" i="36" s="1"/>
  <c r="I51" i="31"/>
  <c r="D23" i="16" s="1"/>
  <c r="R8" i="28" s="1"/>
  <c r="D84" i="36"/>
  <c r="H80" i="36"/>
  <c r="D83" i="36"/>
  <c r="D86" i="36"/>
  <c r="D87" i="36"/>
  <c r="D85" i="36"/>
  <c r="H50" i="36"/>
  <c r="H68" i="36"/>
  <c r="D81" i="36"/>
  <c r="E488" i="34" s="1"/>
  <c r="D540" i="24"/>
  <c r="D172" i="24"/>
  <c r="D560" i="24"/>
  <c r="J76" i="36"/>
  <c r="I76" i="36" s="1"/>
  <c r="J38" i="36"/>
  <c r="I38" i="36" s="1"/>
  <c r="I59" i="31"/>
  <c r="C512" i="34"/>
  <c r="E501" i="24"/>
  <c r="L502" i="24" s="1"/>
  <c r="D482" i="24"/>
  <c r="S23" i="20"/>
  <c r="F561" i="34" s="1"/>
  <c r="E26" i="32"/>
  <c r="L25" i="32" s="1"/>
  <c r="C462" i="34"/>
  <c r="N177" i="24"/>
  <c r="BI11" i="24" s="1"/>
  <c r="M61" i="16" s="1"/>
  <c r="AQ201" i="15"/>
  <c r="AA159" i="15"/>
  <c r="K123" i="34" s="1"/>
  <c r="D402" i="24"/>
  <c r="AI201" i="15"/>
  <c r="D305" i="24"/>
  <c r="AF3" i="30"/>
  <c r="AG3" i="30"/>
  <c r="AP210" i="15"/>
  <c r="AF195" i="30"/>
  <c r="AL404" i="15"/>
  <c r="F362" i="34"/>
  <c r="AP408" i="15"/>
  <c r="AL408" i="15"/>
  <c r="AJ408" i="15"/>
  <c r="AO408" i="15"/>
  <c r="AK408" i="15"/>
  <c r="AM408" i="15"/>
  <c r="AI408" i="15"/>
  <c r="AR408" i="15"/>
  <c r="AN408" i="15"/>
  <c r="AQ408" i="15"/>
  <c r="AM135" i="15"/>
  <c r="F103" i="34"/>
  <c r="E286" i="24"/>
  <c r="AO201" i="15"/>
  <c r="AR201" i="15"/>
  <c r="AO135" i="15"/>
  <c r="AP201" i="15"/>
  <c r="AI112" i="15"/>
  <c r="AO269" i="15"/>
  <c r="AI269" i="15"/>
  <c r="AH269" i="15"/>
  <c r="AH380" i="15" s="1"/>
  <c r="AN269" i="15"/>
  <c r="AQ269" i="15"/>
  <c r="F247" i="34"/>
  <c r="AJ269" i="15"/>
  <c r="AP269" i="15"/>
  <c r="AM269" i="15"/>
  <c r="AR269" i="15"/>
  <c r="AL269" i="15"/>
  <c r="AK269" i="15"/>
  <c r="D324" i="24"/>
  <c r="AF342" i="30"/>
  <c r="AN177" i="15"/>
  <c r="AJ177" i="15"/>
  <c r="AK177" i="15"/>
  <c r="Z159" i="15"/>
  <c r="J123" i="34" s="1"/>
  <c r="AR210" i="15"/>
  <c r="AH112" i="15"/>
  <c r="AI210" i="15"/>
  <c r="AM177" i="15"/>
  <c r="AM210" i="15"/>
  <c r="AO210" i="15"/>
  <c r="AP177" i="15"/>
  <c r="AQ177" i="15"/>
  <c r="AR177" i="15"/>
  <c r="AQ210" i="15"/>
  <c r="AK210" i="15"/>
  <c r="AH210" i="15"/>
  <c r="AL177" i="15"/>
  <c r="AN210" i="15"/>
  <c r="AL210" i="15"/>
  <c r="AJ210" i="15"/>
  <c r="L387" i="24"/>
  <c r="BG22" i="24" s="1"/>
  <c r="D494" i="24"/>
  <c r="AN112" i="15"/>
  <c r="AM112" i="15"/>
  <c r="AK112" i="15"/>
  <c r="AJ112" i="15"/>
  <c r="AL112" i="15"/>
  <c r="AQ112" i="15"/>
  <c r="AP112" i="15"/>
  <c r="AO112" i="15"/>
  <c r="AR112" i="15"/>
  <c r="X380" i="15"/>
  <c r="E456" i="24"/>
  <c r="AC159" i="15"/>
  <c r="M123" i="34" s="1"/>
  <c r="AJ201" i="15"/>
  <c r="AM404" i="15"/>
  <c r="AH404" i="15"/>
  <c r="AH427" i="15" s="1"/>
  <c r="AP404" i="15"/>
  <c r="AO404" i="15"/>
  <c r="AK404" i="15"/>
  <c r="AQ404" i="15"/>
  <c r="AR404" i="15"/>
  <c r="AJ404" i="15"/>
  <c r="AI404" i="15"/>
  <c r="AC380" i="15"/>
  <c r="Y380" i="15"/>
  <c r="AB380" i="15"/>
  <c r="AL201" i="15"/>
  <c r="AN201" i="15"/>
  <c r="AK201" i="15"/>
  <c r="AH201" i="15"/>
  <c r="AM201" i="15"/>
  <c r="AI135" i="15"/>
  <c r="AL135" i="15"/>
  <c r="AN135" i="15"/>
  <c r="AP135" i="15"/>
  <c r="F366" i="34"/>
  <c r="V427" i="15"/>
  <c r="AN211" i="15"/>
  <c r="F192" i="34"/>
  <c r="AN404" i="15"/>
  <c r="V380" i="15"/>
  <c r="F255" i="34"/>
  <c r="J10" i="16"/>
  <c r="M380" i="34"/>
  <c r="AI177" i="15"/>
  <c r="F158" i="34"/>
  <c r="AQ234" i="15"/>
  <c r="F207" i="34"/>
  <c r="C341" i="30"/>
  <c r="D95" i="24"/>
  <c r="L348" i="24"/>
  <c r="BG20" i="24" s="1"/>
  <c r="O158" i="24"/>
  <c r="E54" i="24"/>
  <c r="O348" i="24"/>
  <c r="D54" i="24"/>
  <c r="L158" i="24"/>
  <c r="BG10" i="24" s="1"/>
  <c r="Y614" i="34" s="1"/>
  <c r="D341" i="30"/>
  <c r="M342" i="30" s="1"/>
  <c r="D210" i="24"/>
  <c r="E252" i="24"/>
  <c r="AJ211" i="15"/>
  <c r="AM211" i="15"/>
  <c r="AP211" i="15"/>
  <c r="AQ211" i="15"/>
  <c r="AL211" i="15"/>
  <c r="AH211" i="15"/>
  <c r="AO211" i="15"/>
  <c r="AK211" i="15"/>
  <c r="AI211" i="15"/>
  <c r="AR211" i="15"/>
  <c r="V159" i="15"/>
  <c r="G123" i="34" s="1"/>
  <c r="AH135" i="15"/>
  <c r="AK135" i="15"/>
  <c r="AQ135" i="15"/>
  <c r="AJ135" i="15"/>
  <c r="AR135" i="15"/>
  <c r="Z380" i="15"/>
  <c r="AA380" i="15"/>
  <c r="L81" i="24"/>
  <c r="BG6" i="24" s="1"/>
  <c r="Y610" i="34" s="1"/>
  <c r="L426" i="24"/>
  <c r="BG24" i="24" s="1"/>
  <c r="E521" i="24"/>
  <c r="O608" i="24"/>
  <c r="K403" i="24"/>
  <c r="O387" i="24"/>
  <c r="M608" i="24"/>
  <c r="N387" i="24"/>
  <c r="BI22" i="24" s="1"/>
  <c r="M72" i="16" s="1"/>
  <c r="L608" i="24"/>
  <c r="N364" i="30"/>
  <c r="K364" i="30"/>
  <c r="L364" i="30"/>
  <c r="AC363" i="30"/>
  <c r="AD364" i="30" s="1"/>
  <c r="AD369" i="30" s="1"/>
  <c r="G364" i="30"/>
  <c r="C363" i="30"/>
  <c r="D363" i="30"/>
  <c r="M364" i="30" s="1"/>
  <c r="Y193" i="15"/>
  <c r="Y259" i="15" s="1"/>
  <c r="V193" i="15"/>
  <c r="V259" i="15" s="1"/>
  <c r="K53" i="33"/>
  <c r="K52" i="33"/>
  <c r="L52" i="33"/>
  <c r="L53" i="33"/>
  <c r="J52" i="33"/>
  <c r="J53" i="33"/>
  <c r="AH177" i="15"/>
  <c r="M367" i="24"/>
  <c r="BK21" i="24" s="1"/>
  <c r="S71" i="16" s="1"/>
  <c r="N348" i="24"/>
  <c r="BI20" i="24" s="1"/>
  <c r="M70" i="16" s="1"/>
  <c r="N158" i="24"/>
  <c r="BI10" i="24" s="1"/>
  <c r="M60" i="16" s="1"/>
  <c r="Y159" i="15"/>
  <c r="I123" i="34" s="1"/>
  <c r="O367" i="24"/>
  <c r="L367" i="24"/>
  <c r="BG21" i="24" s="1"/>
  <c r="N81" i="24"/>
  <c r="BI6" i="24" s="1"/>
  <c r="M56" i="16" s="1"/>
  <c r="O588" i="24"/>
  <c r="O81" i="24"/>
  <c r="N608" i="24"/>
  <c r="L588" i="24"/>
  <c r="AG220" i="24"/>
  <c r="AG215" i="24"/>
  <c r="AD138" i="24"/>
  <c r="AG464" i="24"/>
  <c r="AG527" i="24"/>
  <c r="AG522" i="24"/>
  <c r="K479" i="24"/>
  <c r="K441" i="24"/>
  <c r="D245" i="24"/>
  <c r="E245" i="24"/>
  <c r="K249" i="24"/>
  <c r="K325" i="24"/>
  <c r="K517" i="24"/>
  <c r="M588" i="24"/>
  <c r="N588" i="24"/>
  <c r="O502" i="24"/>
  <c r="M502" i="24"/>
  <c r="AD201" i="30"/>
  <c r="N502" i="24"/>
  <c r="D513" i="24"/>
  <c r="E513" i="24"/>
  <c r="AD301" i="30"/>
  <c r="AD241" i="30"/>
  <c r="AD281" i="30"/>
  <c r="N426" i="24"/>
  <c r="BI24" i="24" s="1"/>
  <c r="M74" i="16" s="1"/>
  <c r="O426" i="24"/>
  <c r="AK234" i="15"/>
  <c r="M119" i="30"/>
  <c r="K119" i="30"/>
  <c r="AI96" i="30"/>
  <c r="AI134" i="30"/>
  <c r="AI77" i="30"/>
  <c r="AI153" i="30"/>
  <c r="AO234" i="15"/>
  <c r="AN234" i="15"/>
  <c r="AM234" i="15"/>
  <c r="AP234" i="15"/>
  <c r="AL234" i="15"/>
  <c r="E463" i="24"/>
  <c r="D138" i="24"/>
  <c r="AH234" i="15"/>
  <c r="AB159" i="15"/>
  <c r="L123" i="34" s="1"/>
  <c r="D34" i="24"/>
  <c r="X159" i="15"/>
  <c r="H123" i="34" s="1"/>
  <c r="E271" i="24"/>
  <c r="BG28" i="24"/>
  <c r="BI28" i="24"/>
  <c r="M78" i="16" s="1"/>
  <c r="AC193" i="15"/>
  <c r="AC259" i="15" s="1"/>
  <c r="E34" i="24"/>
  <c r="AI234" i="15"/>
  <c r="AJ234" i="15"/>
  <c r="AR234" i="15"/>
  <c r="D118" i="24"/>
  <c r="BS194" i="15"/>
  <c r="X193" i="15"/>
  <c r="X259" i="15" s="1"/>
  <c r="AK198" i="15"/>
  <c r="AN198" i="15"/>
  <c r="AR198" i="15"/>
  <c r="AM198" i="15"/>
  <c r="AO198" i="15"/>
  <c r="AP198" i="15"/>
  <c r="AL198" i="15"/>
  <c r="AQ198" i="15"/>
  <c r="BQ194" i="15"/>
  <c r="AM248" i="15"/>
  <c r="AQ248" i="15"/>
  <c r="AK248" i="15"/>
  <c r="AP248" i="15"/>
  <c r="AL248" i="15"/>
  <c r="AR248" i="15"/>
  <c r="AN248" i="15"/>
  <c r="AO248" i="15"/>
  <c r="BR194" i="15"/>
  <c r="AL278" i="15"/>
  <c r="AQ278" i="15"/>
  <c r="AO278" i="15"/>
  <c r="AP278" i="15"/>
  <c r="AK278" i="15"/>
  <c r="AJ278" i="15"/>
  <c r="AN278" i="15"/>
  <c r="AI278" i="15"/>
  <c r="AM278" i="15"/>
  <c r="AR278" i="15"/>
  <c r="AH243" i="15"/>
  <c r="AO243" i="15"/>
  <c r="AJ243" i="15"/>
  <c r="AN243" i="15"/>
  <c r="AK243" i="15"/>
  <c r="AM243" i="15"/>
  <c r="AR243" i="15"/>
  <c r="AL243" i="15"/>
  <c r="AQ243" i="15"/>
  <c r="AI243" i="15"/>
  <c r="AP243" i="15"/>
  <c r="E99" i="24"/>
  <c r="AJ248" i="15"/>
  <c r="AI248" i="15"/>
  <c r="AH248" i="15"/>
  <c r="AI198" i="15"/>
  <c r="AH198" i="15"/>
  <c r="AJ198" i="15"/>
  <c r="D600" i="24"/>
  <c r="E92" i="24"/>
  <c r="D475" i="24"/>
  <c r="D233" i="24"/>
  <c r="E169" i="24"/>
  <c r="D169" i="24"/>
  <c r="E359" i="24"/>
  <c r="D359" i="24"/>
  <c r="D41" i="24"/>
  <c r="E475" i="24"/>
  <c r="E41" i="24"/>
  <c r="E207" i="24"/>
  <c r="D207" i="24"/>
  <c r="D61" i="24"/>
  <c r="E61" i="24"/>
  <c r="AA259" i="15"/>
  <c r="AB259" i="15"/>
  <c r="E459" i="24"/>
  <c r="E283" i="24"/>
  <c r="D459" i="24"/>
  <c r="E150" i="24"/>
  <c r="D214" i="24"/>
  <c r="D150" i="24"/>
  <c r="Z259" i="15"/>
  <c r="E406" i="24"/>
  <c r="D386" i="24"/>
  <c r="D195" i="24"/>
  <c r="Q76" i="14"/>
  <c r="D444" i="24"/>
  <c r="E188" i="24"/>
  <c r="E418" i="24"/>
  <c r="D191" i="24"/>
  <c r="D99" i="24"/>
  <c r="D418" i="24"/>
  <c r="Q148" i="14"/>
  <c r="D111" i="24"/>
  <c r="E226" i="24"/>
  <c r="D340" i="24"/>
  <c r="D226" i="24"/>
  <c r="D157" i="24"/>
  <c r="D347" i="24"/>
  <c r="E328" i="24"/>
  <c r="E309" i="24"/>
  <c r="E111" i="24"/>
  <c r="D290" i="24"/>
  <c r="D425" i="24"/>
  <c r="D321" i="24"/>
  <c r="E321" i="24"/>
  <c r="E366" i="24"/>
  <c r="E378" i="24"/>
  <c r="D80" i="24"/>
  <c r="D378" i="24"/>
  <c r="D176" i="24"/>
  <c r="E73" i="24"/>
  <c r="D366" i="24"/>
  <c r="D302" i="24"/>
  <c r="D73" i="24"/>
  <c r="E437" i="24"/>
  <c r="D437" i="24"/>
  <c r="E302" i="24"/>
  <c r="D398" i="24"/>
  <c r="E398" i="24"/>
  <c r="L100" i="24" l="1"/>
  <c r="H100" i="24"/>
  <c r="BF7" i="24" s="1"/>
  <c r="E57" i="16" s="1"/>
  <c r="AS291" i="24"/>
  <c r="AS296" i="24" s="1"/>
  <c r="L464" i="24"/>
  <c r="BG26" i="24" s="1"/>
  <c r="Y630" i="34" s="1"/>
  <c r="N464" i="24"/>
  <c r="BI26" i="24" s="1"/>
  <c r="M76" i="16" s="1"/>
  <c r="AG100" i="24"/>
  <c r="AS215" i="24"/>
  <c r="AS220" i="24" s="1"/>
  <c r="O139" i="24"/>
  <c r="AG105" i="24"/>
  <c r="AG201" i="24"/>
  <c r="AS100" i="24"/>
  <c r="AS105" i="24" s="1"/>
  <c r="AT196" i="24"/>
  <c r="AT201" i="24" s="1"/>
  <c r="AS62" i="24"/>
  <c r="AS67" i="24" s="1"/>
  <c r="O100" i="24"/>
  <c r="L119" i="24"/>
  <c r="BG8" i="24" s="1"/>
  <c r="N100" i="24"/>
  <c r="BI7" i="24" s="1"/>
  <c r="M57" i="16" s="1"/>
  <c r="AG431" i="24"/>
  <c r="AG315" i="24"/>
  <c r="AV277" i="24"/>
  <c r="O196" i="24"/>
  <c r="O215" i="24"/>
  <c r="L196" i="24"/>
  <c r="BG12" i="24" s="1"/>
  <c r="G62" i="16" s="1"/>
  <c r="AG488" i="24"/>
  <c r="AJ96" i="24"/>
  <c r="N196" i="24"/>
  <c r="BI12" i="24" s="1"/>
  <c r="M62" i="16" s="1"/>
  <c r="H329" i="24"/>
  <c r="BF19" i="24" s="1"/>
  <c r="E69" i="16" s="1"/>
  <c r="AG469" i="24"/>
  <c r="AG502" i="24"/>
  <c r="AD564" i="24"/>
  <c r="AQ568" i="24" s="1"/>
  <c r="AQ573" i="24" s="1"/>
  <c r="H196" i="24"/>
  <c r="BF12" i="24" s="1"/>
  <c r="E62" i="16" s="1"/>
  <c r="AT62" i="24"/>
  <c r="AT67" i="24" s="1"/>
  <c r="AU201" i="24"/>
  <c r="L62" i="24"/>
  <c r="BG5" i="24" s="1"/>
  <c r="L42" i="24"/>
  <c r="BG4" i="24" s="1"/>
  <c r="N291" i="24"/>
  <c r="BI17" i="24" s="1"/>
  <c r="M67" i="16" s="1"/>
  <c r="M568" i="24"/>
  <c r="O568" i="24"/>
  <c r="AI613" i="24"/>
  <c r="AV201" i="24"/>
  <c r="L291" i="24"/>
  <c r="BG17" i="24" s="1"/>
  <c r="AG392" i="24"/>
  <c r="N568" i="24"/>
  <c r="AG163" i="24"/>
  <c r="AE201" i="24"/>
  <c r="M139" i="24"/>
  <c r="N119" i="24"/>
  <c r="BI8" i="24" s="1"/>
  <c r="M58" i="16" s="1"/>
  <c r="N139" i="24"/>
  <c r="O464" i="24"/>
  <c r="E344" i="24"/>
  <c r="M348" i="24" s="1"/>
  <c r="BK20" i="24" s="1"/>
  <c r="S70" i="16" s="1"/>
  <c r="AO100" i="24"/>
  <c r="AO105" i="24" s="1"/>
  <c r="O291" i="24"/>
  <c r="L177" i="24"/>
  <c r="BG11" i="24" s="1"/>
  <c r="Y615" i="34" s="1"/>
  <c r="AD173" i="24"/>
  <c r="AN177" i="24" s="1"/>
  <c r="AN182" i="24" s="1"/>
  <c r="L310" i="24"/>
  <c r="BG18" i="24" s="1"/>
  <c r="E268" i="24"/>
  <c r="AD306" i="24"/>
  <c r="AE310" i="24" s="1"/>
  <c r="AG310" i="24"/>
  <c r="E498" i="24"/>
  <c r="BK28" i="24" s="1"/>
  <c r="S78" i="16" s="1"/>
  <c r="H310" i="24"/>
  <c r="BF18" i="24" s="1"/>
  <c r="V90" i="16" s="1"/>
  <c r="G453" i="34"/>
  <c r="AJ268" i="24"/>
  <c r="AE272" i="24"/>
  <c r="AE277" i="24" s="1"/>
  <c r="N272" i="24"/>
  <c r="BI16" i="24" s="1"/>
  <c r="M66" i="16" s="1"/>
  <c r="O272" i="24"/>
  <c r="AG272" i="24"/>
  <c r="H42" i="24"/>
  <c r="BF4" i="24" s="1"/>
  <c r="E54" i="16" s="1"/>
  <c r="AG277" i="24"/>
  <c r="M272" i="24"/>
  <c r="BK16" i="24" s="1"/>
  <c r="S66" i="16" s="1"/>
  <c r="AS234" i="24"/>
  <c r="AS239" i="24" s="1"/>
  <c r="AS196" i="24"/>
  <c r="AS201" i="24" s="1"/>
  <c r="H272" i="24"/>
  <c r="BF16" i="24" s="1"/>
  <c r="E66" i="16" s="1"/>
  <c r="I453" i="34"/>
  <c r="L215" i="24"/>
  <c r="BG13" i="24" s="1"/>
  <c r="G63" i="16" s="1"/>
  <c r="AJ344" i="24"/>
  <c r="AO291" i="24"/>
  <c r="AO296" i="24" s="1"/>
  <c r="AE315" i="24"/>
  <c r="AG291" i="24"/>
  <c r="AQ427" i="15"/>
  <c r="AJ422" i="24"/>
  <c r="AP296" i="24"/>
  <c r="AG296" i="24"/>
  <c r="AV613" i="24"/>
  <c r="AS464" i="24"/>
  <c r="AS469" i="24" s="1"/>
  <c r="AO464" i="24"/>
  <c r="AO469" i="24" s="1"/>
  <c r="AO427" i="15"/>
  <c r="AK427" i="15"/>
  <c r="AG407" i="24"/>
  <c r="O234" i="24"/>
  <c r="L234" i="24"/>
  <c r="BG14" i="24" s="1"/>
  <c r="Y618" i="34" s="1"/>
  <c r="O42" i="24"/>
  <c r="AJ363" i="24"/>
  <c r="AS158" i="24"/>
  <c r="AS163" i="24" s="1"/>
  <c r="AU277" i="24"/>
  <c r="AP192" i="24"/>
  <c r="AP201" i="24" s="1"/>
  <c r="AT234" i="24"/>
  <c r="AT239" i="24" s="1"/>
  <c r="AP277" i="24"/>
  <c r="AG182" i="24"/>
  <c r="AJ154" i="24"/>
  <c r="AO234" i="24"/>
  <c r="AO239" i="24" s="1"/>
  <c r="AT158" i="24"/>
  <c r="AT163" i="24" s="1"/>
  <c r="AO192" i="24"/>
  <c r="AO196" i="24" s="1"/>
  <c r="AO201" i="24" s="1"/>
  <c r="AT119" i="24"/>
  <c r="AT124" i="24" s="1"/>
  <c r="AT177" i="24"/>
  <c r="AT182" i="24" s="1"/>
  <c r="F453" i="34"/>
  <c r="N234" i="24"/>
  <c r="BI14" i="24" s="1"/>
  <c r="M64" i="16" s="1"/>
  <c r="AO639" i="24"/>
  <c r="AS177" i="24"/>
  <c r="AS182" i="24" s="1"/>
  <c r="AI640" i="24"/>
  <c r="AN639" i="24"/>
  <c r="AP639" i="24"/>
  <c r="AS640" i="24"/>
  <c r="AS502" i="24"/>
  <c r="AS507" i="24" s="1"/>
  <c r="AQ640" i="24"/>
  <c r="E58" i="24"/>
  <c r="AR640" i="24"/>
  <c r="AT640" i="24"/>
  <c r="AO119" i="24"/>
  <c r="AO124" i="24" s="1"/>
  <c r="AU507" i="24"/>
  <c r="AT502" i="24"/>
  <c r="AT507" i="24" s="1"/>
  <c r="AV220" i="24"/>
  <c r="AO173" i="24"/>
  <c r="AO177" i="24" s="1"/>
  <c r="AO182" i="24" s="1"/>
  <c r="AR196" i="24"/>
  <c r="AR201" i="24" s="1"/>
  <c r="AO638" i="24"/>
  <c r="AD230" i="24"/>
  <c r="AQ100" i="24"/>
  <c r="AQ105" i="24" s="1"/>
  <c r="AN100" i="24"/>
  <c r="AN105" i="24" s="1"/>
  <c r="AR100" i="24"/>
  <c r="AR105" i="24" s="1"/>
  <c r="AR426" i="24"/>
  <c r="AR431" i="24" s="1"/>
  <c r="AQ426" i="24"/>
  <c r="AQ431" i="24" s="1"/>
  <c r="AN426" i="24"/>
  <c r="AN431" i="24" s="1"/>
  <c r="AG258" i="24"/>
  <c r="AT253" i="24"/>
  <c r="AT258" i="24" s="1"/>
  <c r="AO253" i="24"/>
  <c r="AO258" i="24" s="1"/>
  <c r="AS253" i="24"/>
  <c r="AS258" i="24" s="1"/>
  <c r="AQ196" i="24"/>
  <c r="AQ201" i="24" s="1"/>
  <c r="AU182" i="24"/>
  <c r="AI573" i="24"/>
  <c r="AV573" i="24"/>
  <c r="AU573" i="24"/>
  <c r="AP573" i="24"/>
  <c r="AN272" i="24"/>
  <c r="AN277" i="24" s="1"/>
  <c r="AQ81" i="24"/>
  <c r="AQ86" i="24" s="1"/>
  <c r="AQ588" i="24"/>
  <c r="AQ593" i="24" s="1"/>
  <c r="AS119" i="24"/>
  <c r="AS124" i="24" s="1"/>
  <c r="AP593" i="24"/>
  <c r="AV593" i="24"/>
  <c r="AU593" i="24"/>
  <c r="AG450" i="24"/>
  <c r="AT445" i="24"/>
  <c r="AT450" i="24" s="1"/>
  <c r="AO445" i="24"/>
  <c r="AO450" i="24" s="1"/>
  <c r="AS445" i="24"/>
  <c r="AS450" i="24" s="1"/>
  <c r="AI450" i="24"/>
  <c r="AP450" i="24"/>
  <c r="AV450" i="24"/>
  <c r="AU450" i="24"/>
  <c r="H253" i="24"/>
  <c r="AN502" i="24"/>
  <c r="AN507" i="24" s="1"/>
  <c r="AR502" i="24"/>
  <c r="AR507" i="24" s="1"/>
  <c r="AS387" i="24"/>
  <c r="AS392" i="24" s="1"/>
  <c r="AT387" i="24"/>
  <c r="AT392" i="24" s="1"/>
  <c r="AO387" i="24"/>
  <c r="AO392" i="24" s="1"/>
  <c r="AN192" i="24"/>
  <c r="AN196" i="24" s="1"/>
  <c r="AN201" i="24" s="1"/>
  <c r="AO158" i="24"/>
  <c r="AO163" i="24" s="1"/>
  <c r="AT272" i="24"/>
  <c r="AT277" i="24" s="1"/>
  <c r="AS81" i="24"/>
  <c r="AS86" i="24" s="1"/>
  <c r="AO81" i="24"/>
  <c r="AO86" i="24" s="1"/>
  <c r="AT81" i="24"/>
  <c r="AT86" i="24" s="1"/>
  <c r="AG86" i="24"/>
  <c r="AG81" i="24"/>
  <c r="AS608" i="24"/>
  <c r="AS613" i="24" s="1"/>
  <c r="AT608" i="24"/>
  <c r="AT613" i="24" s="1"/>
  <c r="AO608" i="24"/>
  <c r="AO613" i="24" s="1"/>
  <c r="AG613" i="24"/>
  <c r="AG608" i="24"/>
  <c r="AG329" i="24"/>
  <c r="AT329" i="24"/>
  <c r="AT334" i="24" s="1"/>
  <c r="AS329" i="24"/>
  <c r="AS334" i="24" s="1"/>
  <c r="AO329" i="24"/>
  <c r="AO334" i="24" s="1"/>
  <c r="AE548" i="24"/>
  <c r="AE553" i="24" s="1"/>
  <c r="AQ548" i="24"/>
  <c r="AQ553" i="24" s="1"/>
  <c r="AN548" i="24"/>
  <c r="AN553" i="24" s="1"/>
  <c r="AR548" i="24"/>
  <c r="AR553" i="24" s="1"/>
  <c r="AN387" i="24"/>
  <c r="AN392" i="24" s="1"/>
  <c r="AR387" i="24"/>
  <c r="AR392" i="24" s="1"/>
  <c r="AQ387" i="24"/>
  <c r="AQ392" i="24" s="1"/>
  <c r="AR464" i="24"/>
  <c r="AR469" i="24" s="1"/>
  <c r="AQ464" i="24"/>
  <c r="AQ469" i="24" s="1"/>
  <c r="AN464" i="24"/>
  <c r="AN469" i="24" s="1"/>
  <c r="AI105" i="24"/>
  <c r="AV105" i="24"/>
  <c r="AU105" i="24"/>
  <c r="AP105" i="24"/>
  <c r="AR81" i="24"/>
  <c r="AR86" i="24" s="1"/>
  <c r="H483" i="24"/>
  <c r="BF27" i="24" s="1"/>
  <c r="AI86" i="24"/>
  <c r="AP86" i="24"/>
  <c r="AV86" i="24"/>
  <c r="AU86" i="24"/>
  <c r="AI67" i="24"/>
  <c r="AV67" i="24"/>
  <c r="AU67" i="24"/>
  <c r="AP67" i="24"/>
  <c r="AR588" i="24"/>
  <c r="AR593" i="24" s="1"/>
  <c r="AI47" i="24"/>
  <c r="AU47" i="24"/>
  <c r="AP47" i="24"/>
  <c r="AV47" i="24"/>
  <c r="AI372" i="24"/>
  <c r="AU372" i="24"/>
  <c r="AP372" i="24"/>
  <c r="AV372" i="24"/>
  <c r="AI258" i="24"/>
  <c r="AU258" i="24"/>
  <c r="AP258" i="24"/>
  <c r="AV258" i="24"/>
  <c r="L548" i="24"/>
  <c r="M548" i="24"/>
  <c r="N548" i="24"/>
  <c r="O548" i="24"/>
  <c r="AP613" i="24"/>
  <c r="H445" i="24"/>
  <c r="BF25" i="24" s="1"/>
  <c r="AP431" i="24"/>
  <c r="AV431" i="24"/>
  <c r="AU431" i="24"/>
  <c r="AI431" i="24"/>
  <c r="AP507" i="24"/>
  <c r="H522" i="24"/>
  <c r="BF29" i="24" s="1"/>
  <c r="AJ77" i="24"/>
  <c r="AI412" i="24"/>
  <c r="AP412" i="24"/>
  <c r="AV412" i="24"/>
  <c r="AU412" i="24"/>
  <c r="AE608" i="24"/>
  <c r="AE613" i="24" s="1"/>
  <c r="AN608" i="24"/>
  <c r="AN613" i="24" s="1"/>
  <c r="AR608" i="24"/>
  <c r="AR613" i="24" s="1"/>
  <c r="AQ608" i="24"/>
  <c r="AQ613" i="24" s="1"/>
  <c r="AN348" i="24"/>
  <c r="AN353" i="24" s="1"/>
  <c r="AR348" i="24"/>
  <c r="AR353" i="24" s="1"/>
  <c r="AQ348" i="24"/>
  <c r="AQ353" i="24" s="1"/>
  <c r="AI315" i="24"/>
  <c r="AP315" i="24"/>
  <c r="AV315" i="24"/>
  <c r="AU315" i="24"/>
  <c r="AS310" i="24"/>
  <c r="AS315" i="24" s="1"/>
  <c r="AI239" i="24"/>
  <c r="AU239" i="24"/>
  <c r="AP239" i="24"/>
  <c r="AV239" i="24"/>
  <c r="AT407" i="24"/>
  <c r="AT412" i="24" s="1"/>
  <c r="AO407" i="24"/>
  <c r="AO412" i="24" s="1"/>
  <c r="AS407" i="24"/>
  <c r="AS412" i="24" s="1"/>
  <c r="AO272" i="24"/>
  <c r="AO277" i="24" s="1"/>
  <c r="AN588" i="24"/>
  <c r="AN593" i="24" s="1"/>
  <c r="AG124" i="24"/>
  <c r="AG119" i="24"/>
  <c r="AV507" i="24"/>
  <c r="AO502" i="24"/>
  <c r="AO507" i="24" s="1"/>
  <c r="AU220" i="24"/>
  <c r="AI124" i="24"/>
  <c r="AP124" i="24"/>
  <c r="AV124" i="24"/>
  <c r="AU124" i="24"/>
  <c r="AT426" i="24"/>
  <c r="AT431" i="24" s="1"/>
  <c r="AO426" i="24"/>
  <c r="AO431" i="24" s="1"/>
  <c r="AS426" i="24"/>
  <c r="AS431" i="24" s="1"/>
  <c r="AT367" i="24"/>
  <c r="AT372" i="24" s="1"/>
  <c r="H548" i="24"/>
  <c r="H568" i="24"/>
  <c r="AU517" i="24"/>
  <c r="AU527" i="24" s="1"/>
  <c r="AU638" i="24"/>
  <c r="AN81" i="24"/>
  <c r="AN86" i="24" s="1"/>
  <c r="AI392" i="24"/>
  <c r="AV392" i="24"/>
  <c r="AU392" i="24"/>
  <c r="AS348" i="24"/>
  <c r="AS353" i="24" s="1"/>
  <c r="AO348" i="24"/>
  <c r="AO353" i="24" s="1"/>
  <c r="AT348" i="24"/>
  <c r="AT353" i="24" s="1"/>
  <c r="AG353" i="24"/>
  <c r="AG348" i="24"/>
  <c r="AQ272" i="24"/>
  <c r="AQ277" i="24" s="1"/>
  <c r="AG67" i="24"/>
  <c r="AG62" i="24"/>
  <c r="H139" i="24"/>
  <c r="AU334" i="24"/>
  <c r="AU296" i="24"/>
  <c r="AP182" i="24"/>
  <c r="AJ382" i="24"/>
  <c r="O62" i="24"/>
  <c r="H62" i="24"/>
  <c r="BF5" i="24" s="1"/>
  <c r="E55" i="16" s="1"/>
  <c r="AE158" i="24"/>
  <c r="AE163" i="24" s="1"/>
  <c r="AN158" i="24"/>
  <c r="AN163" i="24" s="1"/>
  <c r="AR158" i="24"/>
  <c r="AR163" i="24" s="1"/>
  <c r="AQ158" i="24"/>
  <c r="AQ163" i="24" s="1"/>
  <c r="AR367" i="24"/>
  <c r="AR372" i="24" s="1"/>
  <c r="AQ367" i="24"/>
  <c r="AQ372" i="24" s="1"/>
  <c r="AN367" i="24"/>
  <c r="AN372" i="24" s="1"/>
  <c r="H464" i="24"/>
  <c r="BF26" i="24" s="1"/>
  <c r="V94" i="16" s="1"/>
  <c r="AG568" i="24"/>
  <c r="AT568" i="24"/>
  <c r="AT573" i="24" s="1"/>
  <c r="AO568" i="24"/>
  <c r="AO573" i="24" s="1"/>
  <c r="AS568" i="24"/>
  <c r="AS573" i="24" s="1"/>
  <c r="AT588" i="24"/>
  <c r="AT593" i="24" s="1"/>
  <c r="AS588" i="24"/>
  <c r="AS593" i="24" s="1"/>
  <c r="AO588" i="24"/>
  <c r="AO593" i="24" s="1"/>
  <c r="AG588" i="24"/>
  <c r="AV182" i="24"/>
  <c r="AP334" i="24"/>
  <c r="AI488" i="24"/>
  <c r="AV488" i="24"/>
  <c r="AU488" i="24"/>
  <c r="AP488" i="24"/>
  <c r="AU163" i="24"/>
  <c r="AP163" i="24"/>
  <c r="AV163" i="24"/>
  <c r="AI163" i="24"/>
  <c r="AG548" i="24"/>
  <c r="AT548" i="24"/>
  <c r="AT553" i="24" s="1"/>
  <c r="AO548" i="24"/>
  <c r="AO553" i="24" s="1"/>
  <c r="AS548" i="24"/>
  <c r="AS553" i="24" s="1"/>
  <c r="AT42" i="24"/>
  <c r="AO42" i="24"/>
  <c r="AS42" i="24"/>
  <c r="AG47" i="24"/>
  <c r="AG42" i="24"/>
  <c r="H119" i="24"/>
  <c r="BF8" i="24" s="1"/>
  <c r="AV517" i="24"/>
  <c r="AV527" i="24" s="1"/>
  <c r="AV638" i="24"/>
  <c r="AO310" i="24"/>
  <c r="AO315" i="24" s="1"/>
  <c r="AQ502" i="24"/>
  <c r="AQ507" i="24" s="1"/>
  <c r="AG372" i="24"/>
  <c r="AO367" i="24"/>
  <c r="AO372" i="24" s="1"/>
  <c r="AS367" i="24"/>
  <c r="AS372" i="24" s="1"/>
  <c r="AS483" i="24"/>
  <c r="AS488" i="24" s="1"/>
  <c r="AO483" i="24"/>
  <c r="AO488" i="24" s="1"/>
  <c r="AT483" i="24"/>
  <c r="AT488" i="24" s="1"/>
  <c r="H215" i="24"/>
  <c r="BF13" i="24" s="1"/>
  <c r="E63" i="16" s="1"/>
  <c r="AI353" i="24"/>
  <c r="AP353" i="24"/>
  <c r="AV353" i="24"/>
  <c r="AU353" i="24"/>
  <c r="AG239" i="24"/>
  <c r="AR272" i="24"/>
  <c r="AR277" i="24" s="1"/>
  <c r="AV334" i="24"/>
  <c r="AV296" i="24"/>
  <c r="AP220" i="24"/>
  <c r="AP638" i="24"/>
  <c r="AN638" i="24"/>
  <c r="AE464" i="24"/>
  <c r="AE469" i="24" s="1"/>
  <c r="AJ460" i="24"/>
  <c r="AD211" i="24"/>
  <c r="AN215" i="24" s="1"/>
  <c r="AN220" i="24" s="1"/>
  <c r="AD249" i="24"/>
  <c r="AE253" i="24" s="1"/>
  <c r="AE258" i="24" s="1"/>
  <c r="BF15" i="24"/>
  <c r="E65" i="16" s="1"/>
  <c r="AD441" i="24"/>
  <c r="AJ441" i="24" s="1"/>
  <c r="AD115" i="24"/>
  <c r="AQ119" i="24" s="1"/>
  <c r="AQ124" i="24" s="1"/>
  <c r="AD479" i="24"/>
  <c r="AJ479" i="24" s="1"/>
  <c r="AD403" i="24"/>
  <c r="AJ403" i="24" s="1"/>
  <c r="H407" i="24"/>
  <c r="BF23" i="24" s="1"/>
  <c r="E73" i="16" s="1"/>
  <c r="AD58" i="24"/>
  <c r="AD287" i="24"/>
  <c r="AR291" i="24" s="1"/>
  <c r="AR296" i="24" s="1"/>
  <c r="BF17" i="24"/>
  <c r="E67" i="16" s="1"/>
  <c r="AD325" i="24"/>
  <c r="AJ325" i="24" s="1"/>
  <c r="AD38" i="24"/>
  <c r="AR42" i="24" s="1"/>
  <c r="AH135" i="24"/>
  <c r="AF135" i="24"/>
  <c r="AD135" i="24"/>
  <c r="O445" i="24"/>
  <c r="H453" i="34"/>
  <c r="E453" i="34"/>
  <c r="AQ380" i="15"/>
  <c r="AQ457" i="15" s="1"/>
  <c r="AH457" i="15"/>
  <c r="D667" i="34" s="1"/>
  <c r="E158" i="36"/>
  <c r="U109" i="36"/>
  <c r="Y116" i="36"/>
  <c r="I109" i="36"/>
  <c r="K128" i="36"/>
  <c r="O109" i="36"/>
  <c r="R126" i="36"/>
  <c r="D453" i="34"/>
  <c r="C453" i="34"/>
  <c r="G380" i="34"/>
  <c r="C454" i="34"/>
  <c r="J85" i="36"/>
  <c r="J82" i="36"/>
  <c r="J84" i="36"/>
  <c r="J86" i="36"/>
  <c r="J81" i="36"/>
  <c r="J83" i="36"/>
  <c r="G78" i="16"/>
  <c r="Y632" i="34"/>
  <c r="G67" i="16"/>
  <c r="G71" i="16"/>
  <c r="Y625" i="34"/>
  <c r="G70" i="16"/>
  <c r="Y624" i="34"/>
  <c r="G74" i="16"/>
  <c r="Y628" i="34"/>
  <c r="G72" i="16"/>
  <c r="Y626" i="34"/>
  <c r="G321" i="34"/>
  <c r="C646" i="34"/>
  <c r="L321" i="34"/>
  <c r="H646" i="34"/>
  <c r="H321" i="34"/>
  <c r="D646" i="34"/>
  <c r="I321" i="34"/>
  <c r="E646" i="34"/>
  <c r="K321" i="34"/>
  <c r="G646" i="34"/>
  <c r="M321" i="34"/>
  <c r="I646" i="34"/>
  <c r="J321" i="34"/>
  <c r="F646" i="34"/>
  <c r="AR380" i="15"/>
  <c r="AR457" i="15" s="1"/>
  <c r="D25" i="16"/>
  <c r="N8" i="28" s="1"/>
  <c r="S22" i="20"/>
  <c r="F560" i="34" s="1"/>
  <c r="AJ380" i="15"/>
  <c r="AM380" i="15"/>
  <c r="AM457" i="15" s="1"/>
  <c r="AP427" i="15"/>
  <c r="AL380" i="15"/>
  <c r="AL457" i="15" s="1"/>
  <c r="AJ427" i="15"/>
  <c r="AL427" i="15"/>
  <c r="AI380" i="15"/>
  <c r="AM427" i="15"/>
  <c r="N62" i="24"/>
  <c r="BI5" i="24" s="1"/>
  <c r="M55" i="16" s="1"/>
  <c r="AI427" i="15"/>
  <c r="AM159" i="15"/>
  <c r="E441" i="24"/>
  <c r="AN427" i="15"/>
  <c r="AR427" i="15"/>
  <c r="AD517" i="24"/>
  <c r="M522" i="24"/>
  <c r="BK29" i="24" s="1"/>
  <c r="AI159" i="15"/>
  <c r="AN380" i="15"/>
  <c r="AN457" i="15" s="1"/>
  <c r="AP380" i="15"/>
  <c r="C35" i="16"/>
  <c r="AK380" i="15"/>
  <c r="AK457" i="15" s="1"/>
  <c r="AH159" i="15"/>
  <c r="AO159" i="15"/>
  <c r="B35" i="16"/>
  <c r="AO380" i="15"/>
  <c r="AO457" i="15" s="1"/>
  <c r="AR159" i="15"/>
  <c r="AJ159" i="15"/>
  <c r="F35" i="16"/>
  <c r="E460" i="24"/>
  <c r="M464" i="24" s="1"/>
  <c r="BK26" i="24" s="1"/>
  <c r="S76" i="16" s="1"/>
  <c r="AN159" i="15"/>
  <c r="AL159" i="15"/>
  <c r="M445" i="24"/>
  <c r="BK25" i="24" s="1"/>
  <c r="S75" i="16" s="1"/>
  <c r="AQ159" i="15"/>
  <c r="L329" i="24"/>
  <c r="BG19" i="24" s="1"/>
  <c r="AK159" i="15"/>
  <c r="AP159" i="15"/>
  <c r="G35" i="16"/>
  <c r="D35" i="16"/>
  <c r="I18" i="16"/>
  <c r="I19" i="16"/>
  <c r="I16" i="16"/>
  <c r="I10" i="16"/>
  <c r="AD159" i="15"/>
  <c r="E34" i="16"/>
  <c r="I15" i="16"/>
  <c r="I17" i="16"/>
  <c r="AD427" i="15"/>
  <c r="F10" i="16"/>
  <c r="L228" i="34"/>
  <c r="B10" i="16"/>
  <c r="H228" i="34"/>
  <c r="G10" i="16"/>
  <c r="M228" i="34"/>
  <c r="AD259" i="15"/>
  <c r="F174" i="34"/>
  <c r="E35" i="16"/>
  <c r="E10" i="16"/>
  <c r="K228" i="34"/>
  <c r="D10" i="16"/>
  <c r="J228" i="34"/>
  <c r="C10" i="16"/>
  <c r="I228" i="34"/>
  <c r="O407" i="24"/>
  <c r="E325" i="24"/>
  <c r="M329" i="24" s="1"/>
  <c r="BK19" i="24" s="1"/>
  <c r="S69" i="16" s="1"/>
  <c r="O483" i="24"/>
  <c r="N483" i="24"/>
  <c r="BI27" i="24" s="1"/>
  <c r="M77" i="16" s="1"/>
  <c r="L483" i="24"/>
  <c r="BG27" i="24" s="1"/>
  <c r="N522" i="24"/>
  <c r="BI29" i="24" s="1"/>
  <c r="L445" i="24"/>
  <c r="BG25" i="24" s="1"/>
  <c r="K54" i="33"/>
  <c r="K55" i="33" s="1"/>
  <c r="L54" i="33"/>
  <c r="L55" i="33" s="1"/>
  <c r="J54" i="33"/>
  <c r="J55" i="33" s="1"/>
  <c r="O329" i="24"/>
  <c r="N329" i="24"/>
  <c r="BI19" i="24" s="1"/>
  <c r="M69" i="16" s="1"/>
  <c r="L522" i="24"/>
  <c r="BG29" i="24" s="1"/>
  <c r="E249" i="24"/>
  <c r="AJ498" i="24"/>
  <c r="L253" i="24"/>
  <c r="BG15" i="24" s="1"/>
  <c r="M253" i="24"/>
  <c r="BK15" i="24" s="1"/>
  <c r="S65" i="16" s="1"/>
  <c r="O253" i="24"/>
  <c r="O522" i="24"/>
  <c r="N445" i="24"/>
  <c r="BI25" i="24" s="1"/>
  <c r="M75" i="16" s="1"/>
  <c r="N253" i="24"/>
  <c r="BI15" i="24" s="1"/>
  <c r="M65" i="16" s="1"/>
  <c r="L272" i="24"/>
  <c r="BG16" i="24" s="1"/>
  <c r="E517" i="24"/>
  <c r="AJ192" i="24"/>
  <c r="AD182" i="30"/>
  <c r="AF4" i="30" s="1"/>
  <c r="BG7" i="24"/>
  <c r="M62" i="24"/>
  <c r="BK5" i="24" s="1"/>
  <c r="S55" i="16" s="1"/>
  <c r="AI115" i="30"/>
  <c r="L407" i="24"/>
  <c r="BG23" i="24" s="1"/>
  <c r="N407" i="24"/>
  <c r="BI23" i="24" s="1"/>
  <c r="M73" i="16" s="1"/>
  <c r="N367" i="24"/>
  <c r="BI21" i="24" s="1"/>
  <c r="M71" i="16" s="1"/>
  <c r="E38" i="24"/>
  <c r="N310" i="24"/>
  <c r="BI18" i="24" s="1"/>
  <c r="M68" i="16" s="1"/>
  <c r="V84" i="16"/>
  <c r="N42" i="24"/>
  <c r="BI4" i="24" s="1"/>
  <c r="M54" i="16" s="1"/>
  <c r="E192" i="24"/>
  <c r="M196" i="24" s="1"/>
  <c r="BK12" i="24" s="1"/>
  <c r="S62" i="16" s="1"/>
  <c r="E403" i="24"/>
  <c r="M407" i="24" s="1"/>
  <c r="BK23" i="24" s="1"/>
  <c r="S73" i="16" s="1"/>
  <c r="E287" i="24"/>
  <c r="E173" i="24"/>
  <c r="M177" i="24" s="1"/>
  <c r="BK11" i="24" s="1"/>
  <c r="S61" i="16" s="1"/>
  <c r="E479" i="24"/>
  <c r="M483" i="24" s="1"/>
  <c r="BK27" i="24" s="1"/>
  <c r="S77" i="16" s="1"/>
  <c r="AP193" i="15"/>
  <c r="AP259" i="15" s="1"/>
  <c r="AQ193" i="15"/>
  <c r="AQ259" i="15" s="1"/>
  <c r="AN193" i="15"/>
  <c r="AN259" i="15" s="1"/>
  <c r="AK193" i="15"/>
  <c r="AK259" i="15" s="1"/>
  <c r="AI193" i="15"/>
  <c r="AI259" i="15" s="1"/>
  <c r="AJ193" i="15"/>
  <c r="AJ259" i="15" s="1"/>
  <c r="AR193" i="15"/>
  <c r="AR259" i="15" s="1"/>
  <c r="AH193" i="15"/>
  <c r="AH259" i="15" s="1"/>
  <c r="AL193" i="15"/>
  <c r="AL259" i="15" s="1"/>
  <c r="AM193" i="15"/>
  <c r="AM259" i="15" s="1"/>
  <c r="AO193" i="15"/>
  <c r="AO259" i="15" s="1"/>
  <c r="E96" i="24"/>
  <c r="E154" i="24"/>
  <c r="M158" i="24" s="1"/>
  <c r="BK10" i="24" s="1"/>
  <c r="S60" i="16" s="1"/>
  <c r="O21" i="28"/>
  <c r="P21" i="28"/>
  <c r="E363" i="24"/>
  <c r="E211" i="24"/>
  <c r="E230" i="24"/>
  <c r="M234" i="24" s="1"/>
  <c r="BK14" i="24" s="1"/>
  <c r="S64" i="16" s="1"/>
  <c r="E61" i="16"/>
  <c r="E422" i="24"/>
  <c r="M426" i="24" s="1"/>
  <c r="BK24" i="24" s="1"/>
  <c r="S74" i="16" s="1"/>
  <c r="V87" i="16"/>
  <c r="E64" i="16"/>
  <c r="E115" i="24"/>
  <c r="E382" i="24"/>
  <c r="M387" i="24" s="1"/>
  <c r="BK22" i="24" s="1"/>
  <c r="S72" i="16" s="1"/>
  <c r="E56" i="16"/>
  <c r="E72" i="16"/>
  <c r="E77" i="24"/>
  <c r="AD380" i="15"/>
  <c r="R91" i="16"/>
  <c r="E306" i="24"/>
  <c r="E68" i="16"/>
  <c r="R87" i="16"/>
  <c r="G60" i="16"/>
  <c r="R85" i="16"/>
  <c r="G58" i="16"/>
  <c r="R94" i="16"/>
  <c r="G76" i="16"/>
  <c r="R88" i="16"/>
  <c r="G61" i="16"/>
  <c r="R83" i="16"/>
  <c r="G56" i="16"/>
  <c r="Q237" i="14"/>
  <c r="Q236" i="14" s="1"/>
  <c r="AR568" i="24" l="1"/>
  <c r="AR573" i="24" s="1"/>
  <c r="Y617" i="34"/>
  <c r="AN568" i="24"/>
  <c r="AN573" i="24" s="1"/>
  <c r="AE177" i="24"/>
  <c r="AE182" i="24" s="1"/>
  <c r="AQ177" i="24"/>
  <c r="AQ182" i="24" s="1"/>
  <c r="AE568" i="24"/>
  <c r="AE573" i="24" s="1"/>
  <c r="AG24" i="24" s="1"/>
  <c r="N18" i="28" s="1"/>
  <c r="AJ173" i="24"/>
  <c r="AR177" i="24"/>
  <c r="AR182" i="24" s="1"/>
  <c r="AI24" i="24"/>
  <c r="P18" i="28" s="1"/>
  <c r="AN310" i="24"/>
  <c r="AN315" i="24" s="1"/>
  <c r="AE483" i="24"/>
  <c r="AE488" i="24" s="1"/>
  <c r="AR310" i="24"/>
  <c r="AR315" i="24" s="1"/>
  <c r="AJ306" i="24"/>
  <c r="AQ310" i="24"/>
  <c r="AQ315" i="24" s="1"/>
  <c r="G64" i="16"/>
  <c r="AO451" i="15"/>
  <c r="Y616" i="34"/>
  <c r="R89" i="16"/>
  <c r="V95" i="16"/>
  <c r="E77" i="16"/>
  <c r="V92" i="16"/>
  <c r="V81" i="16"/>
  <c r="E75" i="16"/>
  <c r="V93" i="16"/>
  <c r="E76" i="16"/>
  <c r="AP640" i="24"/>
  <c r="Y621" i="34"/>
  <c r="V85" i="16"/>
  <c r="E58" i="16"/>
  <c r="Y612" i="34"/>
  <c r="AI642" i="24"/>
  <c r="AR47" i="24"/>
  <c r="AT47" i="24"/>
  <c r="AU640" i="24"/>
  <c r="AS47" i="24"/>
  <c r="AN640" i="24"/>
  <c r="AO47" i="24"/>
  <c r="AV640" i="24"/>
  <c r="AO640" i="24"/>
  <c r="AT139" i="24"/>
  <c r="AT144" i="24" s="1"/>
  <c r="AO139" i="24"/>
  <c r="AO144" i="24" s="1"/>
  <c r="AS139" i="24"/>
  <c r="AS144" i="24" s="1"/>
  <c r="AE329" i="24"/>
  <c r="AE334" i="24" s="1"/>
  <c r="AN329" i="24"/>
  <c r="AN334" i="24" s="1"/>
  <c r="AQ62" i="24"/>
  <c r="AQ67" i="24" s="1"/>
  <c r="AN62" i="24"/>
  <c r="AN67" i="24" s="1"/>
  <c r="AR62" i="24"/>
  <c r="AR67" i="24" s="1"/>
  <c r="AQ483" i="24"/>
  <c r="AQ488" i="24" s="1"/>
  <c r="AR483" i="24"/>
  <c r="AR488" i="24" s="1"/>
  <c r="AN483" i="24"/>
  <c r="AN488" i="24" s="1"/>
  <c r="AE445" i="24"/>
  <c r="AE450" i="24" s="1"/>
  <c r="AR445" i="24"/>
  <c r="AR450" i="24" s="1"/>
  <c r="AQ445" i="24"/>
  <c r="AQ450" i="24" s="1"/>
  <c r="AN445" i="24"/>
  <c r="AN450" i="24" s="1"/>
  <c r="AQ42" i="24"/>
  <c r="AN119" i="24"/>
  <c r="AN124" i="24" s="1"/>
  <c r="AR119" i="24"/>
  <c r="AR124" i="24" s="1"/>
  <c r="Y633" i="34"/>
  <c r="AI144" i="24"/>
  <c r="AI21" i="24" s="1"/>
  <c r="P17" i="28" s="1"/>
  <c r="AU144" i="24"/>
  <c r="AU644" i="24" s="1"/>
  <c r="F426" i="34" s="1"/>
  <c r="AV144" i="24"/>
  <c r="AV644" i="24" s="1"/>
  <c r="G426" i="34" s="1"/>
  <c r="AP144" i="24"/>
  <c r="AP644" i="24" s="1"/>
  <c r="D426" i="34" s="1"/>
  <c r="AN42" i="24"/>
  <c r="AR329" i="24"/>
  <c r="AR334" i="24" s="1"/>
  <c r="AQ291" i="24"/>
  <c r="AQ296" i="24" s="1"/>
  <c r="AN291" i="24"/>
  <c r="AN296" i="24" s="1"/>
  <c r="AE407" i="24"/>
  <c r="AE412" i="24" s="1"/>
  <c r="AN407" i="24"/>
  <c r="AN412" i="24" s="1"/>
  <c r="AR407" i="24"/>
  <c r="AR412" i="24" s="1"/>
  <c r="AQ407" i="24"/>
  <c r="AQ412" i="24" s="1"/>
  <c r="AN253" i="24"/>
  <c r="AN258" i="24" s="1"/>
  <c r="AR253" i="24"/>
  <c r="AR258" i="24" s="1"/>
  <c r="AQ253" i="24"/>
  <c r="AQ258" i="24" s="1"/>
  <c r="AQ215" i="24"/>
  <c r="AQ220" i="24" s="1"/>
  <c r="AR215" i="24"/>
  <c r="AR220" i="24" s="1"/>
  <c r="AQ234" i="24"/>
  <c r="AQ239" i="24" s="1"/>
  <c r="AJ230" i="24"/>
  <c r="AE234" i="24"/>
  <c r="AE239" i="24" s="1"/>
  <c r="AN234" i="24"/>
  <c r="AN239" i="24" s="1"/>
  <c r="AR234" i="24"/>
  <c r="AR239" i="24" s="1"/>
  <c r="AE522" i="24"/>
  <c r="AE527" i="24" s="1"/>
  <c r="AR522" i="24"/>
  <c r="AR527" i="24" s="1"/>
  <c r="AQ522" i="24"/>
  <c r="AQ527" i="24" s="1"/>
  <c r="AE139" i="24"/>
  <c r="AE144" i="24" s="1"/>
  <c r="AR139" i="24"/>
  <c r="AR144" i="24" s="1"/>
  <c r="AQ139" i="24"/>
  <c r="AQ144" i="24" s="1"/>
  <c r="AN139" i="24"/>
  <c r="AN144" i="24" s="1"/>
  <c r="AQ329" i="24"/>
  <c r="AQ334" i="24" s="1"/>
  <c r="AN522" i="24"/>
  <c r="AN527" i="24" s="1"/>
  <c r="V82" i="16"/>
  <c r="AE42" i="24"/>
  <c r="AE47" i="24" s="1"/>
  <c r="AJ38" i="24"/>
  <c r="AE291" i="24"/>
  <c r="AE296" i="24" s="1"/>
  <c r="AJ287" i="24"/>
  <c r="AJ115" i="24"/>
  <c r="AE119" i="24"/>
  <c r="AE124" i="24" s="1"/>
  <c r="AE62" i="24"/>
  <c r="AE67" i="24" s="1"/>
  <c r="AJ58" i="24"/>
  <c r="AE215" i="24"/>
  <c r="AE220" i="24" s="1"/>
  <c r="AJ211" i="24"/>
  <c r="AG144" i="24"/>
  <c r="AH21" i="24" s="1"/>
  <c r="BB35" i="24" s="1"/>
  <c r="AG139" i="24"/>
  <c r="AP451" i="15"/>
  <c r="AJ457" i="15"/>
  <c r="D669" i="34" s="1"/>
  <c r="G158" i="36"/>
  <c r="AI457" i="15"/>
  <c r="D668" i="34" s="1"/>
  <c r="F158" i="36"/>
  <c r="AJ428" i="15"/>
  <c r="AR451" i="15"/>
  <c r="G68" i="16"/>
  <c r="Y622" i="34"/>
  <c r="G66" i="16"/>
  <c r="Y620" i="34"/>
  <c r="G69" i="16"/>
  <c r="Y623" i="34"/>
  <c r="G54" i="16"/>
  <c r="Y608" i="34"/>
  <c r="R84" i="16"/>
  <c r="Y611" i="34"/>
  <c r="R82" i="16"/>
  <c r="Y609" i="34"/>
  <c r="R92" i="16"/>
  <c r="Y627" i="34"/>
  <c r="G65" i="16"/>
  <c r="Y619" i="34"/>
  <c r="G75" i="16"/>
  <c r="Y629" i="34"/>
  <c r="R95" i="16"/>
  <c r="Y631" i="34"/>
  <c r="AJ451" i="15"/>
  <c r="AH381" i="15"/>
  <c r="AL428" i="15"/>
  <c r="AM428" i="15"/>
  <c r="AM451" i="15"/>
  <c r="AK428" i="15"/>
  <c r="AN428" i="15"/>
  <c r="AI428" i="15"/>
  <c r="AH428" i="15"/>
  <c r="AO428" i="15"/>
  <c r="AJ381" i="15"/>
  <c r="AQ428" i="15"/>
  <c r="AP428" i="15"/>
  <c r="AI381" i="15"/>
  <c r="AJ517" i="24"/>
  <c r="AR428" i="15"/>
  <c r="AN381" i="15"/>
  <c r="AL432" i="15"/>
  <c r="AI432" i="15"/>
  <c r="D661" i="34" s="1"/>
  <c r="AH160" i="15"/>
  <c r="AK381" i="15"/>
  <c r="AP381" i="15"/>
  <c r="AP457" i="15"/>
  <c r="AO458" i="15" s="1"/>
  <c r="V42" i="16" s="1"/>
  <c r="AL381" i="15"/>
  <c r="AM381" i="15"/>
  <c r="AO381" i="15"/>
  <c r="AQ381" i="15"/>
  <c r="AR381" i="15"/>
  <c r="AJ160" i="15"/>
  <c r="AI160" i="15"/>
  <c r="AH432" i="15"/>
  <c r="D660" i="34" s="1"/>
  <c r="AN432" i="15"/>
  <c r="AQ432" i="15"/>
  <c r="AL160" i="15"/>
  <c r="M215" i="24"/>
  <c r="BK13" i="24" s="1"/>
  <c r="S63" i="16" s="1"/>
  <c r="AQ160" i="15"/>
  <c r="AN160" i="15"/>
  <c r="AO160" i="15"/>
  <c r="AK432" i="15"/>
  <c r="AM160" i="15"/>
  <c r="AP160" i="15"/>
  <c r="AK160" i="15"/>
  <c r="AR160" i="15"/>
  <c r="F34" i="16"/>
  <c r="G11" i="16"/>
  <c r="F11" i="16"/>
  <c r="E11" i="16"/>
  <c r="D11" i="16"/>
  <c r="E9" i="16"/>
  <c r="G228" i="34"/>
  <c r="G55" i="16"/>
  <c r="M42" i="24"/>
  <c r="BK4" i="24" s="1"/>
  <c r="S54" i="16" s="1"/>
  <c r="G77" i="16"/>
  <c r="R93" i="16"/>
  <c r="G57" i="16"/>
  <c r="AJ249" i="24"/>
  <c r="R81" i="16"/>
  <c r="M310" i="24"/>
  <c r="BK18" i="24" s="1"/>
  <c r="S68" i="16" s="1"/>
  <c r="M291" i="24"/>
  <c r="BK17" i="24" s="1"/>
  <c r="S67" i="16" s="1"/>
  <c r="M100" i="24"/>
  <c r="BK7" i="24" s="1"/>
  <c r="S57" i="16" s="1"/>
  <c r="M81" i="24"/>
  <c r="BK6" i="24" s="1"/>
  <c r="S56" i="16" s="1"/>
  <c r="R90" i="16"/>
  <c r="G73" i="16"/>
  <c r="M119" i="24"/>
  <c r="BK8" i="24" s="1"/>
  <c r="S58" i="16" s="1"/>
  <c r="N21" i="28"/>
  <c r="AL451" i="15"/>
  <c r="AI451" i="15"/>
  <c r="AN451" i="15"/>
  <c r="AQ451" i="15"/>
  <c r="AK451" i="15"/>
  <c r="AH451" i="15"/>
  <c r="AJ260" i="15"/>
  <c r="AO260" i="15"/>
  <c r="AR260" i="15"/>
  <c r="AN260" i="15"/>
  <c r="AJ432" i="15"/>
  <c r="D662" i="34" s="1"/>
  <c r="AM260" i="15"/>
  <c r="AQ260" i="15"/>
  <c r="AM432" i="15"/>
  <c r="AL260" i="15"/>
  <c r="AI260" i="15"/>
  <c r="AP260" i="15"/>
  <c r="AR432" i="15"/>
  <c r="AO432" i="15"/>
  <c r="AH260" i="15"/>
  <c r="AK260" i="15"/>
  <c r="AP432" i="15"/>
  <c r="E56" i="10"/>
  <c r="P20" i="28" l="1"/>
  <c r="P23" i="28" s="1"/>
  <c r="BC35" i="24"/>
  <c r="AO642" i="24"/>
  <c r="AO644" i="24"/>
  <c r="D425" i="34" s="1"/>
  <c r="AS642" i="24"/>
  <c r="AT642" i="24"/>
  <c r="AG21" i="24"/>
  <c r="BA35" i="24" s="1"/>
  <c r="AN47" i="24"/>
  <c r="AN644" i="24" s="1"/>
  <c r="D427" i="34" s="1"/>
  <c r="AN642" i="24"/>
  <c r="AQ47" i="24"/>
  <c r="AQ644" i="24" s="1"/>
  <c r="F427" i="34" s="1"/>
  <c r="AQ642" i="24"/>
  <c r="AS644" i="24"/>
  <c r="F425" i="34" s="1"/>
  <c r="AT644" i="24"/>
  <c r="G425" i="34" s="1"/>
  <c r="AR642" i="24"/>
  <c r="AR644" i="24"/>
  <c r="G427" i="34" s="1"/>
  <c r="AJ458" i="15"/>
  <c r="X26" i="16" s="1"/>
  <c r="AI458" i="15"/>
  <c r="W26" i="16" s="1"/>
  <c r="AH458" i="15"/>
  <c r="V26" i="16" s="1"/>
  <c r="AK458" i="15"/>
  <c r="V38" i="16" s="1"/>
  <c r="AQ458" i="15"/>
  <c r="V44" i="16" s="1"/>
  <c r="AM458" i="15"/>
  <c r="V40" i="16" s="1"/>
  <c r="AN458" i="15"/>
  <c r="V41" i="16" s="1"/>
  <c r="AR458" i="15"/>
  <c r="V45" i="16" s="1"/>
  <c r="AL458" i="15"/>
  <c r="V39" i="16" s="1"/>
  <c r="AP458" i="15"/>
  <c r="V43" i="16" s="1"/>
  <c r="AJ433" i="15"/>
  <c r="X21" i="16" s="1"/>
  <c r="AH24" i="24"/>
  <c r="O18" i="28" s="1"/>
  <c r="AH452" i="15"/>
  <c r="AN452" i="15"/>
  <c r="AO452" i="15"/>
  <c r="AI452" i="15"/>
  <c r="AR452" i="15"/>
  <c r="AK452" i="15"/>
  <c r="AP452" i="15"/>
  <c r="AL452" i="15"/>
  <c r="AQ452" i="15"/>
  <c r="AJ452" i="15"/>
  <c r="AM452" i="15"/>
  <c r="AR433" i="15"/>
  <c r="V14" i="16" s="1"/>
  <c r="AH433" i="15"/>
  <c r="V21" i="16" s="1"/>
  <c r="AN433" i="15"/>
  <c r="V10" i="16" s="1"/>
  <c r="AM433" i="15"/>
  <c r="V9" i="16" s="1"/>
  <c r="AK433" i="15"/>
  <c r="V7" i="16" s="1"/>
  <c r="AO433" i="15"/>
  <c r="V11" i="16" s="1"/>
  <c r="AQ433" i="15"/>
  <c r="V13" i="16" s="1"/>
  <c r="AP433" i="15"/>
  <c r="V12" i="16" s="1"/>
  <c r="AI433" i="15"/>
  <c r="W21" i="16" s="1"/>
  <c r="AL433" i="15"/>
  <c r="V8" i="16" s="1"/>
  <c r="D42" i="10"/>
  <c r="E42" i="10" s="1"/>
  <c r="U17" i="28" l="1"/>
  <c r="N17" i="28"/>
  <c r="N20" i="28" s="1"/>
  <c r="N23" i="28" s="1"/>
  <c r="O17" i="28"/>
  <c r="O20" i="28" s="1"/>
  <c r="F62" i="10"/>
  <c r="E62" i="10"/>
  <c r="S17" i="28" l="1"/>
  <c r="O23" i="28"/>
  <c r="T17" i="28"/>
  <c r="Q42" i="10"/>
  <c r="R42" i="10" l="1"/>
  <c r="E131" i="24" l="1"/>
  <c r="BF9" i="24"/>
  <c r="D131" i="24"/>
  <c r="E135" i="24" l="1"/>
  <c r="V86" i="16"/>
  <c r="E59" i="16"/>
  <c r="BK9" i="24" l="1"/>
  <c r="S59" i="16" s="1"/>
  <c r="BI9" i="24"/>
  <c r="M59" i="16" s="1"/>
  <c r="BG9" i="24"/>
  <c r="Y613" i="34" s="1"/>
  <c r="D612" i="34" s="1" a="1"/>
  <c r="D612" i="34" s="1"/>
  <c r="G59" i="16" l="1"/>
  <c r="R86" i="16"/>
  <c r="E395" i="15" l="1"/>
  <c r="Q394" i="15"/>
  <c r="D34" i="10" l="1"/>
  <c r="D36" i="10" s="1"/>
  <c r="E36" i="10" s="1"/>
  <c r="D12" i="20"/>
  <c r="P6" i="20" s="1"/>
  <c r="P40" i="14"/>
  <c r="Q98" i="15"/>
  <c r="Q40" i="14" s="1"/>
  <c r="T6" i="20" l="1"/>
  <c r="P24" i="20" s="1"/>
  <c r="R24" i="20" s="1"/>
  <c r="E562" i="34" s="1"/>
  <c r="E15" i="20"/>
  <c r="R6" i="20" s="1"/>
  <c r="E49" i="34"/>
  <c r="J33" i="10"/>
  <c r="J35" i="10" s="1"/>
  <c r="D562" i="34" l="1"/>
  <c r="K36" i="10"/>
  <c r="K35" i="10"/>
  <c r="E153" i="15"/>
  <c r="E152" i="15"/>
  <c r="S24" i="20" l="1"/>
  <c r="F562" i="34" s="1"/>
  <c r="H5" i="10" l="1"/>
  <c r="E5" i="10"/>
  <c r="I5" i="10"/>
  <c r="M5" i="10"/>
  <c r="F5" i="10"/>
  <c r="D5" i="10"/>
  <c r="G5" i="10"/>
  <c r="G7" i="10"/>
  <c r="F7" i="10"/>
  <c r="O7" i="10"/>
  <c r="I7" i="10"/>
  <c r="E7" i="10"/>
  <c r="D7" i="10"/>
  <c r="H7" i="10"/>
  <c r="J22" i="10"/>
  <c r="E22" i="10"/>
  <c r="K22" i="10"/>
  <c r="I22" i="10"/>
  <c r="L22" i="10"/>
  <c r="H22" i="10"/>
  <c r="F22" i="10"/>
  <c r="G22" i="10"/>
  <c r="D22" i="10"/>
  <c r="M22" i="10"/>
  <c r="M23" i="10"/>
  <c r="E23" i="10"/>
  <c r="K23" i="10"/>
  <c r="J23" i="10"/>
  <c r="L23" i="10"/>
  <c r="I23" i="10"/>
  <c r="H23" i="10"/>
  <c r="F23" i="10"/>
  <c r="D23" i="10"/>
  <c r="G23" i="10"/>
  <c r="I21" i="10"/>
  <c r="G21" i="10"/>
  <c r="M21" i="10"/>
  <c r="K21" i="10"/>
  <c r="E21" i="10"/>
  <c r="F21" i="10"/>
  <c r="L21" i="10"/>
  <c r="J21" i="10"/>
  <c r="D21" i="10"/>
  <c r="H21" i="10"/>
  <c r="J18" i="10"/>
  <c r="I18" i="10"/>
  <c r="G18" i="10"/>
  <c r="L18" i="10"/>
  <c r="H18" i="10"/>
  <c r="E18" i="10"/>
  <c r="K18" i="10"/>
  <c r="F18" i="10"/>
  <c r="D18" i="10"/>
  <c r="M18" i="10"/>
  <c r="G24" i="10"/>
  <c r="J24" i="10"/>
  <c r="I24" i="10"/>
  <c r="L24" i="10"/>
  <c r="H24" i="10"/>
  <c r="M24" i="10"/>
  <c r="F24" i="10"/>
  <c r="K24" i="10"/>
  <c r="D24" i="10"/>
  <c r="E24" i="10"/>
  <c r="G6" i="10"/>
  <c r="N6" i="10"/>
  <c r="I6" i="10"/>
  <c r="F6" i="10"/>
  <c r="H6" i="10"/>
  <c r="D6" i="10"/>
  <c r="E6" i="10"/>
  <c r="L16" i="10"/>
  <c r="K16" i="10"/>
  <c r="E16" i="10"/>
  <c r="G16" i="10"/>
  <c r="F16" i="10"/>
  <c r="M16" i="10"/>
  <c r="I16" i="10"/>
  <c r="H16" i="10"/>
  <c r="D16" i="10"/>
  <c r="J16" i="10"/>
  <c r="P8" i="10"/>
  <c r="E8" i="10"/>
  <c r="H8" i="10"/>
  <c r="F8" i="10"/>
  <c r="G8" i="10"/>
  <c r="D8" i="10"/>
  <c r="I8" i="10"/>
  <c r="G9" i="10"/>
  <c r="Q9" i="10"/>
  <c r="F9" i="10"/>
  <c r="I9" i="10"/>
  <c r="E9" i="10"/>
  <c r="D9" i="10"/>
  <c r="H9" i="10"/>
  <c r="H10" i="10"/>
  <c r="I10" i="10"/>
  <c r="R10" i="10"/>
  <c r="E10" i="10"/>
  <c r="G10" i="10"/>
  <c r="D10" i="10"/>
  <c r="F10" i="10"/>
  <c r="G20" i="10"/>
  <c r="F20" i="10"/>
  <c r="H20" i="10"/>
  <c r="M20" i="10"/>
  <c r="I20" i="10"/>
  <c r="J20" i="10"/>
  <c r="K20" i="10"/>
  <c r="E20" i="10"/>
  <c r="D20" i="10"/>
  <c r="L20" i="10"/>
  <c r="F17" i="10"/>
  <c r="H17" i="10"/>
  <c r="E17" i="10"/>
  <c r="G17" i="10"/>
  <c r="I17" i="10"/>
  <c r="M17" i="10"/>
  <c r="K17" i="10"/>
  <c r="L17" i="10"/>
  <c r="D17" i="10"/>
  <c r="J17" i="10"/>
  <c r="I19" i="10"/>
  <c r="J19" i="10"/>
  <c r="E19" i="10"/>
  <c r="F19" i="10"/>
  <c r="K19" i="10"/>
  <c r="H19" i="10"/>
  <c r="M19" i="10"/>
  <c r="G19" i="10"/>
  <c r="D19" i="10"/>
  <c r="L19" i="10"/>
  <c r="L25" i="10"/>
  <c r="M25" i="10"/>
  <c r="E25" i="10"/>
  <c r="J25" i="10"/>
  <c r="F25" i="10"/>
  <c r="I25" i="10"/>
  <c r="H25" i="10"/>
  <c r="K25" i="10"/>
  <c r="D25" i="10"/>
  <c r="G2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tc={697B1E9F-53A6-B74D-BF17-7004257BA094}</author>
    <author>tc={0B0A78D6-6DB4-654B-AB13-20DB3B9AB0A4}</author>
    <author>tc={BC44F449-A1DA-AE49-87A2-8BA2B5703B18}</author>
    <author>tc={6BAD718D-189A-0948-B331-8C28778DB747}</author>
    <author>tc={852E7277-ACA8-6C46-8E5D-96CD43594B07}</author>
    <author>tc={47BF9CD6-1770-A046-A2B1-89341CE1CA30}</author>
    <author>tc={B6A740A4-9ECC-6E49-A97C-C6E6A5E1DBAB}</author>
    <author>tc={902D2B26-E155-1947-8639-A738AC4A49DE}</author>
    <author>tc={68EA85FE-9DF0-5844-9BCE-7D656945FC26}</author>
    <author>tc={24E24ECA-2BC8-DC45-97C2-4EB75F0E581E}</author>
    <author>tc={B14264B7-A064-9146-BFB9-271E3A2E0D94}</author>
  </authors>
  <commentList>
    <comment ref="C17" authorId="0" shapeId="0" xr:uid="{697B1E9F-53A6-B74D-BF17-7004257BA094}">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3" authorId="1" shapeId="0" xr:uid="{0B0A78D6-6DB4-654B-AB13-20DB3B9AB0A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31" authorId="2" shapeId="0" xr:uid="{BC44F449-A1DA-AE49-87A2-8BA2B5703B18}">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87" authorId="3" shapeId="0" xr:uid="{6BAD718D-189A-0948-B331-8C28778DB74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97" authorId="4" shapeId="0" xr:uid="{852E7277-ACA8-6C46-8E5D-96CD43594B0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109" authorId="5" shapeId="0" xr:uid="{47BF9CD6-1770-A046-A2B1-89341CE1CA3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00" authorId="6" shapeId="0" xr:uid="{B6A740A4-9ECC-6E49-A97C-C6E6A5E1DB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10" authorId="7" shapeId="0" xr:uid="{902D2B26-E155-1947-8639-A738AC4A49D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22" authorId="8" shapeId="0" xr:uid="{68EA85FE-9DF0-5844-9BCE-7D656945FC2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51" authorId="9" shapeId="0" xr:uid="{24E24ECA-2BC8-DC45-97C2-4EB75F0E581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68" authorId="10" shapeId="0" xr:uid="{B14264B7-A064-9146-BFB9-271E3A2E0D9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tc={C40D78C1-98D9-7841-8904-71D25DEFAD0E}</author>
    <author>tc={1EE026BF-86EE-8949-A68A-0C65E0A74BF5}</author>
    <author>tc={949828DD-E770-0845-A7B7-3BF475ECB6F9}</author>
    <author>tc={8E9FB589-98A0-F44C-B4CD-CC555A2469FD}</author>
  </authors>
  <commentList>
    <comment ref="N83" authorId="0" shapeId="0" xr:uid="{C40D78C1-98D9-7841-8904-71D25DEFAD0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N138" authorId="1" shapeId="0" xr:uid="{1EE026BF-86EE-8949-A68A-0C65E0A74BF5}">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N160" authorId="2" shapeId="0" xr:uid="{949828DD-E770-0845-A7B7-3BF475ECB6F9}">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 ref="N174" authorId="3" shapeId="0" xr:uid="{8E9FB589-98A0-F44C-B4CD-CC555A2469F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tc={D4B32C04-D12F-0B4B-BD9B-C8236FA86327}</author>
    <author>tc={936771B5-C196-1F44-A858-B311094709E1}</author>
    <author>tc={D179F174-36D0-8F45-BEA1-5EB2F80D1F9C}</author>
    <author>tc={96D8F203-BA3B-0E4E-83C9-A7612D383F7E}</author>
  </authors>
  <commentList>
    <comment ref="AD300" authorId="0" shapeId="0" xr:uid="{D4B32C04-D12F-0B4B-BD9B-C8236FA8632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AD302" authorId="1" shapeId="0" xr:uid="{936771B5-C196-1F44-A858-B311094709E1}">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D314" authorId="2" shapeId="0" xr:uid="{D179F174-36D0-8F45-BEA1-5EB2F80D1F9C}">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t>
        </r>
      </text>
    </comment>
    <comment ref="D373" authorId="3" shapeId="0" xr:uid="{96D8F203-BA3B-0E4E-83C9-A7612D383F7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tc={2BB1C82D-152A-354E-B29B-A0939B719431}</author>
  </authors>
  <commentList>
    <comment ref="C158" authorId="0" shapeId="0" xr:uid="{2BB1C82D-152A-354E-B29B-A0939B719431}">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Il est normal que le total ne soit pas équivalent ici à ce que l’on retrouve dans le test Bible.
Le bon total à prendre est celui du test bible, mais pour répertorier les bons comportements, c’est ici qu’il faut les prendre.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tc={E7611D64-DAAA-5141-80D3-2AEB08ECD7E6}</author>
    <author>tc={98AB70AC-AEAE-674A-B0CF-63DCA6F1C9E6}</author>
    <author>tc={72C471DA-08C6-4D4B-B3A1-8DCD0404A786}</author>
    <author>tc={13FBC11C-7C34-F345-A8DF-D881A1F95A19}</author>
    <author>tc={81A20AE0-63BE-7F4B-BB9A-FE06AD7C3418}</author>
    <author>tc={D354F9B8-5015-C549-95D1-FA9B3CBFE8BB}</author>
    <author>tc={E5DFF164-7B12-F249-A782-FCCD5E365D1A}</author>
    <author>tc={B94E8436-E845-E546-B894-DB5EDD8BA0E0}</author>
    <author>tc={DE626292-8580-6E42-961B-64BDB766B0CD}</author>
    <author>tc={31C20CA6-116C-0340-961A-F9568B02D590}</author>
    <author>tc={7D138550-6BD1-4446-B3F8-AAB33EA1F0AB}</author>
    <author>tc={6FE3614A-5C8B-4042-8826-9314AC2D771E}</author>
    <author>tc={E54D9FBC-CC04-2E4E-A97E-73F5246AB750}</author>
  </authors>
  <commentList>
    <comment ref="O5" authorId="0" shapeId="0" xr:uid="{E7611D64-DAAA-5141-80D3-2AEB08ECD7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ex.: si le coparent a une piètre opinion de sa valeur parentale / ouvrir dialogue / médiation 
ne pas nourrir l’impasse du préjugé  
Réponse :
     Dans une situation de 1 an et moins ; 
Pas de relation de coparentalité (éducative)
</t>
        </r>
      </text>
    </comment>
    <comment ref="O8" authorId="1" shapeId="0" xr:uid="{98AB70AC-AEAE-674A-B0CF-63DCA6F1C9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PÉRIODE DE TURBULENCE À PRÉVOIR DES DEUX PREMIÈRES ANNÉES
</t>
        </r>
      </text>
    </comment>
    <comment ref="O17" authorId="2" shapeId="0" xr:uid="{72C471DA-08C6-4D4B-B3A1-8DCD0404A78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ÈDUCATION REJET PASSIF ET REJET ACTIF
+notion théorique associé au rejet actif ou passif</t>
        </r>
      </text>
    </comment>
    <comment ref="O27" authorId="3" shapeId="0" xr:uid="{13FBC11C-7C34-F345-A8DF-D881A1F95A19}">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Principe de coparentalité (droits parentaux)</t>
        </r>
      </text>
    </comment>
    <comment ref="O29" authorId="4" shapeId="0" xr:uid="{81A20AE0-63BE-7F4B-BB9A-FE06AD7C3418}">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Tappette sur les doigts
</t>
        </r>
      </text>
    </comment>
    <comment ref="G33" authorId="5" shapeId="0" xr:uid="{D354F9B8-5015-C549-95D1-FA9B3CBFE8B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O33" authorId="6" shapeId="0" xr:uid="{E5DFF164-7B12-F249-A782-FCCD5E365D1A}">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Notion du volontaire et involontaire</t>
        </r>
      </text>
    </comment>
    <comment ref="O37" authorId="7" shapeId="0" xr:uid="{B94E8436-E845-E546-B894-DB5EDD8BA0E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DROITS ET PRINCIPE DE COPARENTALITÉ
Dans le rapport, les comportements cochés, viennent alimentés les résultats. À l’mage des catégories ou autres schématisations
</t>
        </r>
      </text>
    </comment>
    <comment ref="O38" authorId="8" shapeId="0" xr:uid="{DE626292-8580-6E42-961B-64BDB766B0C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Important de commenter dans le r/r final si le répondant indique qu’il est déchu de l’autorité parentale … et expliquer ce que que c’est car ça change tout. Et inversement, selon le désir d’exclusion parentale, surveiller les cpts typiques 
 </t>
        </r>
      </text>
    </comment>
    <comment ref="G41" authorId="9" shapeId="0" xr:uid="{31C20CA6-116C-0340-961A-F9568B02D59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O47" authorId="10" shapeId="0" xr:uid="{7D138550-6BD1-4446-B3F8-AAB33EA1F0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ADR
</t>
        </r>
      </text>
    </comment>
    <comment ref="O51" authorId="11" shapeId="0" xr:uid="{6FE3614A-5C8B-4042-8826-9314AC2D771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 ref="O56" authorId="12" shapeId="0" xr:uid="{E54D9FBC-CC04-2E4E-A97E-73F5246AB75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tc={A66E4250-D4C2-824C-A68B-04AE1461DE07}</author>
  </authors>
  <commentList>
    <comment ref="S243" authorId="0" shapeId="0" xr:uid="{A66E4250-D4C2-824C-A68B-04AE1461DE0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Aucun CSS car la demande du parent altère le r/r enfant parent et désacralise le lien parent-enfant et pour ne pas annuler le calcul ou rendre nul le calcul ap vs css,, même si le parent répondant devait être déclenché, il est plus important de relevé la dynamique d’AP en jeu</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<sst xmlns="http://schemas.openxmlformats.org/spreadsheetml/2006/main" count="7548" uniqueCount="2186">
  <si>
    <t>Legende :</t>
  </si>
  <si>
    <t>Échelle de fréquence</t>
  </si>
  <si>
    <t>Compt. A</t>
  </si>
  <si>
    <t>E1A</t>
  </si>
  <si>
    <t>E2A</t>
  </si>
  <si>
    <t xml:space="preserve">Excellente / Très bonne / Bonne / Moyenne / Faible / Mauvaise / S.O.   </t>
  </si>
  <si>
    <t>E3A</t>
  </si>
  <si>
    <t>E4A</t>
  </si>
  <si>
    <t>E5</t>
  </si>
  <si>
    <t>E6</t>
  </si>
  <si>
    <t>Compt. B</t>
  </si>
  <si>
    <t xml:space="preserve">E1B </t>
  </si>
  <si>
    <t>Toujours / Souvent / Régullièrement / Parfois / Rarement / Jamais / S.O.</t>
  </si>
  <si>
    <t>E2B</t>
  </si>
  <si>
    <t xml:space="preserve">Mauvaise / Faible / Moyenne / Bonne / Très bonne / Excellente / S.O </t>
  </si>
  <si>
    <t>E3B</t>
  </si>
  <si>
    <t>E4B</t>
  </si>
  <si>
    <t>Questionnaires</t>
  </si>
  <si>
    <t>Catégories</t>
  </si>
  <si>
    <t>Choix de réponses</t>
  </si>
  <si>
    <t>sq1: 1er niveau
sq2: 2e niveau</t>
  </si>
  <si>
    <t>Condition &gt;=</t>
  </si>
  <si>
    <t>Intensité</t>
  </si>
  <si>
    <t>Échelle CEV</t>
  </si>
  <si>
    <t>🔶</t>
  </si>
  <si>
    <t>🔴</t>
  </si>
  <si>
    <t>Modéré</t>
  </si>
  <si>
    <t>Sévère</t>
  </si>
  <si>
    <t>Questions qui s'allume selon la réponse d'une autre Q</t>
  </si>
  <si>
    <t>C</t>
  </si>
  <si>
    <t>E</t>
  </si>
  <si>
    <t>V</t>
  </si>
  <si>
    <t>Questionnaire 
BASE</t>
  </si>
  <si>
    <t>B01</t>
  </si>
  <si>
    <t>n/a</t>
  </si>
  <si>
    <t>N / A</t>
  </si>
  <si>
    <t>B02</t>
  </si>
  <si>
    <t>B03</t>
  </si>
  <si>
    <t>B04</t>
  </si>
  <si>
    <t>B05</t>
  </si>
  <si>
    <t>B07</t>
  </si>
  <si>
    <t>B08</t>
  </si>
  <si>
    <t>B11</t>
  </si>
  <si>
    <t>E1B</t>
  </si>
  <si>
    <t>E: Interférence temps et/ou communication</t>
  </si>
  <si>
    <t>B11a</t>
  </si>
  <si>
    <t>O/N</t>
  </si>
  <si>
    <t>B11a1</t>
  </si>
  <si>
    <t>sq2</t>
  </si>
  <si>
    <t>B11b</t>
  </si>
  <si>
    <t>sq1</t>
  </si>
  <si>
    <t>choix multiple</t>
  </si>
  <si>
    <t>Questionnaire HISTORIQUE</t>
  </si>
  <si>
    <t>H01</t>
  </si>
  <si>
    <t xml:space="preserve">1 à 10 </t>
  </si>
  <si>
    <t>A:Alliance</t>
  </si>
  <si>
    <t>H02</t>
  </si>
  <si>
    <t>H03</t>
  </si>
  <si>
    <t>H04</t>
  </si>
  <si>
    <t>H04a</t>
  </si>
  <si>
    <t>H05</t>
  </si>
  <si>
    <t>Durant la vie commune, arrivait-il que l'autre parent vous critique ou vous dénigre devant votre enfant ?</t>
  </si>
  <si>
    <t>D: Dénigrement</t>
  </si>
  <si>
    <t>H05a</t>
  </si>
  <si>
    <t>H06</t>
  </si>
  <si>
    <t>F: Interférence lien affectif ou symbolique</t>
  </si>
  <si>
    <t>choix multiples</t>
  </si>
  <si>
    <t>PCR 
Questionnaire A</t>
  </si>
  <si>
    <t> </t>
  </si>
  <si>
    <t>C: Chantage affectif, loyauté, manipulation</t>
  </si>
  <si>
    <t>PCR02</t>
  </si>
  <si>
    <t>PCR04</t>
  </si>
  <si>
    <t>PCR06</t>
  </si>
  <si>
    <t>&gt;=2</t>
  </si>
  <si>
    <t>PCR06a</t>
  </si>
  <si>
    <t>PCR07</t>
  </si>
  <si>
    <t>PCR08</t>
  </si>
  <si>
    <t>PCR09</t>
  </si>
  <si>
    <t>PCR10</t>
  </si>
  <si>
    <t>PCR11</t>
  </si>
  <si>
    <t>PCR12</t>
  </si>
  <si>
    <t>PCR12a</t>
  </si>
  <si>
    <t xml:space="preserve">(cochez la ou les réponses pertinentes à votre situation) 
Choix d'école (primaire et/ou secondaire)  
Programmes sportifs 
Soins médicaux ou dentaires 
Déménagement dans une autre ville en raison du travail 
Autres  </t>
  </si>
  <si>
    <t>PCR13</t>
  </si>
  <si>
    <t>G: Parentification</t>
  </si>
  <si>
    <t>PCR14</t>
  </si>
  <si>
    <t>PCR15a</t>
  </si>
  <si>
    <t>PCR16</t>
  </si>
  <si>
    <t>&gt;=3</t>
  </si>
  <si>
    <t>PCR16a</t>
  </si>
  <si>
    <t>Questionnaire 
PARENT FAVORISÉ (PFA)</t>
  </si>
  <si>
    <t>PFA01</t>
  </si>
  <si>
    <t>PFA02</t>
  </si>
  <si>
    <t>PFA02a</t>
  </si>
  <si>
    <t>échelle à deux pôles</t>
  </si>
  <si>
    <t>PFA03</t>
  </si>
  <si>
    <t>PFA04</t>
  </si>
  <si>
    <t>B:Altération/dévoiement de la réalité</t>
  </si>
  <si>
    <t>PFA05</t>
  </si>
  <si>
    <t>PFA05a</t>
  </si>
  <si>
    <t>PFA06</t>
  </si>
  <si>
    <t>PFA06a</t>
  </si>
  <si>
    <t>PFA07</t>
  </si>
  <si>
    <t>PFA09</t>
  </si>
  <si>
    <t>PFA09a</t>
  </si>
  <si>
    <t>C: Chantage affectif et manipulation</t>
  </si>
  <si>
    <t>PFA10</t>
  </si>
  <si>
    <t>PFA11</t>
  </si>
  <si>
    <t>PFA12</t>
  </si>
  <si>
    <t>PFA13</t>
  </si>
  <si>
    <t>PFA13a</t>
  </si>
  <si>
    <t>PFA13b</t>
  </si>
  <si>
    <t>PFA13c</t>
  </si>
  <si>
    <t>PFA14</t>
  </si>
  <si>
    <t>PFA15</t>
  </si>
  <si>
    <t>PFA15a</t>
  </si>
  <si>
    <t>PFA16</t>
  </si>
  <si>
    <t>PFA16a</t>
  </si>
  <si>
    <t>PFA16b</t>
  </si>
  <si>
    <t>PFA16b1</t>
  </si>
  <si>
    <t>PFA17</t>
  </si>
  <si>
    <t>PFA18</t>
  </si>
  <si>
    <t>E5A</t>
  </si>
  <si>
    <t>PFA19</t>
  </si>
  <si>
    <t>PFA19a</t>
  </si>
  <si>
    <t>PFA20</t>
  </si>
  <si>
    <t>PFA20a</t>
  </si>
  <si>
    <t>PFA21</t>
  </si>
  <si>
    <t>PFA22</t>
  </si>
  <si>
    <t>PFA23</t>
  </si>
  <si>
    <t>PFA24</t>
  </si>
  <si>
    <t>PFA25</t>
  </si>
  <si>
    <t>PFA25a</t>
  </si>
  <si>
    <t>choix de réponses</t>
  </si>
  <si>
    <t>PFA26</t>
  </si>
  <si>
    <t>PFA27</t>
  </si>
  <si>
    <t>PFA28</t>
  </si>
  <si>
    <t>PFA28a</t>
  </si>
  <si>
    <t>PFA29</t>
  </si>
  <si>
    <t>PFA29a</t>
  </si>
  <si>
    <t>Quelles décisions ont été prises sans votre consentement ou connaissance de votre part ?</t>
  </si>
  <si>
    <t>PFA30</t>
  </si>
  <si>
    <t>PFA30a</t>
  </si>
  <si>
    <t>PFA30a1</t>
  </si>
  <si>
    <t>PFA31</t>
  </si>
  <si>
    <t>PFA31a</t>
  </si>
  <si>
    <t>PFA31a1</t>
  </si>
  <si>
    <t>PFA32</t>
  </si>
  <si>
    <t>PFA33</t>
  </si>
  <si>
    <t>H: Rôle actif, Réponse au CC, r</t>
  </si>
  <si>
    <t>PFA34</t>
  </si>
  <si>
    <t>PFA35</t>
  </si>
  <si>
    <t>PFA36</t>
  </si>
  <si>
    <t>PFA38</t>
  </si>
  <si>
    <t>tbd</t>
  </si>
  <si>
    <t>Questionnaire
ENFANT</t>
  </si>
  <si>
    <t>E01</t>
  </si>
  <si>
    <t>E02</t>
  </si>
  <si>
    <t>E03a</t>
  </si>
  <si>
    <t>E04</t>
  </si>
  <si>
    <t>E04a</t>
  </si>
  <si>
    <t>E05</t>
  </si>
  <si>
    <t>E05a</t>
  </si>
  <si>
    <t>E06</t>
  </si>
  <si>
    <t>E06a</t>
  </si>
  <si>
    <t>Choix multiples</t>
  </si>
  <si>
    <t>E07</t>
  </si>
  <si>
    <t>E10</t>
  </si>
  <si>
    <t>E11</t>
  </si>
  <si>
    <t>E12</t>
  </si>
  <si>
    <t>E13</t>
  </si>
  <si>
    <t>E14</t>
  </si>
  <si>
    <t>E15</t>
  </si>
  <si>
    <t>E16</t>
  </si>
  <si>
    <t>E16a</t>
  </si>
  <si>
    <t>E17</t>
  </si>
  <si>
    <t>E18</t>
  </si>
  <si>
    <t>E20</t>
  </si>
  <si>
    <t>E21</t>
  </si>
  <si>
    <t>E21a</t>
  </si>
  <si>
    <t>E22</t>
  </si>
  <si>
    <t>E23</t>
  </si>
  <si>
    <t>E24</t>
  </si>
  <si>
    <t>E25</t>
  </si>
  <si>
    <t>E26</t>
  </si>
  <si>
    <t>E27</t>
  </si>
  <si>
    <t>E28</t>
  </si>
  <si>
    <t>calme (0)/ neutre(0) / enjoué.e(0) / taciturne(1) / anxieux(1) / agressif (1). - ON/OFF</t>
  </si>
  <si>
    <t>choix
multiples</t>
  </si>
  <si>
    <t>E29</t>
  </si>
  <si>
    <t>E30</t>
  </si>
  <si>
    <t>E31</t>
  </si>
  <si>
    <t>E32</t>
  </si>
  <si>
    <t>E33</t>
  </si>
  <si>
    <t>E34</t>
  </si>
  <si>
    <t>E35</t>
  </si>
  <si>
    <t>E36</t>
  </si>
  <si>
    <t>Différentiel</t>
  </si>
  <si>
    <t>si oui</t>
  </si>
  <si>
    <t>PCR17</t>
  </si>
  <si>
    <t>PCR18</t>
  </si>
  <si>
    <t>NC01</t>
  </si>
  <si>
    <t>NC01a</t>
  </si>
  <si>
    <t>NC02</t>
  </si>
  <si>
    <t>NC03</t>
  </si>
  <si>
    <t>NC04</t>
  </si>
  <si>
    <t>NC07</t>
  </si>
  <si>
    <t>NC09</t>
  </si>
  <si>
    <t>NC10</t>
  </si>
  <si>
    <t>NC11</t>
  </si>
  <si>
    <t>NC13</t>
  </si>
  <si>
    <t>NC14</t>
  </si>
  <si>
    <t>NC15</t>
  </si>
  <si>
    <t>NC16</t>
  </si>
  <si>
    <t>Différentiel entre la relation de l'enfant avec le parent ciblé avant et après l'élément déclencheur</t>
  </si>
  <si>
    <t>Différentiel entre la relation de l'enfant avec le PFA avant et après l'élément déclencheur</t>
  </si>
  <si>
    <t>BASE</t>
  </si>
  <si>
    <t xml:space="preserve">moins de 24 ans </t>
  </si>
  <si>
    <t xml:space="preserve">25 à 29 ans </t>
  </si>
  <si>
    <t xml:space="preserve">30 à 39 ans </t>
  </si>
  <si>
    <t xml:space="preserve">40 à 49 ans </t>
  </si>
  <si>
    <t xml:space="preserve">50 à 59 ans </t>
  </si>
  <si>
    <t xml:space="preserve">plus de 60 ans </t>
  </si>
  <si>
    <t>moins de 1 an</t>
  </si>
  <si>
    <t xml:space="preserve">plus de 20 ans  </t>
  </si>
  <si>
    <t>1 à 2 ans</t>
  </si>
  <si>
    <t>2 à 5 ans</t>
  </si>
  <si>
    <t xml:space="preserve">5 à 10 ans </t>
  </si>
  <si>
    <t xml:space="preserve">plus de 10 ans  </t>
  </si>
  <si>
    <t xml:space="preserve">Célibataire </t>
  </si>
  <si>
    <t>Échelle</t>
  </si>
  <si>
    <t>Fréquence</t>
  </si>
  <si>
    <t>Fréquence seul.</t>
  </si>
  <si>
    <t>Fréquence * Intensité
(valeur de base)</t>
  </si>
  <si>
    <t>Condition SQ (&gt;=)</t>
  </si>
  <si>
    <t>Oui</t>
  </si>
  <si>
    <t>Non</t>
  </si>
  <si>
    <t>Entre 2 ans et 5 ans</t>
  </si>
  <si>
    <t>Entre 5 ans et 10 ans</t>
  </si>
  <si>
    <t>Plus de 10 ans</t>
  </si>
  <si>
    <t>Échelle d'évaluation</t>
  </si>
  <si>
    <t>HISTORIQUE</t>
  </si>
  <si>
    <t>Condition SQ</t>
  </si>
  <si>
    <t>PCR</t>
  </si>
  <si>
    <t>Intensité :</t>
  </si>
  <si>
    <t>Intentionnelle</t>
  </si>
  <si>
    <t>Inconsciente</t>
  </si>
  <si>
    <t>NC</t>
  </si>
  <si>
    <t>Non, Je ne le suis pas</t>
  </si>
  <si>
    <t>Oui, Médiation</t>
  </si>
  <si>
    <t>Oui, Tribunal droit de la famille  (ex.: Cour supérieure au Québec)</t>
  </si>
  <si>
    <t>Oui, Tribunal de la jeunesse (ex.: DPJ au Québec)</t>
  </si>
  <si>
    <t>Autre</t>
  </si>
  <si>
    <t xml:space="preserve">Garde partagée (ou garde dite alternée) </t>
  </si>
  <si>
    <t>Garde exclusive pour vous</t>
  </si>
  <si>
    <t xml:space="preserve">Garde exclusive pour l'autre parent </t>
  </si>
  <si>
    <t>Aucune garde établie</t>
  </si>
  <si>
    <t>Accès supervisés pour vous</t>
  </si>
  <si>
    <t xml:space="preserve">Accès supervisés pour l'autre parent </t>
  </si>
  <si>
    <t>Zone Différentiel</t>
  </si>
  <si>
    <t>COMBINAISONS</t>
  </si>
  <si>
    <t>DIFFÉRENTIEL (TOTAL)</t>
  </si>
  <si>
    <t>Commentaires qualitatifs</t>
  </si>
  <si>
    <t>Qualifier le changement d'écart</t>
  </si>
  <si>
    <t>Mise en garde/questionnement selon les seuils d'écart</t>
  </si>
  <si>
    <t>Échelle Enfant-PCR</t>
  </si>
  <si>
    <t>Échelle PFA_PCR</t>
  </si>
  <si>
    <t>Échelle Enfant-PFA</t>
  </si>
  <si>
    <t>Échelle du multiplicateur d'intensité selon le différentiel</t>
  </si>
  <si>
    <t>Max dégradation</t>
  </si>
  <si>
    <t>Rupture ????</t>
  </si>
  <si>
    <t>Exclusion du PCR par le PFA</t>
  </si>
  <si>
    <t>Neutre</t>
  </si>
  <si>
    <t>Aucun changement</t>
  </si>
  <si>
    <t>Max amélioration</t>
  </si>
  <si>
    <t>Amélioration légère de la relation</t>
  </si>
  <si>
    <t>Amélioration modérée de la relation</t>
  </si>
  <si>
    <t>Amélioration importante de la relation</t>
  </si>
  <si>
    <t>Idéalement, chaque comparaison à sa propre échelle qualitative pour faire des commentaires dans le rapport final.</t>
  </si>
  <si>
    <t>Il y a de fortes chances que ces zones ne soient jamais rencontrées</t>
  </si>
  <si>
    <t>Fréquence comport. base</t>
  </si>
  <si>
    <t>Multiplicateur d'intensité</t>
  </si>
  <si>
    <t>Avant :</t>
  </si>
  <si>
    <t>Après :</t>
  </si>
  <si>
    <t>DIFF.  (- dégradation / + amélioration )</t>
  </si>
  <si>
    <t>Selon vos résultats du questionnaire :</t>
  </si>
  <si>
    <t>Changement dans la relation des membres de la famille</t>
  </si>
  <si>
    <t>entre avant et après la séparation</t>
  </si>
  <si>
    <t>Avant</t>
  </si>
  <si>
    <t>Perception PFA - PCR</t>
  </si>
  <si>
    <t>Après</t>
  </si>
  <si>
    <t>Dénigrement était présent à une fréquence "valeur de 3=?"</t>
  </si>
  <si>
    <t>Poursuite du dénigrement et perte de valeur du rôle parental.</t>
  </si>
  <si>
    <t>PFA</t>
  </si>
  <si>
    <t>Famille élargie du PCR</t>
  </si>
  <si>
    <t>La relation de l'enfant avec le parent favorisé est demeurée presque au même seuil qu'avant la séparation, où celle avec le parent ciblé a connu une dégradation importante.</t>
  </si>
  <si>
    <t>L'attitude du parent favorisé n'a pas changé significativement entre avant et après la séparation. Le rôle du PCR est peu reconnu et le dénigrement se poursuit.</t>
  </si>
  <si>
    <t>Zone COMBO SIMPLE</t>
  </si>
  <si>
    <t>Selon l'analyse de votre questionnaire,</t>
  </si>
  <si>
    <t>Devant les comportements aliénants du PF, l'enfant répond :</t>
  </si>
  <si>
    <t>L'enfant présente les comportements suivants sans signe de la participation du PFA :</t>
  </si>
  <si>
    <t>L'enfant ne semble pas répondre aux comportements suivant du PFA :</t>
  </si>
  <si>
    <t>🟥</t>
  </si>
  <si>
    <t>🔸</t>
  </si>
  <si>
    <t>🟢</t>
  </si>
  <si>
    <t>Mots-clés</t>
  </si>
  <si>
    <t>Condition Fréq. 
&gt;= que</t>
  </si>
  <si>
    <t>Condition Fré
&lt;= que</t>
  </si>
  <si>
    <t>Condition respectée</t>
  </si>
  <si>
    <t>Enf</t>
  </si>
  <si>
    <t>COMPARATIF Comportement PFA-Enf</t>
  </si>
  <si>
    <t>laisse entendre que vous ne l'aimez pas</t>
  </si>
  <si>
    <t>vous reproche d'avoir abandonné la famille</t>
  </si>
  <si>
    <t>Section pour la compréhension de la logique utilisée</t>
  </si>
  <si>
    <t>Exemple de la logique du 1er combo simple (Garder des secrets PFA 1 compt; Enfant 2 compts))</t>
  </si>
  <si>
    <t>Modèle A de calcul
(1 PFA-2 ENF)</t>
  </si>
  <si>
    <t>ACTION</t>
  </si>
  <si>
    <t>RÉACTION</t>
  </si>
  <si>
    <t>Résultat</t>
  </si>
  <si>
    <t>1) Si le parent fait l'action (secret) selon les conditions (VRAI)</t>
  </si>
  <si>
    <t>L'enfant réagit -compt A (VRAI)</t>
  </si>
  <si>
    <t>Accél.</t>
  </si>
  <si>
    <t>On prend l'accél. maximum et non pas l'addition des deux</t>
  </si>
  <si>
    <t>L'enfant réagit -compt B (VRAI)</t>
  </si>
  <si>
    <t>Accél. ++</t>
  </si>
  <si>
    <t>compt plus sévère</t>
  </si>
  <si>
    <t>L'enfant ne réagit pas -compt A (FAUX)</t>
  </si>
  <si>
    <t>condition non-respectée (0%)</t>
  </si>
  <si>
    <t>Malgré l'ordre reçu, l'enfant n'agit pas. Donc, aucun accel.</t>
  </si>
  <si>
    <t>Même si l'enfant a reçu l'ordre, il ne garde pas de secrets.</t>
  </si>
  <si>
    <t>Il y a accélération de la réaction A, même sans B.</t>
  </si>
  <si>
    <t>L'enfant ne réagit pas -compt B (FAUX)</t>
  </si>
  <si>
    <t>Conditions non-respectées par l'enfant. Aucun accel.</t>
  </si>
  <si>
    <t>2) Si le parent n'agit pas selon les conditions (FAUX)</t>
  </si>
  <si>
    <t>Calcul</t>
  </si>
  <si>
    <t>Si le parent ne semble pas demande à l'enfant de garder des secrets, mais l'enfant le fait ! C'est autre chose qui l'incite. Je dirais que cela ne doit pas paraître dans ce combo. Il sera pris en considération ailleurs dans les autres analysés. Penser mettre un Warning incitant à mieux comorendre la réaction  l'enfant.</t>
  </si>
  <si>
    <t>L'enfant agit de son propre chef.</t>
  </si>
  <si>
    <t>Même si l'enfant réagit, c'est autre chose qui cause son action et pas le compt du parent = 0%</t>
  </si>
  <si>
    <t>Peu réaliste si le parent n'agit pas.</t>
  </si>
  <si>
    <t>Condition peu réaliste - inconsistence des résultats</t>
  </si>
  <si>
    <t>Aucune condition respectée</t>
  </si>
  <si>
    <t>L'enfant ignore -compt A (FAUX)</t>
  </si>
  <si>
    <t>Accel. B</t>
  </si>
  <si>
    <t>TOTAL</t>
  </si>
  <si>
    <t>Enfant</t>
  </si>
  <si>
    <t>Alliance</t>
  </si>
  <si>
    <t>Dénigrement</t>
  </si>
  <si>
    <t>Parentification</t>
  </si>
  <si>
    <t>Comportements de l'enfant</t>
  </si>
  <si>
    <t>E02a</t>
  </si>
  <si>
    <t>E03</t>
  </si>
  <si>
    <t>E15a</t>
  </si>
  <si>
    <t>E27a</t>
  </si>
  <si>
    <t>E33a</t>
  </si>
  <si>
    <t>E33b</t>
  </si>
  <si>
    <t>E36a</t>
  </si>
  <si>
    <t>Différentiel entre la relation de l'enfant avec la famille du parent ciblé avant et après l'élément déclencheur</t>
  </si>
  <si>
    <t>Différentiel entre le PCR et l'enfant</t>
  </si>
  <si>
    <t>Différentiel entre le PFA et l'enfant</t>
  </si>
  <si>
    <t>Rupture contact !</t>
  </si>
  <si>
    <t>Rupture de lien !</t>
  </si>
  <si>
    <t>Différentiel dans l'idéalisation du PFA par l'enfant avant et après l'élément déclencheur</t>
  </si>
  <si>
    <t>Différentiel dans la relation de nature fusionnelle du PFA par l'enfant avant et après l'élément déclencheur</t>
  </si>
  <si>
    <t>Différentiel du rôle parental du PCR vu par le PFA avant et après</t>
  </si>
  <si>
    <t>Différentiel sur le dénigrement du PFA envers le PCR avant et après la séparation</t>
  </si>
  <si>
    <t>Changement dans la relation 
de l'enfant avec le parent ciblé  (avant-après)</t>
  </si>
  <si>
    <t>Changement dans la relation 
de l'enfant avec le parent favorisé  (avant-après)</t>
  </si>
  <si>
    <t>Changement dans la dynamique
du parent favorisé à l'égard du PCR (avant-après)</t>
  </si>
  <si>
    <t>Abandon de la famille</t>
  </si>
  <si>
    <t>Résultat Questionnaire</t>
  </si>
  <si>
    <t>Fréquence * Intensité</t>
  </si>
  <si>
    <t>Sévérité</t>
  </si>
  <si>
    <t>Nature</t>
  </si>
  <si>
    <t>C: Comportemental</t>
  </si>
  <si>
    <t>E: Emotif</t>
  </si>
  <si>
    <t>V: Verbal</t>
  </si>
  <si>
    <t>Valeur :</t>
  </si>
  <si>
    <t>Bilan de la situation selon diverses échelles</t>
  </si>
  <si>
    <t>Comptabilisation par catégorie</t>
  </si>
  <si>
    <t>Évaluation de comportements de violence conjugale du PFA</t>
  </si>
  <si>
    <t>Comportements du parent PFA et collaboration du nouveau(lle) conjoint.e</t>
  </si>
  <si>
    <t>Collaboration du nouveau conjoint</t>
  </si>
  <si>
    <t>Nature des comportements</t>
  </si>
  <si>
    <t>Altération/dévoiement de la réalité</t>
  </si>
  <si>
    <t>Chantage affectif, loyauté, manipulation</t>
  </si>
  <si>
    <t>Interférence temps et/ou communication</t>
  </si>
  <si>
    <t>Interférence lien affectif ou symbolique</t>
  </si>
  <si>
    <t>Rôle actif, Réponse au CC</t>
  </si>
  <si>
    <t>Vrai (PF&amp;NC) /  Faux (Enf)</t>
  </si>
  <si>
    <t>Faux (PF&amp;NC) /  Vrai (Enf)</t>
  </si>
  <si>
    <t>Faux (PF&amp;NC) /  Faux(Enf)</t>
  </si>
  <si>
    <t>Demande de garder des secrets</t>
  </si>
  <si>
    <t>Accusation de maladie mentale et dangerosité</t>
  </si>
  <si>
    <t>laisse entendre que vous êtes instable psychologiquement</t>
  </si>
  <si>
    <t>laisse entendre que l'enfant n'est pas en sécurité</t>
  </si>
  <si>
    <t>croit que vous êtes instable psychologiquement</t>
  </si>
  <si>
    <t>Modifications des faits et souvenirs</t>
  </si>
  <si>
    <t>déforme les souvenirs</t>
  </si>
  <si>
    <t>Valeur =&gt;</t>
  </si>
  <si>
    <t>force l'enfant à choisir</t>
  </si>
  <si>
    <t>organise des activités hors de son temps de garde</t>
  </si>
  <si>
    <t>contrôle et écourte les conversations téléphoniques</t>
  </si>
  <si>
    <t>Fait lire les communications à l'enfant</t>
  </si>
  <si>
    <t>change d'attitude lorsqu'il est en présence des deux parents</t>
  </si>
  <si>
    <t>SUJET</t>
  </si>
  <si>
    <t>Zone Gradiant de l'échelle</t>
  </si>
  <si>
    <t>Échelle totale</t>
  </si>
  <si>
    <t>Faible</t>
  </si>
  <si>
    <t>Faible à modéré</t>
  </si>
  <si>
    <t>Modéré à sévère</t>
  </si>
  <si>
    <t>Aucune (0) à Excellente (10)</t>
  </si>
  <si>
    <t>SO</t>
  </si>
  <si>
    <t>Drapeau rouge 🔴</t>
  </si>
  <si>
    <t>"VRAI" (PF&amp;NC) /  "VRAI" (Enf)</t>
  </si>
  <si>
    <t>L'enfant répond aux comportements aliénants suivants du parent favorisé</t>
  </si>
  <si>
    <t>demande de garder des secrets | cacher des choses</t>
  </si>
  <si>
    <t>garde des secrets et cache l'information</t>
  </si>
  <si>
    <t>ne doit pas raconter ce qui se passe</t>
  </si>
  <si>
    <t>Peu de changement</t>
  </si>
  <si>
    <t>Amélioration légère</t>
  </si>
  <si>
    <t>Amélioration modérée</t>
  </si>
  <si>
    <t>Amélioration significative</t>
  </si>
  <si>
    <t>Dégradation modérée</t>
  </si>
  <si>
    <t>Légère dégradation</t>
  </si>
  <si>
    <t>Dégradation significative</t>
  </si>
  <si>
    <t>Dégradation très importante</t>
  </si>
  <si>
    <t>Amélioration très importante</t>
  </si>
  <si>
    <t>Amélioration modérée à significative</t>
  </si>
  <si>
    <t>Dégradation légère à modérée</t>
  </si>
  <si>
    <t>Dégradation modérée à significative</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</si>
  <si>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</si>
  <si>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 Non, je ne le suis pas
- Oui -- Médiation 
- Oui -- Tribunal droit de la famille  (ex.: Cour supérieure au Québec)
- Oui -- Tribunal de la jeunesse (ex.: DPJ au Québec) 
- Autre </t>
  </si>
  <si>
    <t xml:space="preserve">Quelles sont les modalités de garde des enfants aujourd'hui ?
</t>
  </si>
  <si>
    <t xml:space="preserve">- Garde partagée (ou garde dite alternée) 
- Garde exclusive pour vous 
- Garde exclusive pour l'autre parent 
- Aucune garde établie 
- Accès supervisés pour vous
- Accès supervisés pour l'autre parent 
- Autre </t>
  </si>
  <si>
    <t xml:space="preserve">Si vous avez répondu garde partagée (ou garde dite alternée), dans quelle proportion avez-vous la garde ? 
</t>
  </si>
  <si>
    <t xml:space="preserve">- 50% / 50% 
- Plus de 50% pour vous 
- Moins de 40% pour vous  
- Autre (veuillez préciser) </t>
  </si>
  <si>
    <t xml:space="preserve">Célibataire 
En couple 
Famille recomposée </t>
  </si>
  <si>
    <t xml:space="preserve">moins de 24 ans 
25 à 29 ans 
30 à 39 ans 
40 à 49 ans 
50 à 59 ans 
plus de 60 ans </t>
  </si>
  <si>
    <t xml:space="preserve">moins de 1 an
1 à 2 ans
2 à 5 ans
5 à 10 ans 
plus de 10 ans  </t>
  </si>
  <si>
    <t>Quels sont les sujets de discorde entre vous et l'autre parent ?</t>
  </si>
  <si>
    <t>Quel type de décisions avez-vous pris sans consulter l'autre parent ou sans attendre son approbation ?</t>
  </si>
  <si>
    <t>Dans quelle mesure diriez-vous que l'identité et la valeur sociale de l'autre parent passe par sa paternité ou sa maternité?</t>
  </si>
  <si>
    <t>Dans quelle mesure l'autre parent vous appelle par votre prénom devant votre enfant (versus maman ou papa) ?</t>
  </si>
  <si>
    <t>Dans quelle mesure diriez-vous que l’autre parent jette les cadeaux (anniveraire, Noël) ou proscrit les photographies de vous dans sa demeure ?</t>
  </si>
  <si>
    <t>Évaluez la fréquence et l'intensité de l'énoncé : votre enfant rejette de plus en plus vos valeurs et vos champs d’intérêts.</t>
  </si>
  <si>
    <t xml:space="preserve">-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</si>
  <si>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 xml:space="preserve">- Au retour d'un séjour (garde) de l'autre parent
- Lorsque l'enfant est en présence de l'autre parent
- Lorsque mon enfant cherche à me convaincre de passer plus de temps chez l'autre parent 
- Lorsque mon enfant me fait des reproches 
 </t>
  </si>
  <si>
    <t>- Normal / usuel
- Nouveau</t>
  </si>
  <si>
    <t>Jamais / Rarement / Parfois / Régulièrement / Souvent / Toujours / S.O.</t>
  </si>
  <si>
    <t>- Préparation des repas et/ou boîte à lunch des enfants
- Accompagnement des devoirs
- Gestion des vêtements
- Choix des activités culturelles ou sportives
- Autres</t>
  </si>
  <si>
    <t>1 à 10</t>
  </si>
  <si>
    <t>Pas du tout d’accord / Pas d’accord / Ni d’accord, ni pas d’accord / Partiellement d’accord / D’accord / Tout à fait d’accord / S.O.</t>
  </si>
  <si>
    <t>Nulle / Très faible / Faible / Moyenne / Élevé / Très élevé / S.O.</t>
  </si>
  <si>
    <t>Usuel / Normal
Nouveau</t>
  </si>
  <si>
    <t>-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exclisive)</t>
  </si>
  <si>
    <t>- Au retour d'un séjour (garde) de l'autre parent
- Lorsque l'enfant est en présence de l'autre parent
- Lorsque mon enfant cherche à me convaincre de passer plus de temps chez l'autre parent 
- Lprsque mon enfant me fait des reproches</t>
  </si>
  <si>
    <t>Je ne me laisse pas insulter par mon enfant 
Je l'envoie réfléchir et lui demande de revenir lorsqu'il sera calme
J'impose des conséquences pour corriger le comportement inadéquat de mon enfant 
Je suis d'abord en colère et je me calme ensuite 
Je suis en colère contre l'autre parent car je sais que le reproche vient de lui et non de mon enfant. Et je le signifie à mon enfant.</t>
  </si>
  <si>
    <t xml:space="preserve">Vous tentez de le raisonner et vous vous justifiez 
Vous faites valoir que l'autre parent lui a menti 
Vous êtes blessé·e, vous êtes émotif uo émotive 
</t>
  </si>
  <si>
    <t>Fusion qui s'installe</t>
  </si>
  <si>
    <t>Fusion !!</t>
  </si>
  <si>
    <t>L'extension du parent ?</t>
  </si>
  <si>
    <t>Dégradation significative (action urgente)</t>
  </si>
  <si>
    <t>Risque de rupture contact</t>
  </si>
  <si>
    <t>Risque de rupture contact | lien</t>
  </si>
  <si>
    <t>Légère dégradation - à surveiller</t>
  </si>
  <si>
    <t>Dégradation légère à modérée - s'outiller</t>
  </si>
  <si>
    <t>Dégradation modérée (action nécessaire, soutiller)</t>
  </si>
  <si>
    <t>Dégradation importante (action nécessaire, s'outiller + aide prof.)</t>
  </si>
  <si>
    <t>A discuter avec Joanna</t>
  </si>
  <si>
    <t xml:space="preserve">Cette valeur est le S.O. </t>
  </si>
  <si>
    <t>LEGENDE</t>
  </si>
  <si>
    <t>Jeune adulte autonome</t>
  </si>
  <si>
    <t>Type d'échelle</t>
  </si>
  <si>
    <t>Exponentielle</t>
  </si>
  <si>
    <t>Zone Différentiel avec échelle 1 à 10</t>
  </si>
  <si>
    <t>Même chose que le premier comportement mais dans un autre contexte !!!! Celui-ci sera à zéro si répondu plus haut.</t>
  </si>
  <si>
    <t>Il y a quatre états possibles :</t>
  </si>
  <si>
    <t>1) Le PFA (et ou le NC) a le comportement aliénant désigné avec intensité</t>
  </si>
  <si>
    <t>1.1) L'enfant réagit à ce comportement par une intensité significative</t>
  </si>
  <si>
    <t>1.2) L'enfant ne réagit pas à ce comportement</t>
  </si>
  <si>
    <t>2) Le PFA (et ou le NC) ne démontre pas ce comportement aliénant avec intensité</t>
  </si>
  <si>
    <t>1.1) L'enfant a tout de même un comportement (conlfit de loyauté !!!)</t>
  </si>
  <si>
    <t>1.2) L'enfant n'a pas non plus ce comportement.</t>
  </si>
  <si>
    <t>VRAI | FAUX</t>
  </si>
  <si>
    <t>FAUX | VRAI</t>
  </si>
  <si>
    <t>FAUX | FAUX</t>
  </si>
  <si>
    <t xml:space="preserve">VRAI | VRAI </t>
  </si>
  <si>
    <t>Co-parent</t>
  </si>
  <si>
    <t>Parent répondant</t>
  </si>
  <si>
    <t>Parent répondant - partie 2</t>
  </si>
  <si>
    <t>Nouveau·lle conjoint·e</t>
  </si>
  <si>
    <t xml:space="preserve">À quel groupe d'âge appartenez-vous? </t>
  </si>
  <si>
    <t xml:space="preserve">Quelle a été la durée de vie commune avec l'autre parent (coparent)?
</t>
  </si>
  <si>
    <t>Est-ce que l'autre parent (coparent) respecte les ordonnances ou les jugements de la Cour ?</t>
  </si>
  <si>
    <t>Un jugement concernant la garde des enfants a-t-il été rendu par le tribunal ?</t>
  </si>
  <si>
    <t>Note : Expliquer la différence entre rupture de contact et rupture de lien</t>
  </si>
  <si>
    <t>Point d'information accessible au besoin</t>
  </si>
  <si>
    <t>Sera dans le rapport final</t>
  </si>
  <si>
    <t>Valider si quelques comportements devraient apparaitre par automatisme</t>
  </si>
  <si>
    <t>Dans la vidéo promotionnelle et tutoriel, présenter les fonctionnalités et la possibilité d'ouverture des points d'information pour accéder à des notions théoriques.</t>
  </si>
  <si>
    <t>Note : Expliquer que l'entente peut être une entente verbale et/ou écrite.</t>
  </si>
  <si>
    <t>Analyse rétrospective</t>
  </si>
  <si>
    <t>automutilation
anxiété
dépresssion
idéation suicidaire
insomnie
isolement et difficulté à socialiser
trouble de l'opposition
trouble alimentaire
Aucune de ces réponses
autres (veuillez spécifier)</t>
  </si>
  <si>
    <t>PFA04a</t>
  </si>
  <si>
    <t>PFA07a</t>
  </si>
  <si>
    <t>Fin du questionnaire</t>
  </si>
  <si>
    <t>Pour des fins statistiques*(Mettre note pour encourager les gens à répondre : En y répondant, il contribue à la recherche et à l'écriture de publications qui seront des moteurs de changement.</t>
  </si>
  <si>
    <t>Deuil d’un parent</t>
  </si>
  <si>
    <t>Adoption</t>
  </si>
  <si>
    <t>Autres (spécifier)</t>
  </si>
  <si>
    <t>Deuil d’un parent
Adoption
Maltraitance en tant qu’enfant (intervention DPJ ou non)
Troubles mentaux chez l’un ou des deux parents (dépression, bipolarité, TPL, tentative suicide,..)
Problème de dépendances de l’un ou des deux parents (alcool, drogues,)
Violence conjugale entre les parents
Divorce conflictuel des parents
Rupture de lien avec un parent à la suite d’un divorce
Abus sexuels
Autres (spécifiez)</t>
  </si>
  <si>
    <t>PFA07a1</t>
  </si>
  <si>
    <t>De manière générale, au retour d'un séjour chez l'autre parent, votre enfant vous paraît :</t>
  </si>
  <si>
    <t>Jamais</t>
  </si>
  <si>
    <t>Rarement</t>
  </si>
  <si>
    <t>Parfois</t>
  </si>
  <si>
    <t>Régulièrement</t>
  </si>
  <si>
    <t>Souvent</t>
  </si>
  <si>
    <t>Quelles sont les manifestations ou troubles psychosomatiques présents chez votre enfant et à quelle fréquence?</t>
  </si>
  <si>
    <t>Lesquelles de ces manifestations étaient déjà apparentes avant la séparation et à quelle fréquence?</t>
  </si>
  <si>
    <t>choix
multiples + E1A</t>
  </si>
  <si>
    <t>Pour le calcul du gradient, la logique retenue est :</t>
  </si>
  <si>
    <t>3) Si la Q n'a pas de sous-question, on prend la valeur de celle-ci</t>
  </si>
  <si>
    <t>Valeur de Q et SQ</t>
  </si>
  <si>
    <t>1) Si la Q a une SQ, prendre le MAX des deux seulement (car un SQ aggrave l'intensité de la Q)</t>
  </si>
  <si>
    <t>2) Si la Q a plusieurs sous-questions, additiionner les valeurs des sous-questions du même niveau, et prendre le MAX entre Q et chaque niveau de SQ</t>
  </si>
  <si>
    <t>Plusieurs SQ au même niveau, les additionner</t>
  </si>
  <si>
    <t>Deux SQ, mais à un niveau différent, on prend le max entre la Q et les SQ</t>
  </si>
  <si>
    <t>Niveau SQ1</t>
  </si>
  <si>
    <t>Deux SQ au même niveau, les additionner</t>
  </si>
  <si>
    <t>Changement dans la relation avec la famille élargie</t>
  </si>
  <si>
    <t>Ce comportement sera retenu dans le baromètre pour démontrer l'impact de la réponse de l'enfant face aux actes du parent et/ou NC.</t>
  </si>
  <si>
    <t>Malgré des comportements aliénants, l'enfant ne semble pas répondre…(pas besoin de le considérer, des test futurs dévoileront s'il y a des changements)</t>
  </si>
  <si>
    <t>Il ne semble pas y avoir de comportements aliénants du PFA ou NC, mais l'enfant a des symptômes =&gt;&gt; surveiller anxiété de séparation ou autres facteurs; à moins que le PFA soit très subtile et que rien ne paraisse</t>
  </si>
  <si>
    <t>Ce comportement n'a pas lieu d'une part et d'Autre.</t>
  </si>
  <si>
    <t xml:space="preserve">On évalue s'il y a des comportements aliénants du PFA incluant le nouveau conjoint (NC) si un comportement similaire lui est attribué et si l'enfant a une réaction ou non. </t>
  </si>
  <si>
    <t>Action du PFA/NC et Réaction de l'enfant</t>
  </si>
  <si>
    <t>Action du PFA/NC et Réaction du PCR</t>
  </si>
  <si>
    <t>S'il y a des sous-questions, prendre toujours le comportement le plus sévère entre la Q et la/les SQ pour le calcul final quantitatif et qualitatif</t>
  </si>
  <si>
    <t>Dans quelle mesure vous arrivait-t-il d'éviter ou d'ignorer l’autre parent lorsque vous le croisiez à l'école, lors de changement de garde ou lors d'événements sportifs?</t>
  </si>
  <si>
    <t>Dans quelle mesure laissiez-vous à votre enfant le droit de choisir la fréquence des visites et le temps qu'il passait chez l'autre parent ?</t>
  </si>
  <si>
    <t xml:space="preserve">Célibataire
En couple ou famille recomposée SANS enfant issu de la nouvelle union
Famile recomposée AVEC enfant(s) issu(s) de la nouvelle union </t>
  </si>
  <si>
    <t>Selon vous, dans quelle mesure l'autre parent entretien (aujourd'hui) une relation fusionnelle avec votre enfant ?</t>
  </si>
  <si>
    <t>Diriez-vous que la relation fusionnelle entre votre enfant et l'autre parent est consciente (intentionnelle) ou inconsciente ?</t>
  </si>
  <si>
    <t>B00</t>
  </si>
  <si>
    <t xml:space="preserve">Identification: Qui êtes-vous ? </t>
  </si>
  <si>
    <t xml:space="preserve">Cette façon de s'adresser à vous devant l'enfant (prénom versus maman ou papa), est-elle habituelle ou est-ce nouveau depuis la séparation ? </t>
  </si>
  <si>
    <t>Évaluez l'intensité et la fréquence de l'énoncé : il arrive à votre enfant d'être agressif envers vous à son retour d'un séjour chez l'autre parent.</t>
  </si>
  <si>
    <t xml:space="preserve">Dans quelle mesure êtes-vous d'accord avec l'énoncé suivant ? Votre enfant défend systématiquement l'autre parent, quoi que vous fassiez, quoi que vous disiez. </t>
  </si>
  <si>
    <t>E14a</t>
  </si>
  <si>
    <t xml:space="preserve">Êtes-vous en processus juridique actuellement ? 
</t>
  </si>
  <si>
    <t xml:space="preserve">Évaluez la fréquence et l'intensité de l'énoncé : votre enfant calque les désirs et les paroles de l’autre parent. </t>
  </si>
  <si>
    <t>&lt; 9 mois
Entre 9 mois et 2 ans
Entre 2 ans et 5 ans
Entre 5 ans et 10 ans
Plus de 10 ans</t>
  </si>
  <si>
    <t xml:space="preserve">Dans quelle mesure diriez-vous que l'autre parent (coparent) est votre égal·e sur le plan parental ? </t>
  </si>
  <si>
    <t>E29a</t>
  </si>
  <si>
    <t>E35a</t>
  </si>
  <si>
    <t>E36b</t>
  </si>
  <si>
    <t xml:space="preserve">Durant l’enfance et avant 14 ans, est-ce que vous et/ou votre ex-conjoint·e avez vécu l’une des situations familiales suivantes ? Cochez les réponses qui s'appliquent dans chaque colonne. </t>
  </si>
  <si>
    <t>Une mère</t>
  </si>
  <si>
    <t xml:space="preserve">Un père </t>
  </si>
  <si>
    <t xml:space="preserve">Un parent (non binaire) </t>
  </si>
  <si>
    <t xml:space="preserve">Un grand-parent </t>
  </si>
  <si>
    <t>Un·e nouveau ou nouvelle conjoint·e</t>
  </si>
  <si>
    <t>Autre (spécifier)</t>
  </si>
  <si>
    <t>Une mère
Un père 
Un parent (non binaire) 
Un grand-parent 
Un·e nouveau ou nouvelle conjoint·e
Autre (spécifiez)</t>
  </si>
  <si>
    <t>En mon nom ou celui d'une autre mère 
En mon nom ou celui d'un autre père 
En mon nom ou celui d'un autre parent (non binaire)</t>
  </si>
  <si>
    <t>&lt; 9 mois</t>
  </si>
  <si>
    <t>Entre 9 mois et 2 ans</t>
  </si>
  <si>
    <t>Durant la vie commune, arrivait-il que l'autre parent hausse le ton ou vous insulte (injure) pour imposer son point de vue ou sa volonté ?</t>
  </si>
  <si>
    <t>Intensité conditionnelle (âge, temps de séparation)</t>
  </si>
  <si>
    <t>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</si>
  <si>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Choix d'école et/ou inscription (primaire et secondaire)
Choix de club|programme sportif
Soins médicaux ou dentaires 
Déménagement (forçant un changement majeur ou autres)
Achat d'une valeur significative (auto, animal,…)
Autre (spécifiez)</t>
  </si>
  <si>
    <t>Choix multiples+E1A</t>
  </si>
  <si>
    <t>Enf-PFA</t>
  </si>
  <si>
    <t>MAX</t>
  </si>
  <si>
    <t>Analuyse des différentiels des échelles exponetielles</t>
  </si>
  <si>
    <t>APRÈS</t>
  </si>
  <si>
    <t>Calcul qualitatif des situations différentiels entre avant et après</t>
  </si>
  <si>
    <t>Toujours</t>
  </si>
  <si>
    <t>Détérioration</t>
  </si>
  <si>
    <t>Amélioration</t>
  </si>
  <si>
    <t>AVANT</t>
  </si>
  <si>
    <t>(1)  Léger changement à surveiller</t>
  </si>
  <si>
    <t>(1) Amélioration légère</t>
  </si>
  <si>
    <t>N.S.</t>
  </si>
  <si>
    <t>Risque et/ou perte de lien</t>
  </si>
  <si>
    <t>(2) Modéré - comprendre s'il y a une dynamique de comportements derrière</t>
  </si>
  <si>
    <t>(2)____</t>
  </si>
  <si>
    <t>(3) Significatif - s'outiller pour répondre adéquatement et éviter l'aggravation. Aller chercher de l'aide externe.</t>
  </si>
  <si>
    <t>(3)____</t>
  </si>
  <si>
    <t>Légère</t>
  </si>
  <si>
    <t>(4) Majeure - Action urgente. Aiide professionnelle nécessaire pour la famille et l'enfant.</t>
  </si>
  <si>
    <t>(4)____</t>
  </si>
  <si>
    <t>Modérée</t>
  </si>
  <si>
    <t>Action psychojuridique essentielle.</t>
  </si>
  <si>
    <t>Significative</t>
  </si>
  <si>
    <t>Majeure</t>
  </si>
  <si>
    <t xml:space="preserve">Amélioration </t>
  </si>
  <si>
    <t>Pas de changement</t>
  </si>
  <si>
    <t>Si une réponse est S.O. et qu'elle est la seule composante à générer un baromètre, annuler le baromètre.</t>
  </si>
  <si>
    <t>Échelle 1 à 10</t>
  </si>
  <si>
    <t>Si une réponse est S.O. et que cette question fait parti d'un calcul, exclure cette question (avant et après) du calcul</t>
  </si>
  <si>
    <t>A compléter</t>
  </si>
  <si>
    <t>Nouveau conjoint</t>
  </si>
  <si>
    <t>NC12</t>
  </si>
  <si>
    <t xml:space="preserve">1 an et moins
2 à 5 ans
6 à 10 ans
11 à 20 ans 
plus de 20 ans  </t>
  </si>
  <si>
    <t>Si père et &lt; 1 an et valeur parentale faible = Référence ouvrage si dispo</t>
  </si>
  <si>
    <t>Notion de valeur parentale</t>
  </si>
  <si>
    <t>Si le parent rejeté a une valeur parentale faible, cela est-il la source de l'exclusion. Qu'est-ce qui le pousse à faire cela? Laisse peu de place au PCR dans la vie de l'enfant. Comprendre ce qui se cache derrière?</t>
  </si>
  <si>
    <t>˜</t>
  </si>
  <si>
    <t>Dénigre l'autre</t>
  </si>
  <si>
    <t>Impose sa présence (appel, texto)</t>
  </si>
  <si>
    <t>Changement d'horaire de l'enfant</t>
  </si>
  <si>
    <t>Vengeance depuis séparation</t>
  </si>
  <si>
    <t>Appelle par le prénom</t>
  </si>
  <si>
    <t>Nv conjoint meilleur</t>
  </si>
  <si>
    <t>Thème</t>
  </si>
  <si>
    <t xml:space="preserve">Infos de base pour expliquer que les CSS, CL et les dynamiques d’AP amène des manifestations et symptômes psychosomatiques : À surveiller / Invitation à consulter un professionnel de la santé (TS / Psychologue)  </t>
  </si>
  <si>
    <t xml:space="preserve">Info / éducation : normal pour l'enfant de revenir chargé si l'enfant est exposé à un conflit  </t>
  </si>
  <si>
    <t xml:space="preserve">définir relation fusionnelle + Mise en garde d'une relation fusionelle non intentionnelle … patience et bienveillance de mise 
(ex.: Frédéric J + Nancy N) + recommandation médiation  </t>
  </si>
  <si>
    <t xml:space="preserve">importance de sécuriser l'enfant </t>
  </si>
  <si>
    <t>🔴 ATTN : déf. AP : relation avant vs après</t>
  </si>
  <si>
    <t xml:space="preserve">info : manipulation / comprtements aliénants </t>
  </si>
  <si>
    <t xml:space="preserve">Exemple cas Jean-Philippe, AP annoncée
dénigrement manifeste de son apport parental + dénigrement de la nouvelle conjointe aussi (jalousie)   </t>
  </si>
  <si>
    <t xml:space="preserve">Notion générale et globale pour cette question + les s-q ? 
… forçant ainsi une allégeance et un conflit de loyauté
Pour certains parents, l'amour que porte l'enfant à son parent signifie qu'il y en a moins pour lui/elle. Drapeau rouge…  la responsabilité de l'enfant de rassurer son parent (degré de parentification) ...  Un retrait émotif de la part d'un parent à l'égard de son enfant … </t>
  </si>
  <si>
    <t xml:space="preserve">pression sur l'enfant </t>
  </si>
  <si>
    <t>🔴 ATTN : déf. AP</t>
  </si>
  <si>
    <t xml:space="preserve">Si cette idée vient de l'autre parent, il faut faire attention au CL 
Ouvrir un dialogue, discussion franche avec l'enfant / mobilisation / impliquer l'enfant dans la recherche de solutions </t>
  </si>
  <si>
    <t xml:space="preserve">i = contre manipulation ou communication non violente 
ex.: photo dans le sac avec photo (NCFA) disant que c'est la vraie famille … importance de communiquer l'info à l'autre parent et accueillir la famille NCFA tout en revalorisant sa propre famille 
pour le i = mise en situation : imaginons le cas suivant : (ex photo sac) et la réponse adéquate  </t>
  </si>
  <si>
    <t>Épisode de dépression (pour vous ou l'autre parent)
Épisode de violence (de votre part ou de l'autre parent)
Infidélité (de votre part ou de l'autre parent)
Événement déclencheur (ex.: déménagement, deuil,...) 
Arrivée d'un·e nouveau ou nouvelle conjoint·e
Autre
Aucun</t>
  </si>
  <si>
    <t>notion de parentification + 
recommandation médiation / coordonateur/trice parental.e</t>
  </si>
  <si>
    <t xml:space="preserve">Un commentaire pour / drapeau rouge pour chaque comportements ? 
- Pension alimentaire (appât du gain ou cupidité)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</si>
  <si>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Un commentaire pour / drapeau rouge pour chaque comportements ? 
'Changement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</si>
  <si>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info sur responsabilité de l'autre parent ? Ex.: ne peut prendre une décision unilatérale (ATTN est-ce partout pareil ? QC vs USA vs Europe)</t>
  </si>
  <si>
    <t xml:space="preserve">Méthode ADR </t>
  </si>
  <si>
    <t xml:space="preserve">Interférence sur le lien symbolique qui  vous unit à votre enfant. </t>
  </si>
  <si>
    <t xml:space="preserve">???
On veut pas faire la morale … mais devrait-on informer sur le stress que cela impose à l'enfant, ce refus de la preésence de l'autre parent ?  </t>
  </si>
  <si>
    <t xml:space="preserve">??? 
Important pour un enfant que les frontières soient claires et que la valeur symbolique soit respectée  </t>
  </si>
  <si>
    <t xml:space="preserve">parentification /  </t>
  </si>
  <si>
    <t xml:space="preserve">idem q-E23 </t>
  </si>
  <si>
    <t xml:space="preserve">point d'info visible sur fréquence =+3 </t>
  </si>
  <si>
    <t>Bulle info 🔶</t>
  </si>
  <si>
    <t>références</t>
  </si>
  <si>
    <t xml:space="preserve">Notion : autorité parentale et déchéance parentale  * au Québec … est-ce partout pareil ? 
 </t>
  </si>
  <si>
    <t>référence Éducaloi : https://educaloi.qc.ca/capsules/lautorite-parentale/</t>
  </si>
  <si>
    <t xml:space="preserve">mobilisation / notion de rejet actif ou rejet passif </t>
  </si>
  <si>
    <t xml:space="preserve">référence CAP ? </t>
  </si>
  <si>
    <t xml:space="preserve">Une forte et belle complicité entre votre enfant et le nouveau ou nouvelle conjoint·e peut-être très positive si elle n'interfère pas avec votre relation avec votre enfant. Si la complicité entre votre enfant et le nouveau ou nouvelle conjoint·e existe et se déploie au détriment de votre relation avec votre enfant, faites-vous aider par un.e professionnel·le (TS / psychologue), une autorité morale neutre qui permettra aux deux relations de co-exister. </t>
  </si>
  <si>
    <t xml:space="preserve">notion de valeur parentale </t>
  </si>
  <si>
    <t xml:space="preserve">Notion de CL + commentaires 
On le fait tous un peu inconsciemment … mais une exposition répétée place l'enfant en échec (CL) </t>
  </si>
  <si>
    <t xml:space="preserve">Info / éducation ADR ici ?    
Référence : Méthode ADR du CAP </t>
  </si>
  <si>
    <t xml:space="preserve">Info / éducation ADR ici ?    
Référence : Méthode ADR du CAP : se référer à la méthode ADR </t>
  </si>
  <si>
    <t xml:space="preserve">Référence ouvrage sur la fragilité séparation &lt; 2 ans 
(i) 
rappeler qu'il est normal de vivre une péiode de turbulence (importante) les 2 premières années de la séparation. 
Réf: stats Francine Cyr 
</t>
  </si>
  <si>
    <t>Si l'enfant n'a pas  confiance en l'autre parent … il se peut que ce soit un pattern et que l'enfant ait enregistré ça … 
donc si l'enfant a tendance à critiquer aussi le parent ... pas nécessairement du rejet de sa part. ... à étudier en comparaison avec d'autres facteurs</t>
  </si>
  <si>
    <t xml:space="preserve">relation fusionnelle NON intentionnelle ?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t>
  </si>
  <si>
    <t xml:space="preserve">notion conflit de loyauté + il est possible pour certains enfants de choisir de ne pas révéler instinctivement ce qui se passe chez l'autre parent pour ne pas être exposer à un "interrogaoire" ou encore pour ne pas décevoir ou peiner son parent lorsqu'il lui révèle, par exemple, qu'il a eu du plaisir en compagnie de l'autre parent ou en son absence. 
impact sur un enfant de garder des secrets / importance d'intervenir pour soulager l'enfant de la pression / ne pas culpabiliser et ne pas presser l'enfant de ne pas 
ATTN à l'âge, un enfant en bas âge (petite enfance) qui est appelé à se réguler de la sorte ou à protéger son ou ses parents de tels informations se trouve certainement en conflit de loyauté. </t>
  </si>
  <si>
    <t xml:space="preserve">VOIR équivalent ENFANT : impact sur un enfant de garder des secrets / importance d'intervenir pour soulager l'enfant de la pression / ne pas culpabiliser et ne pas presser l'enfant de ne pas </t>
  </si>
  <si>
    <t xml:space="preserve">place l'enfant de facto dans un CL
point de départ de la sépararion / si l'enfant est appelé à choisir,  danger pour la rupture de lien ou de contact </t>
  </si>
  <si>
    <t xml:space="preserve">exposer ce que ça veut dire / impact sur l'enfant / importance de sécuriser l'enfant 
importantce d'intervenir ou non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</si>
  <si>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</si>
  <si>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"exposer ce que ça veut dire / impact sur l'enfant / importance de sécuriser l'enfant 
importantce d'intervenir ou non 
notion d'apaisement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</si>
  <si>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sape l'autorité parentale </t>
  </si>
  <si>
    <t xml:space="preserve">Importance pour l'enfant d'avoir le temps de se poser chez l'autre parent / Notion de relation fusionnelle volontaire ou involontaire  
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</si>
  <si>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</si>
  <si>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</si>
  <si>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je n'ai pas trouvé d'ouvrages sc. concernant le lien symblique ou la fragilisation du lien parent-enfant … juste des articles / blogues et plein de nuances. </t>
  </si>
  <si>
    <t xml:space="preserve">ATTN : insécurise l'enfant 
Important de faire un retour avec l'enfant … </t>
  </si>
  <si>
    <t xml:space="preserve">Semble se substituer à l'autorité parentale. Et dénigre votre autorité parentale aux yeu de votre enfant aussi ?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</si>
  <si>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À surveiller, car : selon fréquence, possible alliance entre nouveau ou nouvelle conjoint·e et votre enfant. Important de comprendre la nature de la relation. Si relation fusionnelle qui met l'équilibre de l'enfant à risque … le besoin pour l'enfant de se poser  / principe de base / pas trouvé d'ouvrages sc. </t>
  </si>
  <si>
    <t xml:space="preserve">Semble se substituer à l'autorité parentale.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</si>
  <si>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R/R final : Mise en garde sur le changement / évolution des symptomes psychosomatiques. 
Importance d'être attentif aux troubles / signes psychosomatique et faire la différence entre un trouble de l'opposition (en temps normal) et un TO en situation de conflit de loyauté / dynamique d'AP  // réf : comprendre les troubles d'opposition :  https://www.lesoleil.com/2016/09/28/trouble-de-lopposition-un-expert-denonce-le-surdiagnostic-620947d598baa11763bf0264d5dd713d 
ATTN : idéation suicidaire = consulter un·e professionnel·le de la santé mentale (psychologue ou pédopsychologue ou pédopsychiatre) </t>
  </si>
  <si>
    <t xml:space="preserve">notion autorité parentale ?  </t>
  </si>
  <si>
    <t xml:space="preserve">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t>
  </si>
  <si>
    <t xml:space="preserve">Si écart entre avant et après : recommandation médiation s'il y a un écart entre les perceptions des rôles des parents et valeurs (d'interventions) parentales de chacun </t>
  </si>
  <si>
    <t xml:space="preserve">si tendance forte aux questionnements  : mise en garde concernant la position dans laquelle cela met l'enfant </t>
  </si>
  <si>
    <t>"définir relation fusionnelle + Mise en garde d'une relation fusionelle non intentionnelle … patience et bienveillance de mise 
(ex.: Frédéric J + Nancy N) + recommandation médiation  "</t>
  </si>
  <si>
    <t xml:space="preserve">mettre en relief les défis pour un parent ciblé d'avoir un.e nouveau / nvlle conjoint.e = cible pour ex qui refuse la séparation  
si votre co-parent  accepte la séparation vs vit mal la séparation, il se peut que la transition soit plus difficile … patience ...  </t>
  </si>
  <si>
    <t xml:space="preserve">réf. ? Amy Baker ? Francyne Cyr ? </t>
  </si>
  <si>
    <t xml:space="preserve">notion conflit de loyauté 
notion de base ?? Sur les 
impacts sur un enfant de garder des secrets / importance d'intervenir pour soulager l'enfant de la pression / ne pas culpabiliser et ne pas presser l'enfant de ne pas </t>
  </si>
  <si>
    <t xml:space="preserve">explication modus operandi du questionnaire / application : objectif de l'application : il est possible de répondre à ce questionnaire au nom d'un autre parent (ex.: pour comprendre ce que vit un·e ami·e ou un proche parent. La dynamique familiale à l'étude est celle d'un enfant (un à la fois) et de ses parents.  </t>
  </si>
  <si>
    <t>Préciser notion : Il est possible de faire une analyse comparative ou rétroactive</t>
  </si>
  <si>
    <t xml:space="preserve">info de base ???  Référence : Roland Broca et Olga Odinetz, Séparations conflictuelles et aliénation parentale : Enfants en danger. Édition Chronique sociale, France, 2016 </t>
  </si>
  <si>
    <t xml:space="preserve">notion rupture de lien 
vs 
rupture de contact 
rejet actif vs rejet passif </t>
  </si>
  <si>
    <t xml:space="preserve">si incidence AP élevée : conseils mobilisation </t>
  </si>
  <si>
    <t xml:space="preserve">Un traumatisme vécu par l'enfant ou par le coparant pourrait expliquer la rupture de contact ou de lien avec votre enfant... Comprendre les raisons qui pourraient pousser l'enfant à s'allier à l'autre parent ou à prendre ses distances … quelques exemples et cas de figures : </t>
  </si>
  <si>
    <t xml:space="preserve">https://www.santemagazine.fr/psycho-sexo/psycho/psycho-enfant/parent-solo-ne-soyez-pas-trop-fusionnel-172034 </t>
  </si>
  <si>
    <t xml:space="preserve">réf. : Jocelyne Dahan, médiatrice familiale </t>
  </si>
  <si>
    <t xml:space="preserve">S'il y a une différence avant vs après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réf.: https://www.aufeminin.com/enfant/parent-enfant-attention-a-la-fusion-s643495.html  
https://www.santemagazine.fr/psycho-sexo/psycho/psycho-enfant/parent-solo-ne-soyez-pas-trop-fusionnel-172034 
réf. : Jocelyne Dahan, médiatrice familiale </t>
  </si>
  <si>
    <t>comprendre ce que cela signifie pour l'enfant de prendre la responsabilité du bonheur ou de la défense d'un parent :  comprendre la PARENTIFICATION :  
Article de vulgarisation : 
https://www.psychologies.com/Famille/Relations-familiales/Parents/Articles-et-Dossiers/Parentification-de-l-enfant-ces-parents-qui-inversent-les-roles
Ouvrages de références : 
Jean-François Le Goff (disparu en 2017) L'Enfant, parent de ses parents (L'Harmattan) et  Thérapeutique de la parentification : une vue d'ensemble
conflit de loyauté
parentification / rendre l'enfant responsable de l'issue ou de la résolution // importance de laisser les enfants hors du conflit / nuancer conseil selon le groupe d'âge // Attention : L'impact sur l'enfant d'être instrumentalisé et mis au courant des enjeux qui en principe de le concerne pas. Conflit de loyauté dans lequel il est placé.
Départager ce qui pourrait être dit et ce qui ne doit pas l'être.</t>
  </si>
  <si>
    <t xml:space="preserve">Si indice AP élevée : présenter les meilleures pratiques pour le nouveau conjoint : </t>
  </si>
  <si>
    <t xml:space="preserve">"peut mener à un isolement et un retrait social pouvant être préjudiciable" </t>
  </si>
  <si>
    <t xml:space="preserve">Selon les réponses fournies / Les réponses du questionnaire semble indiquer que l'autre parent (votre coparent) entretient consciemment une relation fusionelle avec votre enfant /  relation fusionnelle = parentification = désir d'eclusion possible ou 
</t>
  </si>
  <si>
    <t xml:space="preserve">Ne pas tomber dans le piège de l'escalade. Apprendre la contre manipulation ou communication non violente.  </t>
  </si>
  <si>
    <t>Réf.: La coparentalité avec votre ex toxique : Comment protéger vos enfants</t>
  </si>
  <si>
    <t xml:space="preserve">Ce à quoi on peut s’attendre lorsque nous faisons face à un co-parent qui cherche l’exclusion parentale 
La coparentalité avec votre ex toxique : Comment protéger vos enfants (2020) 
Amy J.L. Baker, Paul R. Fine 
Après un divorce ou une séparation difficile, il arrive que la relation parents-enfants devienne tendue, à plus forte raison si votre ex est toxique. Si votre ex vous dénigre en leur présence, vous accuse d'être un mauvais parent ou tente de vous exclure de leur vie au profit de sa nouvelle flamme, il se peut que vos enfants soient désorientés, tiraillés, colériques, anxieux, voire dépressifs. Vous ne savez plus quoi faire et l'impuissance vous gagne? Ce livre peut vous aider. Par le biais d'outils et d'exercices simples, vous découvrirez comment éviter à vos enfants l'aliénation parentale, ainsi que les sentiments d'éloignement et d'exclusion. Vous apprendrez aussi les meilleures façons de les protéger des conflits de loyauté. La clé de votre réussite : faire preuve d'honnêteté et de confiance en eux. Certes, la coparentalité avec une personne toxique peut sembler un défi insurmontable, mais, en utilisant les méthodes appropriées, vous tisserez des liens encore plus forts avec votre famille. Un jour, vous finirez par récolter ce que vous avez semé. 
</t>
  </si>
  <si>
    <t xml:space="preserve">VC 
</t>
  </si>
  <si>
    <t xml:space="preserve">Note : 
Je crois qu'on peut se permettre de faire un peu d'éducation, ici.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t>
  </si>
  <si>
    <t xml:space="preserve">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Conseils :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</si>
  <si>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Idem ? Texte adapté pour la maladie mentale / instabilité psychologique ? </t>
  </si>
  <si>
    <t xml:space="preserve">Idem ? Texte adapté pour la dangerosité ? </t>
  </si>
  <si>
    <t>Notion de conflit de loyauté et de parentification. 
Il est important de rassurer un enfant et l'amner à retrouver sa "position" d'enfant et non de "parent de son parent". 
https://www.psychologies.com/Famille/Relations-familiales/Parents/Articles-et-Dossiers/Parentification-de-l-enfant-ces-parents-qui-inversent-les-roles</t>
  </si>
  <si>
    <t xml:space="preserve">Selon le degré … notion de CL + parentification volontaire ou involontaire ?  
Iván Boszormenyi-Nagy et Geraldine M. Sparks, dans leur ouvrage Invisible loyalties (Routledge)
https://www.psychologies.com/Famille/Relations-familiales/Parents/Articles-et-Dossiers/Parentification-de-l-enfant-ces-parents-qui-inversent-les-roles
</t>
  </si>
  <si>
    <t>Conseils / Principe de base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</si>
  <si>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Principe de base ? 
Un enfant qui cherche à convaincre son parent des qualités de son autre parent est un enfant qui demande indirectement que vous lui donniez le droit d'aimer son parent malgré ses imperfections.  
nous vous invitons à vous référer à la méthode ADR 
</t>
  </si>
  <si>
    <t>"Conflit de loyauté apparent. Il est important de rassurer un enfant 
Un enfant qui cherche à convaincre son parent des qualités de son autre parent est un enfant qui demande indirectement que vous lui donniez le droit d'aimer son parent malgré ses imperfections.  
* indique peut-être que le PCR nourrit le conflit de loyauté ?
(ici = important pour les recommandations car c’est évident que l’enfant croit que vous êtes contre l'autre parent et pour soulager un enfant = toute les interventions devraient être pour l’enfant pas contre l'autre parent "</t>
  </si>
  <si>
    <t>E06a1</t>
  </si>
  <si>
    <t>E22a</t>
  </si>
  <si>
    <t>Contrôle des communications</t>
  </si>
  <si>
    <t>PFA30a2</t>
  </si>
  <si>
    <t>PCR15</t>
  </si>
  <si>
    <t>Réaction en présence des deux parents</t>
  </si>
  <si>
    <t>Respecter les désirs de l'enfant</t>
  </si>
  <si>
    <t>Culpabilise l'enfant de son amour envers vous</t>
  </si>
  <si>
    <t>Interrogatoires au retour de garde</t>
  </si>
  <si>
    <t>Blocage des infos entourant l'enfant</t>
  </si>
  <si>
    <t>Demande / force l'enfant à choisir</t>
  </si>
  <si>
    <t>Interférence à la sortie des classes</t>
  </si>
  <si>
    <t>Liberté du choix de l'enfant</t>
  </si>
  <si>
    <t>Exclusion parentale</t>
  </si>
  <si>
    <t>Position du nouveau conjoint</t>
  </si>
  <si>
    <t>Liste entière des comportements du PFA (NC) qui engendre des réactions chez l'enfant (et parent ciblé)</t>
  </si>
  <si>
    <t xml:space="preserve">Différentiel "Idéalisation du parent" </t>
  </si>
  <si>
    <t xml:space="preserve">Différentiel "nature fusionnelle" </t>
  </si>
  <si>
    <t>Différentiel entre le PFA et PCR</t>
  </si>
  <si>
    <t xml:space="preserve">Différentiel "complicité" </t>
  </si>
  <si>
    <t>Différentiel entre l'enfant et la famille du PCR</t>
  </si>
  <si>
    <t>Les différentiels indiquent uniquement s'il y a eu des changements significatifs entre l'après et avant lors de la vie commune.</t>
  </si>
  <si>
    <t>Les différentes options seront :</t>
  </si>
  <si>
    <t>S'il y avait absence ou peu de relation avant (en historique), il n'est pas possible de statuer sur ce facteur ou y avait déjà un terrain fertile à la fragilité de la relation avec le PCR, sa famille ou entre les parents.</t>
  </si>
  <si>
    <t>Si l'historique est presque ou égal à l'actuel, il n'y a aucun changement observé pour le moment. L'analyse permettra d'informer le répondant sur les facteurs à surveiller.</t>
  </si>
  <si>
    <t>S'il y a une dégradation (assez significative) depuis la séparation ou déclencheur, l'analyse permettra de soulever d'autres facteurs (NC, vengeance, etc.)</t>
  </si>
  <si>
    <t>S'il y a une dégradation (très significative) depuis la séparation ou déclencheur par rapport à l'actuel, l'analyse permettra de soulever d'autres facteurs et conseils pour minimiser le risque de perte de lien.</t>
  </si>
  <si>
    <t>VC</t>
  </si>
  <si>
    <t>CL</t>
  </si>
  <si>
    <t>AP</t>
  </si>
  <si>
    <t>CSS</t>
  </si>
  <si>
    <t>Échelle de résultat :</t>
  </si>
  <si>
    <t>il n'y a aucun changement significatif</t>
  </si>
  <si>
    <t xml:space="preserve">il y a eu une faible dégradation </t>
  </si>
  <si>
    <t>il y a eu une dégradation modérée</t>
  </si>
  <si>
    <t>Il n'est pas possible de statuer puisque l'historique est absent</t>
  </si>
  <si>
    <t xml:space="preserve">L'analyse des réponses démontreront que depuis la séparation, </t>
  </si>
  <si>
    <t>il y a eu une dégradation majeure</t>
  </si>
  <si>
    <t>On prend le MAX</t>
  </si>
  <si>
    <t>Condition par défaut</t>
  </si>
  <si>
    <t>Max PFA</t>
  </si>
  <si>
    <t>Max NC</t>
  </si>
  <si>
    <t>Max Enf</t>
  </si>
  <si>
    <t>Valeur de base
Fréquence (F)</t>
  </si>
  <si>
    <t>Valeur de base
intensité (I)</t>
  </si>
  <si>
    <t>F * I</t>
  </si>
  <si>
    <t>ne respecte pas les heures entendues</t>
  </si>
  <si>
    <t>change les horaires à la faveur de l'autre parent</t>
  </si>
  <si>
    <t>impose des changements d'horaire sans consultation auprès de l'autre</t>
  </si>
  <si>
    <t>Max PFA &amp; NC</t>
  </si>
  <si>
    <t xml:space="preserve"># comport. </t>
  </si>
  <si>
    <t>Manque de sécurité</t>
  </si>
  <si>
    <t>Dénigre la nouvelle famille</t>
  </si>
  <si>
    <t>laisse entendre que vous avez abandonné la famille</t>
  </si>
  <si>
    <t>vous reproche de présenter un danger pour sa sécurité</t>
  </si>
  <si>
    <t>modifie des faits concernant votre passé</t>
  </si>
  <si>
    <t>culpabilise l'enfant pour son amour pour vous</t>
  </si>
  <si>
    <t>boude ou se fâche devant l'enfant lorsqu'il est temps d'entrer chez vous</t>
  </si>
  <si>
    <t>se fâche contre votre enfant s'il exprime de l'Affection pour vous</t>
  </si>
  <si>
    <t>se sent coupable de passer du temps avec vous, car cela affecte l'autre parent</t>
  </si>
  <si>
    <t>change de comportement à son retour de garde</t>
  </si>
  <si>
    <t>accable de reproches à son retour de garde chez l'autre</t>
  </si>
  <si>
    <t>accable de reproches par courriel ou texto au retour de garde</t>
  </si>
  <si>
    <t>dénigre en la présence de l'enfant</t>
  </si>
  <si>
    <t>dénigre vos compétences parentales devant l'autre parent</t>
  </si>
  <si>
    <t>dénigre votre nouvelle famille devant l'enfant</t>
  </si>
  <si>
    <t>entretient un discours haineux à l'égard de votre nouveau conjoint.e</t>
  </si>
  <si>
    <t>laisse entendre que la vraie famille est celle de l'autre parent</t>
  </si>
  <si>
    <t>laisse entendre que la famille de l'autre parent a plus de valeur</t>
  </si>
  <si>
    <t>demande à l'enfant d'appeler son nouveau conjoint.e maman ou papa</t>
  </si>
  <si>
    <t>considère le nouveau conjoint.e comme son père ou sa mère</t>
  </si>
  <si>
    <t>subit de la pression pour passer plus de temps chez l'autre</t>
  </si>
  <si>
    <t>propose des activités irrésistibles à votre enfant sur votre temps de garde</t>
  </si>
  <si>
    <t xml:space="preserve">change d'idée et trouve des excuses pour ne plus participer à votre activité </t>
  </si>
  <si>
    <t>impose sa présence régulièrement durant votre temps de garde</t>
  </si>
  <si>
    <t>s'isole ou se cache pour appeler l'autre parent</t>
  </si>
  <si>
    <t>complique les communications avec votre enfant</t>
  </si>
  <si>
    <t>ne répond pas à vos messages lorsqu'il est chez l'autre</t>
  </si>
  <si>
    <t>limite les contacts de l'enfant avec la famille élargie</t>
  </si>
  <si>
    <t>refuse les contacts avec la famille élargie</t>
  </si>
  <si>
    <t>se confie à l'enfant sur des sujets personnels</t>
  </si>
  <si>
    <t>connait des informations personnelles sur vous que vous n'avez jamais discuté avec lui</t>
  </si>
  <si>
    <t>fait lire vos échanges à votre enfant</t>
  </si>
  <si>
    <t>est informé du contexte juridique ou autre sujet associé au conflit</t>
  </si>
  <si>
    <t>demande à l'enfant de faire les messages entourant la logistique</t>
  </si>
  <si>
    <t>Le nouveau conjoint.e contrôle et écourte les conversations téléphoniques</t>
  </si>
  <si>
    <t>Le nouveau conjoint.e impose sa présence régulièrement durant votre temps de garde</t>
  </si>
  <si>
    <t>Le nouveau conjoint.e impose des changements d'horaire sans consultation auprès de l'autre</t>
  </si>
  <si>
    <t>Le nouveau conjoint.e demande à être appelé papa ou maman</t>
  </si>
  <si>
    <t>Le nouveau conjoint.e dénigre votre nouvelle famille devant l'enfant</t>
  </si>
  <si>
    <t>Le nouveau conjoint.e laisse entendre que l'enfant n'est pas en sécurité</t>
  </si>
  <si>
    <t>Le nouveau conjoint.e organise des activités hors de son temps de garde</t>
  </si>
  <si>
    <t>Le nouveau conjoint.e est responsable de la logistique familiale</t>
  </si>
  <si>
    <t>a la responsabilité de communiquer les informations concernant la logistique familiale</t>
  </si>
  <si>
    <t>a le droit de choisir de respecter ou non l'entente de garde</t>
  </si>
  <si>
    <t>a demandé de changer les termes de la garde pour favoriser l'autre</t>
  </si>
  <si>
    <t>demande à l'enfant avec qui il veut vivre</t>
  </si>
  <si>
    <t>se dit impuissant devant la décision de l'enfant de ne pas respecter l'entente</t>
  </si>
  <si>
    <t>réclame le droit de choisir quand et la durée de ses visites chez vous</t>
  </si>
  <si>
    <t>vous demande de respecter les désirs et choix de l'enfant</t>
  </si>
  <si>
    <t>Le nouveau conjoint.e vous demande de respecter les désirs et choix de l'enfant</t>
  </si>
  <si>
    <t>reproche de ne pas le respecter</t>
  </si>
  <si>
    <t>est d'avis que l'enfant est assez mature pour choisir</t>
  </si>
  <si>
    <t>reproche de lui manquer de respect en ne respectant pas ses choix</t>
  </si>
  <si>
    <t>Score A-R</t>
  </si>
  <si>
    <t>Intensité des comportements par catégorie vu chez l'enfant</t>
  </si>
  <si>
    <t>Logique d'évaluation des comportements miroirs</t>
  </si>
  <si>
    <t>Les conclusions sont faites pour le parent répondant (PCR)</t>
  </si>
  <si>
    <t>Conseils selon les différences entre les atttitudes des deux parents et conseils</t>
  </si>
  <si>
    <t>Conservez cette attitude tout en restant attentif à ce que l'attitude de l'autre parent ne se dégrade pas</t>
  </si>
  <si>
    <t>L'attitude des deux parents est positive pour l'enfant</t>
  </si>
  <si>
    <t>L'attitude des deux parents est grandement dommageable pour l'enfant</t>
  </si>
  <si>
    <t xml:space="preserve"> L'attitude des deux parents devient dommageable pour l'enfant.</t>
  </si>
  <si>
    <t>Restez attentif.ve aux raisons qui vous poussent à agir. Drmandez de l'aide.</t>
  </si>
  <si>
    <t>L'attitude de l'autre parent impacte fort probablement votre coparentalité et nuit à l'enfant. Apprenez à intervenir adéquatement auprès de l'enfant pour le protéger.</t>
  </si>
  <si>
    <t>Votre attitude pourrait nuire à votre coparentalité et affecter la santé de l'enfant. Demandez de l'aide.</t>
  </si>
  <si>
    <t>Conservez cette attitude tout en restant attentif à ce que l'attitude de l'autre parent ne se dégrade pas. Apprenez à intervenir adéquatement auprès de l'enfant pour le protéger.</t>
  </si>
  <si>
    <t>L'attitude de l'autre parent peut impacter votre coparentalité qui nuit à l'enfant.  Apprenez à intervenir adéquatement auprès de l'enfant pour le protéger.</t>
  </si>
  <si>
    <t>Votre attitude nuit grandement à votre coparentalité et affecte la santé de l'enfant. Demandez de l'aide.</t>
  </si>
  <si>
    <t xml:space="preserve"> L'attitude des deux parents est comparable, mais pas toujours adéquate pour l'enfant. Outillez vous pour prévenir l'impact chez l'enfant.</t>
  </si>
  <si>
    <t>Bien que l'autre parent ait un attitude inadéquate, restez attentif.ve à votre attitude aussi. Outillez-vous pour répondre à l'autre parent et aux réactions de l'enfant.</t>
  </si>
  <si>
    <t>L'autre parent a un attitude néfaste. Restez aussi attentif.ve à votre attitude. Outillez-vous pour répondre à l'autre parent et aux réactions de l'enfant.</t>
  </si>
  <si>
    <t>Seuil de divergeance entre les attitudes des parents</t>
  </si>
  <si>
    <t>Exigences de coparentalité</t>
  </si>
  <si>
    <t>Valeur du co-parent</t>
  </si>
  <si>
    <t>Écart</t>
  </si>
  <si>
    <t>Fréquence PFA</t>
  </si>
  <si>
    <t>Fréquence PCR</t>
  </si>
  <si>
    <t>Échelle de recherche Excel</t>
  </si>
  <si>
    <t>Conseils</t>
  </si>
  <si>
    <t>Zone graphique</t>
  </si>
  <si>
    <t>Attitudes et divergeance des parents</t>
  </si>
  <si>
    <t>Comportements PFA</t>
  </si>
  <si>
    <t>Comportements PCR</t>
  </si>
  <si>
    <t>Divergeance des parents</t>
  </si>
  <si>
    <t>Prise de décision sans consentement</t>
  </si>
  <si>
    <t>Reproche et dénigrement de l'autre devant l'enfant</t>
  </si>
  <si>
    <t>Réaction en présence de l'autre parent</t>
  </si>
  <si>
    <t>x</t>
  </si>
  <si>
    <t>Maturité de l'enfant face à ses choix</t>
  </si>
  <si>
    <t>L'enfant comme messager de la logisitque</t>
  </si>
  <si>
    <t>Intervention à la suite d'un retour de garde</t>
  </si>
  <si>
    <t>Impose sa présence hors de son temps de garde</t>
  </si>
  <si>
    <t>Transport d'objets entre les deux domiciles</t>
  </si>
  <si>
    <t>PFA11a</t>
  </si>
  <si>
    <t>Écart (opposé | aligné) entre les comportements des parents</t>
  </si>
  <si>
    <t>Indice de comportements aliénants</t>
  </si>
  <si>
    <t>Alignement ou divergeance des parents selon certains comportements</t>
  </si>
  <si>
    <t>Catégorie</t>
  </si>
  <si>
    <t>Catégorie des réactions de l'enfant</t>
  </si>
  <si>
    <t>Catégorie et nature des comportements</t>
  </si>
  <si>
    <t>Les comportements aliénants qui ont de l'impact sur l'enfant</t>
  </si>
  <si>
    <t>Conseils "URGENTS" au PCR</t>
  </si>
  <si>
    <t>Restez attentif.ve aux raisons qui vous poussent à agir.</t>
  </si>
  <si>
    <t>Voir Fichier " Modèle Calcul Miroir</t>
  </si>
  <si>
    <t>1 à 10 (mauvais à bon)</t>
  </si>
  <si>
    <t>Exponentielle (bon à mauvais)</t>
  </si>
  <si>
    <t>Changement dans les relations entre les deux parents et l'enfant depuis la séparation</t>
  </si>
  <si>
    <t>Relation de l'enfant avec la famille élargie du parent répondant</t>
  </si>
  <si>
    <t>Complicité du parent répondant et de l'enfant</t>
  </si>
  <si>
    <t>Idéalisation du co-parent par l'enfant</t>
  </si>
  <si>
    <t>Fusion de l'enfant et du co-parent</t>
  </si>
  <si>
    <t>Complicité du co-parent et de l'enfant</t>
  </si>
  <si>
    <t>Perception des rôles parentaux</t>
  </si>
  <si>
    <t>Critique et dénigrement</t>
  </si>
  <si>
    <t>Question conditionnelle à :</t>
  </si>
  <si>
    <t>PCR01</t>
  </si>
  <si>
    <t>s'active si PCR a NC (B07 n'égale pas "célibataire")</t>
  </si>
  <si>
    <t>s'active si PFA a NC (B08 n'égale pas "célibataire")</t>
  </si>
  <si>
    <t>s'active si PFAa NC (B08 n'égale pas "célibataire")</t>
  </si>
  <si>
    <t>sq1 (s'active si B11&gt;=condition)</t>
  </si>
  <si>
    <t>sq2 de B11a (s'active si x=oui)</t>
  </si>
  <si>
    <t>sq1 (s'active si H04&gt;=condition)</t>
  </si>
  <si>
    <t>sq1 (s'active si H05&gt;=condition)</t>
  </si>
  <si>
    <t>sq1 (s'active si PCR06&gt;=condition)</t>
  </si>
  <si>
    <t>sq1 (s'active si PCR12&gt;=condition)</t>
  </si>
  <si>
    <t>sq1 (s'active si PCR15&gt;=condition)</t>
  </si>
  <si>
    <t>sq1 (s'active si PCR16&gt;=condition)</t>
  </si>
  <si>
    <t>sq1 (s'active si PFA02&gt;=condition)</t>
  </si>
  <si>
    <t>sq1 (s'active si PFA04&gt;=condition)</t>
  </si>
  <si>
    <t>sq1 (s'active si PFA05&gt;=condition)</t>
  </si>
  <si>
    <t>sq1 (s'active si PFA06&gt;=condition)</t>
  </si>
  <si>
    <t>sq1 (s'active si PFA07&gt;=condition)</t>
  </si>
  <si>
    <t>sq2 (s'active si PFA07a&gt;=condition)</t>
  </si>
  <si>
    <t>sq1 (s'active si PFA09&gt;=condition)</t>
  </si>
  <si>
    <t>sq1 (s'active si PFA11&gt;=condition)</t>
  </si>
  <si>
    <t>sq1 (s'active si PFA13&gt;=condition)</t>
  </si>
  <si>
    <t>sq1 (s'active si PFA15&gt;=condition)</t>
  </si>
  <si>
    <t>sq1 (s'active si PFA16&gt;=condition)</t>
  </si>
  <si>
    <t>sq1 (s'active si PFA19&gt;=condition)</t>
  </si>
  <si>
    <t>sq1 (s'active si PFA20&gt;=condition)</t>
  </si>
  <si>
    <t>sq1 (s'active si PFA25&gt;=condition)</t>
  </si>
  <si>
    <t>sq1 (s'active si PFA28&gt;=condition)</t>
  </si>
  <si>
    <t>sq1 (s'active si PFA29&gt;=condition)</t>
  </si>
  <si>
    <t>sq1 (s'active si PFA30&gt;=condition)</t>
  </si>
  <si>
    <t>sq2 (s'active si PFA30a&gt;=condition)</t>
  </si>
  <si>
    <t>sq1 (s'active si PFA31&gt;=condition)</t>
  </si>
  <si>
    <t>sq2 (s'active si PFA31a&gt;=condition)</t>
  </si>
  <si>
    <t>sq1 (s'active si E02&gt;=condition)</t>
  </si>
  <si>
    <t>sq1 (s'active si E03&gt;=condition)</t>
  </si>
  <si>
    <t>sq1 (s'active si E04&gt;=condition)</t>
  </si>
  <si>
    <t>sq1 (s'active si E05&gt;=condition)</t>
  </si>
  <si>
    <t>sq2 (s'active si E06a&gt;=condition)</t>
  </si>
  <si>
    <t>sq1 (s'active si E14&gt;=condition)</t>
  </si>
  <si>
    <t>sq1 (s'active si E15&gt;=condition)</t>
  </si>
  <si>
    <t>sq1 (s'active si E21&gt;=condition)</t>
  </si>
  <si>
    <t>sq1 (s'active si E22&gt;=condition)</t>
  </si>
  <si>
    <t>sq1 (s'active si E27&gt;=condition)</t>
  </si>
  <si>
    <t>sq1 (s'active si E29&gt;=condition)</t>
  </si>
  <si>
    <t>sq1 (s'active si E33&gt;=condition)</t>
  </si>
  <si>
    <t>sq1 (s'active si NC01&gt;=condition)</t>
  </si>
  <si>
    <t>s'active que si B11(entente de garde non-respectée) &gt;=condition de B11</t>
  </si>
  <si>
    <t>Choix de réponse qui fait changer l'intensité</t>
  </si>
  <si>
    <t>s'active que si PFA09a ET PFA13b=0</t>
  </si>
  <si>
    <t>S'active si E04&gt;= condition de E04</t>
  </si>
  <si>
    <t>Au résultat d'une question mère c.a.d. sous-question (sq1 = niveau 1; sq2 = niveau 2)</t>
  </si>
  <si>
    <t>Condition est dans la "Colonne M"</t>
  </si>
  <si>
    <t>Condition applicable à l'intensité (Colonne O et P)</t>
  </si>
  <si>
    <t>Un choix de réponse qui provient d'un autre questionnaire ou question-mère</t>
  </si>
  <si>
    <t>Trois types d'échelle:
Numérique : 0 - 10 (aucune à excellente)
Libelé : Voir Légende ci-haut
Chois de réponse (Voir fichier Test_Bible)</t>
  </si>
  <si>
    <t>Intensité de Base : 1 à 3</t>
  </si>
  <si>
    <t>Questions</t>
  </si>
  <si>
    <t>Changement après</t>
  </si>
  <si>
    <t>Condition</t>
  </si>
  <si>
    <t>Tout à fait en désaccord / En désaccord /  Partiellement en désaccord /  Partiellement d’accord / D’accord / Tout à fait d’accord / S.O.</t>
  </si>
  <si>
    <t xml:space="preserve">Tout à fait d’accord / D'accord / Partiellement d'accord / Partiellement en désaccord / En désaccord / Tout à fait en désaccord / S.O. </t>
  </si>
  <si>
    <t>révisé</t>
  </si>
  <si>
    <t>échelle à modifier</t>
  </si>
  <si>
    <t>Usuel(0) ou Nouveau(1)</t>
  </si>
  <si>
    <t>Si nouveau &amp; 4</t>
  </si>
  <si>
    <t>Si nouveau &amp; 2</t>
  </si>
  <si>
    <t>Les 2 VRAI avec conditions : PFA &gt;=7 et NC&gt;=7</t>
  </si>
  <si>
    <t>Les 2 VRAI avec conditions : PFA &gt;=4 et NC&gt;=4</t>
  </si>
  <si>
    <t>PFA &gt;= 4 ou NC&gt;=2</t>
  </si>
  <si>
    <t>PFA &gt;= 4 ou NC&gt;=4</t>
  </si>
  <si>
    <t>PFA &gt;=2 OU NC&gt;=2</t>
  </si>
  <si>
    <t>NC01a&gt;=4 &amp; NC15&gt;=4</t>
  </si>
  <si>
    <t>et</t>
  </si>
  <si>
    <t>ou</t>
  </si>
  <si>
    <t>!!! Pour Data seulement (fins d'études)</t>
  </si>
  <si>
    <t xml:space="preserve"> </t>
  </si>
  <si>
    <t>AP_F</t>
  </si>
  <si>
    <t>CL_F</t>
  </si>
  <si>
    <t>CSS_F</t>
  </si>
  <si>
    <r>
      <t>Le traiter comme A-R</t>
    </r>
    <r>
      <rPr>
        <sz val="12"/>
        <color rgb="FFFF0000"/>
        <rFont val="Calibri (Corps)"/>
      </rPr>
      <t xml:space="preserve"> (avec quel cpt enfant)</t>
    </r>
  </si>
  <si>
    <t>Comportements indépendants</t>
  </si>
  <si>
    <r>
      <rPr>
        <sz val="11"/>
        <color rgb="FFFF0000"/>
        <rFont val="Calibri (Corps)"/>
      </rPr>
      <t>NC01&lt;=7 (valider le &lt;=)</t>
    </r>
    <r>
      <rPr>
        <sz val="11"/>
        <color theme="1"/>
        <rFont val="Calibri"/>
        <family val="2"/>
        <scheme val="minor"/>
      </rPr>
      <t>&amp; NC15&gt;=4</t>
    </r>
  </si>
  <si>
    <t># total de thèmes</t>
  </si>
  <si>
    <t>Ils ont été intégré dans la section Action-Réaction</t>
  </si>
  <si>
    <t>Soit un tableau croisée éloignement PCR, rapporhcement PFA pour qualifier l'évart de changement</t>
  </si>
  <si>
    <t>Voir type tableau croisé dans la feuille "TEMP_Différentiel"</t>
  </si>
  <si>
    <t>Trois types d'échelle:
Numérique : 0 - 10 (aucune à excellente)
Libelé : Voir Légende ci-haut
Choix de réponse (Voir fichier Test_Bible)</t>
  </si>
  <si>
    <t>Utilité de la question qualitative</t>
  </si>
  <si>
    <t>Pour introspection</t>
  </si>
  <si>
    <t>Comme condition pour l'analyse</t>
  </si>
  <si>
    <t>Pour donner un conseil dans le rapport selon la|les réponses</t>
  </si>
  <si>
    <t>Comme condition de profil de base et ouverture de question</t>
  </si>
  <si>
    <t>✓</t>
  </si>
  <si>
    <t>Fins de statistiques</t>
  </si>
  <si>
    <t xml:space="preserve"> - Vous tentez de le raisonner et vous vous justifiez 
- Vous faites valoir que l'autre parent lui a menti 
- Vous êtes blessé·e, vous êtes émotif ou émotive 
- Aucune de ces réponses </t>
  </si>
  <si>
    <t>-Oui
-Non</t>
  </si>
  <si>
    <t>-Oui
- Non</t>
  </si>
  <si>
    <t>Âge</t>
  </si>
  <si>
    <t>-Intentionelle
-Inconsciente</t>
  </si>
  <si>
    <t>B06</t>
  </si>
  <si>
    <t>Est-ce qu'il y a d'autres enfants en rupture de lien ou de contact?</t>
  </si>
  <si>
    <t>Au présent; Rétrospectif</t>
  </si>
  <si>
    <t>AJOUT : à partir d'ici. … (réf. B02) 
Mettre une ligne ou une couleur (ex: un encadré en haut du questionnaire en permanence)  qui indique que : 
SSI Je réponds une analyse rétrospective</t>
  </si>
  <si>
    <t>Quel âge a l'enfant qui fait l'objet de l'analyse ?</t>
  </si>
  <si>
    <t>1 enfant (c elui qui fait l'objet de l'analyse)
2
3
Plus de 4 enfants</t>
  </si>
  <si>
    <t>Combinaison à revoir</t>
  </si>
  <si>
    <t>PFA00</t>
  </si>
  <si>
    <t>CL: Conflit de loyauté;</t>
  </si>
  <si>
    <t>VC: Violence conjugale sera citée séparément, le cas échant. (voir comportements VC)</t>
  </si>
  <si>
    <t>CSS : Conflit sévère de séparation;</t>
  </si>
  <si>
    <t xml:space="preserve">AP: Aliénation parentale; </t>
  </si>
  <si>
    <t>N.D. : Aucun critère ne permet de tendre vers …</t>
  </si>
  <si>
    <t>5 critères définissent une situation d'aliénation parentale avéré que l'on ne retrouvera pas dans le CL ou le CSS. C'est par l'amalgame de ces 5 critères exprimés en baromètre qu'un CONSTAT FINAL (Kind-of-diagnostic) sera émis sur le continuum</t>
  </si>
  <si>
    <t>1- Il y a une résistance ou une rupture de lien entre le parent répondant et le coparent (Il y a un lien fragile ou une rupture de lien)</t>
  </si>
  <si>
    <t>2- Il y avait une belle relation avant la séparation. La différence entre l'avant et l'après parle.   (baromètre différentiel)</t>
  </si>
  <si>
    <t>3- Le parent répondant n'a pas commis d'abus, de négligence, de maltraitance (baromètre "comportements miroirs" + baromètre "action-réaction")</t>
  </si>
  <si>
    <t>5- L'enfant répond aux comportements aliénants en s'éloignant et|ou rejetant le parent répondant (baromètre "Action-Réaction" + baromètre "comportements indépendants")</t>
  </si>
  <si>
    <t>Le calcul final consolide :</t>
  </si>
  <si>
    <t>La situation se retrouve sur un continuum :</t>
  </si>
  <si>
    <t>L'analyse tendancielle de chaque thème "action-réaction" vers un ratio entre les diagnostics (CL , CSS, degré d'AP)</t>
  </si>
  <si>
    <t xml:space="preserve">+ </t>
  </si>
  <si>
    <t>L'analyse tendancielle des "comportements miroirs" entre les parents vers un ratio entre les diagnostics (CL , CSS, degré d'AP)</t>
  </si>
  <si>
    <t>L'analyse tendancielle des "comportements indépendants" vers un ratio entre les diagnostics. (CL , CSS, degré d'AP)</t>
  </si>
  <si>
    <t>Si</t>
  </si>
  <si>
    <t>Selon "différentiel" avant-après</t>
  </si>
  <si>
    <t>CALCUL du baromètre "CONSTAT"</t>
  </si>
  <si>
    <t>Quatre tendance de CONSTAT seront évalués:</t>
  </si>
  <si>
    <t>Texte écourté pour titrer dans les baromètres ou rapport</t>
  </si>
  <si>
    <t>Questions et sous-questions</t>
  </si>
  <si>
    <t>Catégorie des comportements des parents tous confondus</t>
  </si>
  <si>
    <t>Analyse au présent</t>
  </si>
  <si>
    <r>
      <rPr>
        <sz val="12"/>
        <color theme="1"/>
        <rFont val="Calibri (Corps)"/>
      </rPr>
      <t>moins de 1 an (incl. en union ou en instance de séparation)</t>
    </r>
    <r>
      <rPr>
        <sz val="12"/>
        <color theme="1"/>
        <rFont val="Calibri"/>
        <family val="2"/>
        <scheme val="minor"/>
      </rPr>
      <t xml:space="preserve">
1 à 2 ans
2 à 5 ans
5 à 10 ans 
plus de 10 ans  </t>
    </r>
  </si>
  <si>
    <t>Questions (mode imparfait)</t>
  </si>
  <si>
    <t xml:space="preserve">Depuis combien de temps êtiez-vous séparé.e de l'autre parent (coparent)? </t>
  </si>
  <si>
    <t>Combien d'enfants compte la fratrie ?</t>
  </si>
  <si>
    <t>1 enfant (celui qui fait l'objet de l'analyse)</t>
  </si>
  <si>
    <t>2 enfants</t>
  </si>
  <si>
    <t>3 enfants</t>
  </si>
  <si>
    <t>Plus de 4 enfants</t>
  </si>
  <si>
    <t>intensité 2 si âge (B06) &gt;= 14 ans;
Intensité 3 si âge (B06) &lt; 14 ans</t>
  </si>
  <si>
    <t>intensité 2 si âge (B06) &gt;= 12 ans;
Intensité 3 si âge (B06) &lt; 12 ans</t>
  </si>
  <si>
    <t>intensité 2 si âge (B06) &gt;= 10 ans;
Intensité 3 si âge (B06) &lt; 10 ans</t>
  </si>
  <si>
    <t>intensité 2 si âge (B06) &gt;= 11 ans;
Intensité 3 si âge (B06) &lt; 11 ans</t>
  </si>
  <si>
    <t>intensité 1 si âge (B06) &gt;= 8 ans;
Intensité 2 si âge (B06) &lt; 8ans</t>
  </si>
  <si>
    <t xml:space="preserve">Quelle était votre situation familiale? </t>
  </si>
  <si>
    <t xml:space="preserve">Quelle était la situation familiale de l'autre parent? 
</t>
  </si>
  <si>
    <t>Dans quelle mesure l'entente de garde et/ou les droits d'accès étaient-ils respectés?</t>
  </si>
  <si>
    <t>Un jugement concernant la garde des enfants avait-il été rendu par le tribunal ?</t>
  </si>
  <si>
    <t>L'autre parent (coparent) respectait-il les ordonnances ou les jugements de la Cour ?</t>
  </si>
  <si>
    <t>Respectiez-vous, de votre côté, les ordonnances et entente de garde ?</t>
  </si>
  <si>
    <t xml:space="preserve">Aviez-vous encore un lien et/ou des contacts avec votre enfant? 
</t>
  </si>
  <si>
    <t>Quels types de difficultés relationnelles rencontriez-vous ?</t>
  </si>
  <si>
    <t xml:space="preserve">Ces difficultés relationnelles étaient-elles récentes? </t>
  </si>
  <si>
    <t>Y avait-il d'autres enfants en rupture de lien ou de contact?</t>
  </si>
  <si>
    <t>Un traumatisme vécu par vous, par l'autre parent ou par l'enfant aurait-il pu expliquer la rupture de contact ou de lien avec votre enfant ?</t>
  </si>
  <si>
    <t>Durant la vie commune avec l'autre parent (coparent), quel était le degré de complicité entre vous et votre enfant?</t>
  </si>
  <si>
    <t>Durant la vie commune avec l'autre parent, dans quelle mesure diriez-vous que votre enfant se confiait naturellement à vous pour ses questionnements, peines et chagrins ou pour partager de bonnes nouvelles?</t>
  </si>
  <si>
    <t>Dans quelle mesure diriez-vous que votre enfant idéalisait l’autre parent avant la séparation (éclatement de la famille)?</t>
  </si>
  <si>
    <t>Comment qualifieriez-vous la complicité entre votre enfant et l'autre parent avant la séparation (éclatement de votre famille)?</t>
  </si>
  <si>
    <t>Durant la vie commune, dans quelle mesure diriez-vous que la relation entre votre enfant et l'autre parent était fusionnelle?</t>
  </si>
  <si>
    <t xml:space="preserve">Dans quelle mesure êtes-vous d'accord avec l'énoncé suivant? Durant la vie commune l'autre parent percevait votre rôle parental comme étant aussi important que le sien. </t>
  </si>
  <si>
    <t>Durant la vie commune, arrivait-il que l'autre parent présente à votre entourage une vision négative de vos compétences parentales?</t>
  </si>
  <si>
    <t>H06a</t>
  </si>
  <si>
    <t>intégrer au calcul</t>
  </si>
  <si>
    <t>PCR03</t>
  </si>
  <si>
    <t>PCR01a</t>
  </si>
  <si>
    <t>PCR01b</t>
  </si>
  <si>
    <t>Dans quelle mesure êtes-vous d'accord ou non avec cet énoncé ? 
Vous étiez à l'aise en présence de l'autre parent (coparent).</t>
  </si>
  <si>
    <t xml:space="preserve">Dans quelle mesure deviez-vous marcher sur des œufs lorsqu'en présence de l'autre parent afin d'éviter les conflits ? </t>
  </si>
  <si>
    <t xml:space="preserve">Dans quelle mesure l'autre parent haussait la voix ou utilisait des jurons pour imposer sa vision des choses? </t>
  </si>
  <si>
    <t xml:space="preserve">Dans quelle mesure deviez-vous faire  des compromis pour assurer une bonne entente de garde ? </t>
  </si>
  <si>
    <t>Dans quelle mesure questionniez-vous votre enfant à son retour de garde afin de connaître la routine (repas, dodo, etc.) et les activités qu'il avait fait alors qu'il était chez l'autre parent?</t>
  </si>
  <si>
    <t>Dans quelle mesure deviez-vous faire un retour sur les interventions (nutrition, hygiène, logistique, etc.) de l'autre parent (par courriel ou texto) au retour des enfants après un séjour de garde?</t>
  </si>
  <si>
    <t>Quels étaient les sujets de discorde entre vous et l'autre parent?</t>
  </si>
  <si>
    <t>Vous arrivait-il de faire des reproches à l'autre parent devant votre enfant ?</t>
  </si>
  <si>
    <t>À quelle fréquence appeliez-vous votre enfant lorsqu’il était chez l‘autre parent ?</t>
  </si>
  <si>
    <t xml:space="preserve">Dans quelle mesure considériez-vous l'autre parent (coparent) comme étant votre égal·e sur le plan parental? </t>
  </si>
  <si>
    <t>De manière générale, au-delà des conflits qui pouvaient vous opposer à l'autre parent, dans quelle mesure diriez-vous que les exigences de la coparentalité nuisait à votre qualité de vie?</t>
  </si>
  <si>
    <t>Dans quelle mesure acceptiez-vous que les vêtements et/ou jouets de votre enfant se promènent d’une maison à l’autre ?</t>
  </si>
  <si>
    <t>Dans quelle mesure vous arrivait-il de prendre des décisions sans consulter l'autre parent ?</t>
  </si>
  <si>
    <t>Dans quelle mesure diriez-vous que la mauvaise entente entre vous et l'autre parent vous contraignait à demander à votre enfant de faire les messages et demandes entourant la logistique familiale?</t>
  </si>
  <si>
    <t>Dans quelle mesure étiez-vous d'accord ou non avec cet énoncé? Un enfant de 12 ans est assez mature pour choisir où et avec qui il veut vivre.</t>
  </si>
  <si>
    <t>Dans quelle mesure diriez-vous qu'il était important que votre enfant soit au courant des enjeux de la séparation et/ou du conflit qui vous opposait à l'autre parent?</t>
  </si>
  <si>
    <t>Dans quelle mesure cet énoncé s'applique à votre situation? Vous aviez mis votre enfant au courant des enjeux juridiques (pension alimentaire, modalité de garde, etc.) qui vous opposait à l’autre parent.</t>
  </si>
  <si>
    <t>Au-delà des conflits, dans quelle mesure acceptiez-vous et êtiez-vous serein·e avec la séparation (séparation de couple ou familiale)?</t>
  </si>
  <si>
    <t>Dans quelle mesure diriez-vous que vous confiiez à votre enfant votre peine concernant la séparation?</t>
  </si>
  <si>
    <t>Est-ce que votre nouveau ou nouvelle conjoint·e corrigeait votre enfant lorsqu’il était irrespectueux envers vous?</t>
  </si>
  <si>
    <t>Est-ce que votre situation créait certains ou d'importants désaccords entre vous et votre nouveau ou nouvelle conjoint·e face à la façon d’agir avec votre enfant?</t>
  </si>
  <si>
    <t>Dans quelle mesure cet énoncé s'applique à votre situation? L'autre parent (coparent) devait faire des compromis pour assurer une bonne entente de garde.</t>
  </si>
  <si>
    <t>Comment qualifieriez-vous (retrospectivement) la relation et le degré de complicité (ou alliance) entre votre enfant et l'autre parent?</t>
  </si>
  <si>
    <t>Selon vous, dans quelle mesure l'autre parent entretenait une relation fusionnelle avec votre enfant ?</t>
  </si>
  <si>
    <t>Diriez-vous que la relation fusionnelle entre votre enfant et l'autre parent était consciente (intentionnelle) ou inconsciente?</t>
  </si>
  <si>
    <t>Selon vous, dans quelle mesure l’autre parent demandait à votre enfant de garder des secrets et de vous cacher des choses?</t>
  </si>
  <si>
    <t xml:space="preserve">Quelle est la probabilité de l'énoncé suivant? L’autre parent laissait entendre à votre enfant que vous aviez abandonné la famille. </t>
  </si>
  <si>
    <t>Quelle est la probabilité de l'énoncé suivant? L’autre parent laissait entendre à votre enfant que vous ne l’aimiez pas vraiment.</t>
  </si>
  <si>
    <t>Quelle est la probabilité de l'énoncé suivant? L’autre parent laissait entendre à votre enfant que vous souffriez d’une maladie mentale ou que vous êtiez instable psychologiquement.</t>
  </si>
  <si>
    <t>Quelle est la probabilité de l'énoncé? L'autre parent laissait entendre à votre enfant qu’il ou elle n’était pas en sécurité avec vous.</t>
  </si>
  <si>
    <t>Dans quelle mesure diriez-vous que l'autre parent modifiait certains faits (historiques) concernant votre passé à son avantage ou à votre désavantage?</t>
  </si>
  <si>
    <t>Dans quelle mesure cet énoncé s'applique à votre situation? L'autre parent déformait les souvenirs de votre enfant (ex.: souvenirs heureux de la petite enfance vus aujourd'hui négativement).</t>
  </si>
  <si>
    <t xml:space="preserve">Quelle est la probabilité de l'énoncé suivant ?  L’autre parent culpabilisait votre enfant de sa relation ou de son amour pour vous? </t>
  </si>
  <si>
    <t xml:space="preserve">Arrivait-il que l’autre parent boude votre enfant ou se fâche lorsqu'il était temps de rentrer chez vous (à votre tour de garde)? </t>
  </si>
  <si>
    <t xml:space="preserve">Arrivait-il à l’autre parent de se fâcher contre votre enfant lorsqu'il ou elle exprimait de l'affection pour vous? </t>
  </si>
  <si>
    <t>Arrivait-il que l'autre parent vous accable de reproches par courriel ou texto au retour des enfants (après un séjour chez vous)?</t>
  </si>
  <si>
    <t>Dans quelle mesure l'autre parent faisait ou avait déjà fait des menaces (claires ou voilées) de vous enlever les enfants?</t>
  </si>
  <si>
    <t>Arrivait-il à l’autre parent de vous ignorer lorsqu’il ou elle vous croisait à l’école, ou lors des changements de garde ou d'événements sportifs?</t>
  </si>
  <si>
    <t>L'autre parent était d'avis que votre enfant était assez mature pour choisir où et avec qui il voulait vivre ?</t>
  </si>
  <si>
    <t>Dans quelle mesure cet énoncé s'applique-t-il selon vous? L'autre parent vous demandait de respecter les désirs et choix de votre enfant.</t>
  </si>
  <si>
    <t>Dans quelle mesure cet énoncé s'applique-t-il selon vous? L'autre parent questionnait votre enfant à son retour de garde sur les activités qu'il a fait alors qu'il était chez vous.</t>
  </si>
  <si>
    <t>Arrivait-il que l’autre parent vous dénigre en la présence de votre enfant ?</t>
  </si>
  <si>
    <t>Dans quelle mesure cet énoncé s'applique-t-il selon vous? L'autre parent vous renvoyait une image négative de vous-même en tant que parent, ridiculisait vos décisions ou vous insultait?</t>
  </si>
  <si>
    <t>Dans quelle mesure l'autre parent présentait aux autres une vision négative de vos comportements ou de votre santé mentale et compétences parentales?</t>
  </si>
  <si>
    <t xml:space="preserve">Arrivait-il que l’autre parent dénigre ouvertement votre nouvelle famille devant votre enfant? (dénigrement du nouveau ou nouvelle conjoint·e et/ou enfant(s) né(s) d’une nouvelle union) </t>
  </si>
  <si>
    <t xml:space="preserve">Dans quelle mesure diriez-vous que l'autre parent laissait entendre qu'il ou elle représentait la "vraie" famille de votre enfant? </t>
  </si>
  <si>
    <t>Dans quelle mesure diriez-vous que l'autre parent demandait à ce que votre enfant appelle le nouveau ou nouvelle conjoint·e maman ou papa ?</t>
  </si>
  <si>
    <t>Évaluez la fréquence de l'énoncé : l'autre parent vous imposait des changements d’horaires sans vous consulter au préalable et sans votre autorisation.</t>
  </si>
  <si>
    <t xml:space="preserve">Évaluez l'intensité et la fréquence de l'énoncé : l'autre parent ramènait votre enfant à la maison à l'heure qui lui convenait (sans respecter l'entente initiale).    </t>
  </si>
  <si>
    <t xml:space="preserve">Évaluez la fréquence de l'énoncé : l’autre parent organisait et proposait des activités à votre enfant sur votre temps de garde. </t>
  </si>
  <si>
    <t xml:space="preserve">Arrivait-il que l’autre parent organise des activités amusantes, voire irrésistibles à votre enfant alors que c’était votre week-end ou votre semaine avec votre enfant? </t>
  </si>
  <si>
    <t xml:space="preserve">Évaluez la fréquence de l'énoncé : l’autre parent se présentait à la sortie des classes, au service de garde ou à la garderie sur votre temps de garde. </t>
  </si>
  <si>
    <t xml:space="preserve">Évaluez la fréquence et l'intensité de l'énoncé : l’autre parent imposait sa présence en appelant (ou en textant) régulièrement votre enfant durant votre temps de garde. </t>
  </si>
  <si>
    <t xml:space="preserve">Dans quelle mesure l'autre parent vous communiquait les informations médicales, scolaires ou liées aux activités sociales ou sportives de votre enfant? </t>
  </si>
  <si>
    <t>Dans quelle mesure diriez-vous que l'autre parent interdisait aux personnes gravitant autour de votre enfant (professeurs, éducateurs, medecins, entraîneurs, etc.) de vous communiquer de l'information à son sujet?</t>
  </si>
  <si>
    <t>Dans quelle mesure était-il facile de communiquer avec votre enfant lorsqu’il était chez l’autre parent?</t>
  </si>
  <si>
    <t>Dans quelle mesure diriez-vous que l'autre parent contrôlait, écoutait ou écourtait vos conversations téléphoniques avec votre enfant (lorsque chez l’autre parent)?</t>
  </si>
  <si>
    <t>Arrivait-il que l'autre parent se présente à votre domicile sans s'annoncer ou sans invitation?</t>
  </si>
  <si>
    <t>Arrivait-il que l'autre parent vous accable de questions ou de reproches (harcèle) par téléphone ou par courriel?</t>
  </si>
  <si>
    <t xml:space="preserve">Dans quelle mesure diriez-vous que l'autre parent vous considérait comme étant son égal·e sur le plan parental? </t>
  </si>
  <si>
    <t>Dans quelle mesure cet énoncé s'applique-t-il selon vous? L'autre parent sentait qu’il était en compétition avec vous pour l’amour de votre enfant?</t>
  </si>
  <si>
    <t>Dans quelle mesure cet énoncé s'applique-t-il selon vous? L'autre parent estimait que les exigences de la coparentalité (logistique horaire, transport, compromis vacances, etc.) nuisait à sa qualité de vie.</t>
  </si>
  <si>
    <t>Dans quelle mesure diriez-vous que l'identité et la valeur sociale de l'autre parent passait par sa paternité ou sa maternité?</t>
  </si>
  <si>
    <t>Quelle est la probabilité de l'énoncé : l’autre parent cherchait à vous blesser ou à se venger parce que vous aviez brisé ou abandonné la famille?</t>
  </si>
  <si>
    <t>Dans quelle mesure l'autre parent vous appelait par votre prénom devant votre enfant (plutôt que maman ou papa)?</t>
  </si>
  <si>
    <t xml:space="preserve">Cette façon de s'adresser à vous devant votre enfant (prénom versus maman ou papa), était-elle habituelle ou était-ce nouveau depuis la séparation? </t>
  </si>
  <si>
    <t>Dans quelle mesure cet énoncé s'appliquait-il selon vous? L’autre parent considérait son nouveau ou nouvelle conjoint·e comme étant un meilleur parent que vous.</t>
  </si>
  <si>
    <t>Dans quelle mesure diriez-vous que l’autre parent cherchait à limiter les contacts entre votre enfant et votre famille élargie (cousin.es, oncles, tantes, grands-parents, etc.)?</t>
  </si>
  <si>
    <t>Dans quelle mesure cet énoncé s'apliquait à votre situation? L’autre parent permettait à votre enfant d'apporter des objets (jouets ou objets symboliques) ou cadeaux reçus provenant de chez vous?</t>
  </si>
  <si>
    <t>Dans quelle mesure diriez-vous que l'autre parent se disait impuissant et non responsable de la décision de votre enfant de ne plus respecter l'entente de garde?</t>
  </si>
  <si>
    <t xml:space="preserve">Étiez-vous déchu·e (totalement ou en partie) de votre autorité parentale ? </t>
  </si>
  <si>
    <t>Dans quelle mesure diriez-vous que l’autre parent forçait votre enfant à choisir entre ses deux parents?</t>
  </si>
  <si>
    <t>Dans quelle mesure diriez-vous que l’autre parent cherchait à vous exclure de la vie de votre enfant?</t>
  </si>
  <si>
    <t>Quels sont les comportements ou attitudes qui vous laissent croire que l'autre parent cherchait à vous exclure de la vie de votre enfant?</t>
  </si>
  <si>
    <t>Dans quelle mesure diriez-vous que l'autre parent acceptait ou vivait bien avec la séparation (séparation de couple ou familiale)?</t>
  </si>
  <si>
    <t>Dans quelle mesure diriez-vous que l’autre parent confiait à votre enfant sa peine concernant la séparation?</t>
  </si>
  <si>
    <t>Dans quelle mesure diriez-vous que l'autre parent se confiait à votre enfant sur des sujets qui vous étaient personnels ou concernent votre passé (intime)?</t>
  </si>
  <si>
    <t xml:space="preserve">Dans quelle mesure cet énoncé s'applique à votre situation? L'autre parent faisait lire vos échanges et communications (textos, messenger, courriels) à votre enfant. </t>
  </si>
  <si>
    <t>Dans quelle mesure diriez-vous que l'autre parent encourageait ou entretenait un discours dénigrant ou haineux à l’égard de votre nouveau ou nouvelle conjoint·e?</t>
  </si>
  <si>
    <t>Dans quelle mesure diriez-vous que l'autre parent  refusait de vous parler et demandait à votre enfant de faire les messages et autres demandes entourant la logistique familiale?</t>
  </si>
  <si>
    <t>Dans quelle mesure l’autre parent laissait à votre enfant le droit de choisir de respecter ou non l'entente de garde et votre temps (tour) de garde?</t>
  </si>
  <si>
    <t>Dans quelle mesure diriez-vous que l'autre parent demandait à votre enfant de choisir avec quel parent il voulait vivre?</t>
  </si>
  <si>
    <t xml:space="preserve">Selon vous, quels étaient les enjeux les plus importants pour l'autre parent au niveau de la garde des enfants? 
</t>
  </si>
  <si>
    <t>Dans quelle mesure êtes-vous d'accord avec l'énoncé suivant? Aux yeux de votre enfant, tout ce que fait l'autre parent est bien, voire parfait, et tout ce que vous faites est mauvais ou sujet à critiques.</t>
  </si>
  <si>
    <t>Dans quelle mesure diriez-vous que votre enfant s’exprime avec des expressions ou des paroles empruntées à l’autre parent?</t>
  </si>
  <si>
    <t>Comment qualifieriez-vous votre relation (harmonie) et votre degré de complicité avec votre enfant?</t>
  </si>
  <si>
    <t>Dans quelle mesure diriez-vous que votre enfant idéalisait l’autre parent?</t>
  </si>
  <si>
    <t>Dans quelle mesure diriez-vous que la relation entre votre enfant et l'autre parent était fusionnelle?</t>
  </si>
  <si>
    <t>Dans quelle mesure cet énoncé s'applique à votre situation? Votre enfant gardait des secrets et vous cachait de l'information concernant sa relation avec l'autre parent.</t>
  </si>
  <si>
    <t xml:space="preserve">Dans quelle mesure cet énoncé s'applique à votre situation? Votre enfant avait reçu l’ordre de ne pas vous raconter ce qui se passe chez l’autre parent. </t>
  </si>
  <si>
    <t xml:space="preserve">Dans quelle mesure êtes-vous d'accord avec l'énoncé suivant? Votre enfant défendait systématiquement l'autre parent, quoi que vous fassiez, quoi que vous disiez. </t>
  </si>
  <si>
    <t>Dans quelle mesure êtes-vous d'accord avec l'énoncé suivant? Aux yeux de votre enfant, tout ce que faisait l'autre parent était bien, voire parfait, et tout ce que vous faisiez était mauvais ou sujet à critiques.</t>
  </si>
  <si>
    <t>Dans quelle mesure diriez-vous que votre enfant s’exprimait avec des expressions ou des paroles empruntées à l’autre parent?</t>
  </si>
  <si>
    <t xml:space="preserve">Dans quels contextes ou à quelles occasions cela se produisait-il ?
</t>
  </si>
  <si>
    <t>Dans quelle mesure diriez-vous que votre enfant vous accusait ou vous reprochait d'avoir abandonné la famille?</t>
  </si>
  <si>
    <t>Évaluez la fréquence ou l'intensité de l'énoncé : votre enfant croyait que vous souffriez d’une maladie mentale ou que vous étiez instable psychologiquement.</t>
  </si>
  <si>
    <t>Évaluez la fréquence ou l'intensité de l'énoncé : votre enfant vous reprochait ou vous accusait d'être dangereux.se ou de présenter un danger pour sa sécurité.</t>
  </si>
  <si>
    <t>Dans quelle mesure cet énoncé s'applique à votre situation? Votre enfant se sentait coupable de passer du temps avec vous car cela indisposait, contrariait ou faisait de la peine à l'autre parent.</t>
  </si>
  <si>
    <t>Choix de réponses (présent)</t>
  </si>
  <si>
    <t>Choix de réponses (imparfait)</t>
  </si>
  <si>
    <t>E09</t>
  </si>
  <si>
    <t xml:space="preserve">Dans quelle mesure cet énoncé s'applique à votre situation? Votre enfant vous tenait responsable de la peine (détresse) de son autre parent. </t>
  </si>
  <si>
    <t>Dans quelle mesure cet énoncé s'applique à votre situation? Votre enfant cherche à vous convaincre des qualités de l’autre parent.</t>
  </si>
  <si>
    <t>Dans quelle mesure cet énoncé s'applique à votre situation? Votre enfant cherchait à vous convaincre des qualités de l’autre parent.</t>
  </si>
  <si>
    <t>Dans quelle mesure votre enfant vous ignorait lorsqu’il ou elle était en compagnie de l'autre parent et qu'il vous croisait à l’école, lors d'événements sportifs, etc. ?</t>
  </si>
  <si>
    <t>Arrivait-il à votre enfant de dénigrer vos compétences parentales devant l’autre parent ?</t>
  </si>
  <si>
    <t xml:space="preserve">Dans quelle mesure cet énoncé s'applique à votre situation? Votre enfant dénigrait ouvertement votre nouvelle famille (nouveau conjoint + enfant(s) né(s) d’une nouvelle union). </t>
  </si>
  <si>
    <t>Dans quelle mesure votre enfant laissait entendre que sa "vraie" famille était avec l’autre parent ?</t>
  </si>
  <si>
    <t xml:space="preserve">Dans quelle mesure diriez-vous que pour votre enfant, la nouvelle famille de l'autre parent (famille recomposée ou non) avait plus de valeur que la vôtre? </t>
  </si>
  <si>
    <t>Évaluez l'intensité et la fréquence de l'énoncé : il arrivait à votre enfant d'être agressif envers vous à son retour d'un séjour chez l'autre parent.</t>
  </si>
  <si>
    <t>Évaluez la fréquence et/ou l'intensité de l'énoncé : votre enfant vous accusait de voler de l’argent à son autre parent ou d'être responsable de son apauvrissement.</t>
  </si>
  <si>
    <t>Dans quelle mesure arrivait-il à votre enfant de demander à changer les horaires de garde et de visite à la faveur de l'autre parent?</t>
  </si>
  <si>
    <t>Dans quelle mesure arrivait-il à votre enfant d'imposer des changements d’horaires et de visite à la faveur de l'autre parent sans vous consulter au préalable et sans votre autorisation?</t>
  </si>
  <si>
    <t>Arrivait-il à votre enfant de changer d’idée concernant une activité prévue à l’horaire avec vous? D’abord enthousiaste, il trouvait (subitement / dernières minutes) des excuses pour ne pas participer à l’activité?</t>
  </si>
  <si>
    <t>Évaluez l'intensité et/ou la fréquence de l'énoncé : votre enfant subissait une pression pour passer plus de temps chez l'autre parent.</t>
  </si>
  <si>
    <t xml:space="preserve">Dans quelle mesure cet énoncé s'applique à votre situation? Votre enfant ne répondait pas à vos messages (texto, messenger, instagram, etc.) lorsqu’il était chez l’autre parent. </t>
  </si>
  <si>
    <t>Dans quelle mesure cet énoncé s'applique à votre situation? Votre enfant considèrait le nouveau conjoint ou à la nouvelle conjointe comme son père ou sa mère.</t>
  </si>
  <si>
    <t>Êtes-vous d'accord ou pas d'accord avec l'énoncé suivant? Les jouets et les vêtements de votre enfant se promènaient d’une maison à l’autre simplement.</t>
  </si>
  <si>
    <t>Dans quelle mesure cet énoncé s'applique à votre situation? L'autre parent refusait que votre enfant apporte des objets qui proviennent de votre demeure ou de votre milieu.</t>
  </si>
  <si>
    <t>Dans quelle mesure diriez-vous que votre enfant connaissait des informations personnelles ou intimes de vous dont vous n'aviez jamais discuté avec lui?</t>
  </si>
  <si>
    <t>Dans quelle mesure cet énoncé s'applique à votre situation? Les souvenirs de votre enfant vous semblaient être déformés (ex.: souvenirs heureux de la petite enfance vus aujourd'hui négativement).</t>
  </si>
  <si>
    <t>Dans quelle mesure cet énoncé s'applique à votre situation? Votre enfant tenait le rôle de messager et avait la responsabilité de vous communiquer les informations concernant la logistique familiale (ex. : horaires école et activités sportives, gestion lunch, vêtements, etc.).</t>
  </si>
  <si>
    <t>Dans quelle mesure êtes-vous d'accord avec l'énoncé suivant ? Votre enfant se sentait responsable du bonheur de l’autre parent et/ou sentait le besoin de le protéger.</t>
  </si>
  <si>
    <t>Dans quelle mesure êtes-vous d'accord avec l'énoncé suivant? L'autre parent (coparent) avait  informé votre enfant du contexte juridique, financier et autres associé au conflit vous opposant.</t>
  </si>
  <si>
    <t>Dans quelle mesure diriez-vous que votre enfant sentait le besoin de protéger l’autre parent ou de défendre ses intérêts?</t>
  </si>
  <si>
    <t xml:space="preserve">Dans quelle mesure diriez-vous que le comportement et/ou l'attitude de votre enfant changeait en présence de l’autre parent ? </t>
  </si>
  <si>
    <t>Dans quelle mesure notiez-vous un changement au niveau du comportement de votre enfant à son retour de garde?</t>
  </si>
  <si>
    <t>De manière générale, au retour d'un séjour chez l'autre parent, votre enfant vous paraissait :</t>
  </si>
  <si>
    <t>Évaluez la fréquence et l'intensité de l'énoncé : au retour d’un séjour chez l’autre parent, votre enfant vous questionnait sur vos décisions présentes ou passsées ou vous accablait de reproches?</t>
  </si>
  <si>
    <t>Dans quelle mesure votre enfant s'isolait (ex.: chambre) ou se cachait (ex.: toilettes) pour appeler son autre parent afin qu'on n'entende pas ses conversations?</t>
  </si>
  <si>
    <t>Dans quelle mesure diriez-vous que votre enfant a changé ou adapté ses champs d’intérêts pour partager de plus en plus les intérêts de l’autre parent?</t>
  </si>
  <si>
    <t>Dans quelle mesure diriez-vous que votre enfant avait changé ou adapté ses champs d’intérêts pour partager de plus en plus les intérêts de l’autre parent?</t>
  </si>
  <si>
    <t>Évaluez la fréquence et l'intensité de l'énoncé : votre enfant rejetait de plus en plus vos valeurs et vos champs d’intérêts.</t>
  </si>
  <si>
    <t>Dans quelle mesure cet énoncé s'applique votre situation? Votre enfant réclamait le droit de choisir les moments où il vous rend visite et la durée des visites chez vous.</t>
  </si>
  <si>
    <t xml:space="preserve">Évaluez la fréquence et l'intensité de l'énoncé : votre enfant calquait les désirs et les paroles de l’autre parent. </t>
  </si>
  <si>
    <t>Évaluez la fréquence et l'intensité de l'énoncé : votre enfant vous accusait de mentir, de voler, etc.</t>
  </si>
  <si>
    <t>Évaluez la fréquence ou l'intensité de l'énoncé : votre enfant vous reprochait de lui manquer de respect en ne respectant pas ses choix, besoins, désirs, rythme, etc.</t>
  </si>
  <si>
    <t>Dans quelle mesure cet énoncé s'applique à votre situation? Votre enfant avait demandé à changer les termes de la garde afin de passer plus de temps chez l’autre parent</t>
  </si>
  <si>
    <t>Dans quelle mesure cet énoncé s'applique à votre situation? Votre enfant vous avait annoncé qu’à 12 ou 14 ans, il ou elle pourrait choisir les modalités de garde et vivre là où bon lui semble</t>
  </si>
  <si>
    <t xml:space="preserve">Dans quelle mesure cet énoncé s'applique à votre situation? Votre enfant vous avait bloqué des réseaux sociaux (cell/texto, messenger, instagram). </t>
  </si>
  <si>
    <t>Dans quelle mesure diriez-vous que votre enfant refuse les contacts avec votre famille élargie (grands-parents, cousin.es, etc.)?</t>
  </si>
  <si>
    <t>Dans quelle mesure diriez-vous que votre enfant refusait les contacts avec votre famille élargie (grands-parents, cousin.es, etc.)?</t>
  </si>
  <si>
    <t>Comment était la relation de votre enfant avec la famille élargie avant la séparation?</t>
  </si>
  <si>
    <t>Est-ce que votre enfant présente des troubles psychosomatiques en ce moment?</t>
  </si>
  <si>
    <t>Est-ce que votre enfant présentait des troubles psychosomatiques?</t>
  </si>
  <si>
    <t>Quelles étaient les manifestations ou troubles psychosomatiques présents chez votre enfant et à quelle fréquence?</t>
  </si>
  <si>
    <t>Au retour d’un séjour chez l’autre parent, il arrivait à votre enfant d'être agressif envers vous et de vous accabler de reproches. Comment réagissiez-vous ?</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</si>
  <si>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</si>
  <si>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Je restais calme, mais je ne me laissais pas insulter par mon enfant. 
Je l'envoyais réfléchir et lui demandais de revenir lorsqu'il serait calme.
J'imposais des conséquences pour corriger le comportement inadéquat de mon enfant. 
J'étais en colère contre l'autre parent car je savais que le reproche venait de lui et non de mon enfant. Et je le signifiais à mon enfant.  
Aucune de ces réponses </t>
  </si>
  <si>
    <t xml:space="preserve">Si votre enfant vous accusait de mentir, de voler l'argent de l'autre parent, etc. Comment réagissiez-vous ? </t>
  </si>
  <si>
    <t xml:space="preserve"> - Vous tentez de le raisonner et vous vous justifiez. - Vous faites valoir que l'autre parent lui a menti. - Vous êtes blessé·e, vous êtes émotif ou émotive. - Aucune de ces réponses </t>
  </si>
  <si>
    <t xml:space="preserve"> - Vous tentiez de le raisonner et vous vous justifiiez. - Vous faisiez valoir que l'autre parent lui avait menti. - Vous êtiez blessé·e, vous étiez émotif ou émotive. - Aucune de ces réponses </t>
  </si>
  <si>
    <t>Dans quelle mesure êtes-vous d'acord avec l'énoncé suivant ? Le nouveau ou nouvelle conjoint·e jouait un rôle de confident·e auprès de votre enfant ?</t>
  </si>
  <si>
    <t>Dans quelle mesure cette relation de confident.e vous apparaissait être malsaine?</t>
  </si>
  <si>
    <t>Dans quelle mesure cet énoncé s'applique à votre situation? Le nouveau ou nouvelle conjoint·e laissait entendre à votre enfant qu’il ou elle n’était pas en sécurité avec vous.</t>
  </si>
  <si>
    <t>Dans quelle mesure le nouveau ou nouvelle conjoint·e vous ignorait lorsqu’il vous croisait à l’école, lors des changements de garde ou lors d'événements sportifs?</t>
  </si>
  <si>
    <t>Dans quelle mesure arrivait-il que le nouveau ou nouvelle conjoint·e vous critique ou dénigre vos compétences parentales devant votre enfant ?</t>
  </si>
  <si>
    <t>Dans quelle mesure le nouveau ou nouvelle conjoint·e dénigrait vos compétences parentales par texto, courriel ou autres?</t>
  </si>
  <si>
    <t>Évaluez l'intensité de l'énoncé : le nouveau ou nouvelle conjoint·e dénigrait ouvertement votre nouvelle famille devant votre enfant (nouveau conjoint + enfants nés ou non d’une nouvelle union)</t>
  </si>
  <si>
    <t>Dans quelle mesure cet énoncé s'applique à votre situation? Il arrivait que le nouveau ou nouvelle conjoint·e apporte des changements à l’horaire de garde (se substituant à l'autorité de l'autre parent) sans vous consulter au préalable, et sans votre autorisation.</t>
  </si>
  <si>
    <t>Dans quelle mesure cet énoncé s'applique à votre situation? Le nouveau ou nouvelle conjoint·e organisait des activités sur votre temps de garde?</t>
  </si>
  <si>
    <t>Dans quelle mesure cet énoncé s'applique à votre situation? Le nouveau ou nouvelle conjoint·e se présentait à la sortie des classes, au service de garde ou à la garderie sur votre temps de garde.</t>
  </si>
  <si>
    <t>Lorsque vous appeliez votre enfant chez l'autre parent, arrivait-il que le nouveau ou nouvelle conjoint·e interfère, écoute ou écourte vos conversations téléphoniques avec votre enfant?</t>
  </si>
  <si>
    <t>Dans quelle mesure le nouveau ou nouvelle conjoint·e était responsable de la logistique familiale : communication scolaire, rendez-vous médicaux, etc.?</t>
  </si>
  <si>
    <t xml:space="preserve">Évaluez la fréquence et l'intensité de l'énoncé : le nouveau ou nouvelle conjoint·e imposait sa présence en appelant (ou en textant) régulièrement votre enfant durant votre temps de garde. </t>
  </si>
  <si>
    <t>Dans quelle mesure le nouveau ou nouvelle conjoint·e interdisait aux personnes gravitant autour de votre enfant (professeurs, éducateurs, medecins, entraîneurs, etc.) de vous communiquer de l'information au sujet de votre enfant?</t>
  </si>
  <si>
    <t>Dans quelle mesure cet énoncé s'applique à votre situation? Le nouveau ou nouvelle conjoint·e demandait à votre enfant de l'appeler maman ou papa.</t>
  </si>
  <si>
    <t>Dans quelle mesure cet énoncé s'applique à votre situation? Votre relation avec votre enfant s'était fragilisée depuis l'arrivée du nouveau ou nouvelle conjoint·e.</t>
  </si>
  <si>
    <t>Dans quelle mesure cet énoncé s'applique à votre situation? Le nouveau ou nouvelle conjoint·e vous demandait de respecter les désirs et choix de votre enfant.</t>
  </si>
  <si>
    <t>S01</t>
  </si>
  <si>
    <t>S02</t>
  </si>
  <si>
    <t>S03</t>
  </si>
  <si>
    <t>S03a</t>
  </si>
  <si>
    <t>S04</t>
  </si>
  <si>
    <t xml:space="preserve">Êtes-vous en processus juridique actuellement? 
</t>
  </si>
  <si>
    <t xml:space="preserve">Quelles sont les modalités de garde des enfants aujourd'hui?
</t>
  </si>
  <si>
    <t xml:space="preserve">Si vous avez répondu garde partagée (ou garde dite alternée), dans quelle proportion avez-vous la garde? 
</t>
  </si>
  <si>
    <t xml:space="preserve">Durant l’enfance et avant 14 ans, est-ce que vous et/ou votre ex-conjoint·e (coparent) avez vécu l’une des situations familiales suivantes? Cochez les réponses qui s'appliquent. </t>
  </si>
  <si>
    <t xml:space="preserve">Durant l’enfance et avant 14 ans, est-ce que vous et/ou votre ex-conjoint·e (coparent) avez vécu l’une des situations familiales suivantes ? Cochez les réponses qui s'appliquent. </t>
  </si>
  <si>
    <t>Parents</t>
  </si>
  <si>
    <t>Aucun baromètre à cet effet.</t>
  </si>
  <si>
    <t>Si des comportements de VC sont détectés, il y aura mention dans le rapport final de contacter SOS violence conjugale</t>
  </si>
  <si>
    <t>Identifier VC durant la vie commune OU VC post-séparation seulement</t>
  </si>
  <si>
    <t>Analyse au présent
Analyse rétrospective</t>
  </si>
  <si>
    <t>Face à face miroir avec le parent répondant</t>
  </si>
  <si>
    <t>Face à face miroir avec le coparent</t>
  </si>
  <si>
    <t>Facteur d'exclusion :</t>
  </si>
  <si>
    <t>Comportements VC avant la séparation</t>
  </si>
  <si>
    <t>Comportements VC post-séparation</t>
  </si>
  <si>
    <t>Aisance en présence du co-parent</t>
  </si>
  <si>
    <t>Liste entière des comportements miroirs des parents pour évaluer les divergeances ou l'harmonie entre les parents</t>
  </si>
  <si>
    <t>Ils mènent aussi à l'évaluation du CSS, C, et AP.</t>
  </si>
  <si>
    <t>Entre -20 et -12</t>
  </si>
  <si>
    <t>Entre +3 et +7</t>
  </si>
  <si>
    <t>Entre -7 et -3</t>
  </si>
  <si>
    <t>Entre -11 et -8</t>
  </si>
  <si>
    <t>Entre +8 et +11</t>
  </si>
  <si>
    <t>Entre +12 et +20</t>
  </si>
  <si>
    <t>Entre -20 et -15</t>
  </si>
  <si>
    <t>Entre -1 et +1</t>
  </si>
  <si>
    <t>Faire une échelle de  changement</t>
  </si>
  <si>
    <t>Faire une échelle de changement adaptée</t>
  </si>
  <si>
    <t>Les autres comportements indépendants</t>
  </si>
  <si>
    <t>Dans l'application, il devrait cependant apparaitre ailleurs que dans l'échelle</t>
  </si>
  <si>
    <t>La nouvelle famille est "LA vraie"</t>
  </si>
  <si>
    <t>Le nouveau ou la nouvelle conjoint.e se fait appeler "papa" ou "maman"</t>
  </si>
  <si>
    <t>Organise des activités hors de sa garde</t>
  </si>
  <si>
    <t>Contact de l'enfant avec la famille élargie</t>
  </si>
  <si>
    <t>Sujet personnel|intime partagé à l'enfant</t>
  </si>
  <si>
    <t>L'enfant est messager de la logistique</t>
  </si>
  <si>
    <t>Maturité de l'enfant de choisir</t>
  </si>
  <si>
    <t>Transport d'objets d'un domicile à l'autre</t>
  </si>
  <si>
    <t>Analyse de ces comportements intégrés à l'analyse miroir pour l'action - réaction. À intégrer de nouveau à l'analyse de divergence.</t>
  </si>
  <si>
    <t>ACTION - RÉACTION</t>
  </si>
  <si>
    <t>MIROIR</t>
  </si>
  <si>
    <t>Action-Réaction</t>
  </si>
  <si>
    <t>Miroir</t>
  </si>
  <si>
    <t>Indépendants</t>
  </si>
  <si>
    <t>Nb de thèmes étudiés</t>
  </si>
  <si>
    <t>Valeur</t>
  </si>
  <si>
    <t>PCR19</t>
  </si>
  <si>
    <t>Comportemental</t>
  </si>
  <si>
    <t>Émotif</t>
  </si>
  <si>
    <t>Verbal</t>
  </si>
  <si>
    <t>Comportement VC</t>
  </si>
  <si>
    <t>Baromètre CEV</t>
  </si>
  <si>
    <t>Baromètre catégorie</t>
  </si>
  <si>
    <t xml:space="preserve"> Clarifier compréhension de cette note : réactions aux cpts de l'enfant si réponse est positive et incidence élevée </t>
  </si>
  <si>
    <t>Deux SQ à un même niveau, on les additionne et on prend le max entre la Q et les SQ</t>
  </si>
  <si>
    <t>Plusieurs SQ à un même niveau, on additionne les SQ et on prend le max entre la Q et les SQ</t>
  </si>
  <si>
    <t>On prend le MAX entre PFAb et PFAb1</t>
  </si>
  <si>
    <t>On prend la somme des SQ a et b</t>
  </si>
  <si>
    <t>On prend alors le MAX</t>
  </si>
  <si>
    <t>On évalue l'écart entre les attitudes des deux parents face à certains enjeux de coparentalité.</t>
  </si>
  <si>
    <t>Compromis à faire</t>
  </si>
  <si>
    <t>Questions qui démontre des intentions possibles d'exclusion :</t>
  </si>
  <si>
    <t>Score</t>
  </si>
  <si>
    <t>Score Max</t>
  </si>
  <si>
    <t>Possible</t>
  </si>
  <si>
    <t>Probable</t>
  </si>
  <si>
    <t>Aucune</t>
  </si>
  <si>
    <t>intensité</t>
  </si>
  <si>
    <t>10+</t>
  </si>
  <si>
    <t>1 à 5</t>
  </si>
  <si>
    <t>6 à 8</t>
  </si>
  <si>
    <t>9+</t>
  </si>
  <si>
    <t>1 à 9</t>
  </si>
  <si>
    <t>INDICE D'EXCLUSION</t>
  </si>
  <si>
    <t>1 à 2</t>
  </si>
  <si>
    <t>7+</t>
  </si>
  <si>
    <t>3 à 6</t>
  </si>
  <si>
    <t>Baromètres Parents</t>
  </si>
  <si>
    <t>Baromètres Enfants</t>
  </si>
  <si>
    <t>CEV</t>
  </si>
  <si>
    <t>ne peut transporter ses objets d'une demeure à l'autre</t>
  </si>
  <si>
    <t>ne permet pas les objets de l'autre parent chez lui</t>
  </si>
  <si>
    <t>Respect de l'ordonnance de garde</t>
  </si>
  <si>
    <t>À revoir :
Impliquer la sévérité et l'écart (et non seulement l'écart)
Donc, traduire la colonne "Conseils" - rouge, jaune, vert pour lever un drapeau ou pas.</t>
  </si>
  <si>
    <t>Niveau PFA</t>
  </si>
  <si>
    <t>Écart avec PCR</t>
  </si>
  <si>
    <t>Négatif, comportement PCR plus sévère que celui du PFA</t>
  </si>
  <si>
    <t>Positif, comportement PCR plus léger</t>
  </si>
  <si>
    <t>Fais suite soit au formulaire du NC ou du PFA si pas de NC</t>
  </si>
  <si>
    <t>PFA39</t>
  </si>
  <si>
    <t>7 à 10</t>
  </si>
  <si>
    <t>Aucune analyse CSS, AP. Indicateur si &gt;=4 pour le rapport final sur le contexte coparental.</t>
  </si>
  <si>
    <t>Questions de contexte</t>
  </si>
  <si>
    <t>4 à 6</t>
  </si>
  <si>
    <t>Comportements à surveiller</t>
  </si>
  <si>
    <t>Contexte + critère d'exclusion</t>
  </si>
  <si>
    <t>4- Le coparent (et|ou son nouveau conjoint) révèle des comportements aliénants (baromètre "Sévérité des comportements du coparent et du nouveau conjoint"+ baromètre "action-réaction")</t>
  </si>
  <si>
    <t>E37</t>
  </si>
  <si>
    <t>E37a</t>
  </si>
  <si>
    <t>Dans quelle mesure notez-vous un changement au niveau du comportement de votre enfant au moment de retouner chez l'autre parent (changement de garde)?</t>
  </si>
  <si>
    <t>Le parent répondant a la même question. On devrait s'assurer que le PCR ne prend pas des décisions sans l'autre. On pourrait prendre l'écart.</t>
  </si>
  <si>
    <t>Baromètres Co-parent et nouveau conjoint.e (uniquement)</t>
  </si>
  <si>
    <r>
      <t>✓</t>
    </r>
    <r>
      <rPr>
        <b/>
        <sz val="14"/>
        <color theme="1"/>
        <rFont val="Calibri (Corps)"/>
      </rPr>
      <t xml:space="preserve"> indice d'exclusion</t>
    </r>
  </si>
  <si>
    <t>Choix d'école et/ou inscription (primaire et secondaire)
Choix de club|programme sportif
Soins médicaux ou dentaires 
Déménagement (forçant un changement majeur ou autres)
Achat d'une valeur significative (auto, animal,…)
Décisions engendrant des coûts significatifs sans votre consentement préalable
Autre (spécifiez)</t>
  </si>
  <si>
    <t>Écart PFA vs PCR</t>
  </si>
  <si>
    <t>Valeur d'analyse</t>
  </si>
  <si>
    <r>
      <t xml:space="preserve">MAX
</t>
    </r>
    <r>
      <rPr>
        <sz val="10"/>
        <color theme="1"/>
        <rFont val="Calibri (Corps)"/>
      </rPr>
      <t>(Q et SQ et|ou NC)</t>
    </r>
  </si>
  <si>
    <t>2 à 3</t>
  </si>
  <si>
    <t>0 à 3</t>
  </si>
  <si>
    <t>0 à 1</t>
  </si>
  <si>
    <t>4 à 10</t>
  </si>
  <si>
    <t>Min</t>
  </si>
  <si>
    <t>Max</t>
  </si>
  <si>
    <t>Aucun signe</t>
  </si>
  <si>
    <t>Intention faible</t>
  </si>
  <si>
    <t>Indice d'intention d'exclusion</t>
  </si>
  <si>
    <t>Intention possible</t>
  </si>
  <si>
    <t>Intention probable</t>
  </si>
  <si>
    <t>Condition à respecter pour soulever la situation contextuelle dans le rapport final</t>
  </si>
  <si>
    <t>1 à 3</t>
  </si>
  <si>
    <t>2 à 6</t>
  </si>
  <si>
    <t>0 à 5</t>
  </si>
  <si>
    <t>6 à 15</t>
  </si>
  <si>
    <t>16 à 30</t>
  </si>
  <si>
    <t>Absent</t>
  </si>
  <si>
    <t>CONTEXTE À RISQUE de CONFLIT</t>
  </si>
  <si>
    <t>31 à 55</t>
  </si>
  <si>
    <t>Risque absent</t>
  </si>
  <si>
    <t>Risque faible</t>
  </si>
  <si>
    <t>Risque modéré</t>
  </si>
  <si>
    <t>Risque élevé</t>
  </si>
  <si>
    <t>Score ajusté</t>
  </si>
  <si>
    <t>0 -19</t>
  </si>
  <si>
    <t>20 à 39</t>
  </si>
  <si>
    <t>40 à 89</t>
  </si>
  <si>
    <t>90 à 200</t>
  </si>
  <si>
    <t>À soulever dans le rapport</t>
  </si>
  <si>
    <t>Indice de risque contextuelle:</t>
  </si>
  <si>
    <t>Nombre de thèmes</t>
  </si>
  <si>
    <t>On donne un diagnostique à un concept selon les critères suivants :</t>
  </si>
  <si>
    <t>AP :</t>
  </si>
  <si>
    <t>CL :</t>
  </si>
  <si>
    <t>CSS :</t>
  </si>
  <si>
    <t>Il y a AP si :</t>
  </si>
  <si>
    <t>PFA+NC OU PCR ont un comportement aliénant ET l'enfant répond à ce comportement</t>
  </si>
  <si>
    <t>Il n'y a pas AP si l'enfant ne répond pas au comportement, même s'il y a comportement derrière.</t>
  </si>
  <si>
    <t>Léger</t>
  </si>
  <si>
    <t>Obsessif</t>
  </si>
  <si>
    <t>Risque contextuel :</t>
  </si>
  <si>
    <t>Indice d'exclusion:</t>
  </si>
  <si>
    <t>Écart :</t>
  </si>
  <si>
    <t>Au moment de retouner chez l'autre parent (changement de garde), votre enfant vous paraît :</t>
  </si>
  <si>
    <t>PFA40</t>
  </si>
  <si>
    <t>Réflexion</t>
  </si>
  <si>
    <t>Fusion</t>
  </si>
  <si>
    <t>Accable de reproches</t>
  </si>
  <si>
    <t>Mature pour choisir</t>
  </si>
  <si>
    <t>Nouvelle famille meilleure</t>
  </si>
  <si>
    <t>Activités amusantes sur votre temps</t>
  </si>
  <si>
    <t>Cache l'info</t>
  </si>
  <si>
    <t>Décision sans consentement</t>
  </si>
  <si>
    <t>Force l'enfant à choisir</t>
  </si>
  <si>
    <t>Demande à l'enfant de choisir</t>
  </si>
  <si>
    <t>Enjeux concernant la garde</t>
  </si>
  <si>
    <t>Ajouter la question sur l'univers social hijacker par le coparent</t>
  </si>
  <si>
    <t>Combo 1 Fusion</t>
  </si>
  <si>
    <t>Réflexion COMBOS</t>
  </si>
  <si>
    <t>Dynamique d'AP</t>
  </si>
  <si>
    <t>à</t>
  </si>
  <si>
    <t>Thème générateur de</t>
  </si>
  <si>
    <t xml:space="preserve">Si le PFA a des comportements aliénants, </t>
  </si>
  <si>
    <t>Indice d'exclusion!</t>
  </si>
  <si>
    <t>Indice contextuel!</t>
  </si>
  <si>
    <t>Dans le rapport final</t>
  </si>
  <si>
    <t>Comportements indépendants des parents non-étudiés en AP, CL, CSS (Seuls les comportements de l'enfant fait) - Valider</t>
  </si>
  <si>
    <t>Indice binaire - Équivalence entre les concepts</t>
  </si>
  <si>
    <t>Indice de répartition AP - CL</t>
  </si>
  <si>
    <t>Indice boosté</t>
  </si>
  <si>
    <t>Binaire</t>
  </si>
  <si>
    <t>Boosté</t>
  </si>
  <si>
    <t xml:space="preserve">                                                                                                                                    </t>
  </si>
  <si>
    <t>Sérénité et confidence face à la séparation</t>
  </si>
  <si>
    <t>Est-ce que cela créé un déclencheur?</t>
  </si>
  <si>
    <t xml:space="preserve">compt. fragilise la relation parent-enfant ou les individus, enclenche rôle de protecteur, demande de faire un choix / choisir son camp </t>
  </si>
  <si>
    <t xml:space="preserve">instrumentalisation de l'enfant qui rend le actif / force la prise d'otage psycho ou physique </t>
  </si>
  <si>
    <t>pas un CL quand enfant est blessé dans son ego / sécurité et fragilisé ex.: maman ne t'aime plus = direct AP pas CL</t>
  </si>
  <si>
    <t xml:space="preserve">traitement nveau conjoint pour l'AP : cpt actif = + / cpt passif = - </t>
  </si>
  <si>
    <t>E16a1</t>
  </si>
  <si>
    <t>E16a2</t>
  </si>
  <si>
    <t>E16a3</t>
  </si>
  <si>
    <t xml:space="preserve">Selon les occasions
</t>
  </si>
  <si>
    <t>sq1 (s'active si E16a = à la faveur du coparent)</t>
  </si>
  <si>
    <t>E20a</t>
  </si>
  <si>
    <t xml:space="preserve">Majoritairement à ma faveur (parent répondant)
</t>
  </si>
  <si>
    <t xml:space="preserve">Majoritairement à la faveur de l'autre parent(coparent)
</t>
  </si>
  <si>
    <t>B12</t>
  </si>
  <si>
    <t>NC04a</t>
  </si>
  <si>
    <t>NC07a</t>
  </si>
  <si>
    <t>NC04b</t>
  </si>
  <si>
    <t>B12a</t>
  </si>
  <si>
    <t>B12b</t>
  </si>
  <si>
    <t>B12c</t>
  </si>
  <si>
    <t>B12d</t>
  </si>
  <si>
    <t xml:space="preserve">Bonne  </t>
  </si>
  <si>
    <t>Courtoise</t>
  </si>
  <si>
    <t xml:space="preserve">Difficile </t>
  </si>
  <si>
    <t>Conflictuelle</t>
  </si>
  <si>
    <t xml:space="preserve">Jamais / Rarement / Occasionnellement / Régulièrement / Souvent / Toujours / S.O. </t>
  </si>
  <si>
    <t>Toujours / Souvent / Régulièrement / Occasionnellement / Rarement / Jamais / S.O.</t>
  </si>
  <si>
    <t>AJOUTÉ</t>
  </si>
  <si>
    <t>Questionnaire
NOUVEAU CONJOINT.E</t>
  </si>
  <si>
    <t>s'active que si B11(entente de garde non-respectée) &gt;=4;OU PCR01a(4+) OU PCR02 (4+)</t>
  </si>
  <si>
    <t>E35b</t>
  </si>
  <si>
    <t xml:space="preserve">Bonne relation avec contacts réguliers </t>
  </si>
  <si>
    <t>Bonne relation avec peu de contact</t>
  </si>
  <si>
    <t xml:space="preserve">Bonne relation sans contact  </t>
  </si>
  <si>
    <t xml:space="preserve">Relation difficile </t>
  </si>
  <si>
    <t xml:space="preserve">Relation inexistante </t>
  </si>
  <si>
    <t xml:space="preserve">Bonne relation avec contacts sporadiques </t>
  </si>
  <si>
    <t>Devrions-nous BOOSTER le baromètre de chaque acteur devant des questions qui ne seraient pas impliquer dans le calcul, par exemple le refus de la famille élargie?</t>
  </si>
  <si>
    <t>Comportement arrivée-départ</t>
  </si>
  <si>
    <t>Champion du parent</t>
  </si>
  <si>
    <t>PCR01a1</t>
  </si>
  <si>
    <t>- Préparation des repas (et boîte à lunch) des enfants
- Accompagnement des devoirs
- Gestion des vêtements
- Choix des activités sportives
- Question d'argent
- Autres</t>
  </si>
  <si>
    <t>- Préparation des repas (et boîte à lunch) des enfants
- Accompagnement des devoirs
- Gestion des vêtements
- Choix des activités sportives
- Autre (spécifiez)</t>
  </si>
  <si>
    <t>Quels sont les sujets délicats entre vous et l'autre parent ?</t>
  </si>
  <si>
    <t>- Nutrition
- Gestion du temps de garde
- Questions d'argent
- Accompagnement des devoirs
- Gestion des vêtements
- Choix des activités sportives
- Autre (spécifiez)</t>
  </si>
  <si>
    <t>PFA23a</t>
  </si>
  <si>
    <t>Quelle est la probabilité de l'énoncé suivant? L'autre parent s'invite dans l'univers social de l'enfant.</t>
  </si>
  <si>
    <t>Bloc parent</t>
  </si>
  <si>
    <t>Bloc enfant</t>
  </si>
  <si>
    <t>L'enfant dans la dynamique</t>
  </si>
  <si>
    <t>Les 8 comportements de l'AP</t>
  </si>
  <si>
    <t>Rejet de la famille élargie et valeurs</t>
  </si>
  <si>
    <t xml:space="preserve">Coalition avec un parent et distanciation avec l’autre ; </t>
  </si>
  <si>
    <t xml:space="preserve">Craintes multiples (représailles, de décevoir, se faire abandonner, de faire de la peine et soulever la colère) ; </t>
  </si>
  <si>
    <t xml:space="preserve">Discrédite le parent, comportements agressifs, assaillants (fausses accusations, reproches non justifiés, discours clivé emprunté au parent aliénant) ; </t>
  </si>
  <si>
    <t xml:space="preserve">Manipulation de la réalité (mentir, prendre la défense du parent aliénant, absence de culpabilité) ; </t>
  </si>
  <si>
    <t xml:space="preserve">Participation active aux conflits ; Exagération des faits, les déformer ; </t>
  </si>
  <si>
    <t xml:space="preserve">Passivité et inhibition du discours (passif et soumis aux exigences du parent aliénant) ; </t>
  </si>
  <si>
    <t xml:space="preserve">Changement d’attitudes et de comportements selon le parent avec lequel il est, selon les témoins (selon le degré d’AP). </t>
  </si>
  <si>
    <t>Total</t>
  </si>
  <si>
    <t>Rejet de la famille élargie et valeurs (DIFF)</t>
  </si>
  <si>
    <t>H04a1</t>
  </si>
  <si>
    <t>Valeut totale</t>
  </si>
  <si>
    <t># comport.</t>
  </si>
  <si>
    <t># compt.</t>
  </si>
  <si>
    <t>Moyenne</t>
  </si>
  <si>
    <t>Moyenne de fréquence</t>
  </si>
  <si>
    <t>PFA20a1</t>
  </si>
  <si>
    <t>PFA20a1a</t>
  </si>
  <si>
    <t>J'ai une très bonne relation</t>
  </si>
  <si>
    <t>J'ai une bonne relation</t>
  </si>
  <si>
    <t>Condition de considération</t>
  </si>
  <si>
    <t>Comportements adultoides</t>
  </si>
  <si>
    <t>J'ai une relation difficile</t>
  </si>
  <si>
    <t>Je suis en rupture de contact physique</t>
  </si>
  <si>
    <t>Période adolescente difficile</t>
  </si>
  <si>
    <t>L'anxiété de séparation fragilise mon lien affectif</t>
  </si>
  <si>
    <t>Le conflit parental fragilise mon lien affectif</t>
  </si>
  <si>
    <t>Aucune communication ou contact</t>
  </si>
  <si>
    <t xml:space="preserve">Rapport final : </t>
  </si>
  <si>
    <t>sq2 (s'active si B12 à tous sauf très bonne et bonne relation)</t>
  </si>
  <si>
    <t>sq2 (s'active si B12 en rupture seulement)</t>
  </si>
  <si>
    <t xml:space="preserve">Je suis en rupture de lien affectif </t>
  </si>
  <si>
    <t>J'ai une très bonne relation
J'ai une bonne relation
J'ai une relation difficile
Mon lien est fragilisé par le contexte familial
Je suis en rupture de lien affectif 
Je suis en rupture de contact physique</t>
  </si>
  <si>
    <t>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t>
  </si>
  <si>
    <t>Aucune ces réponses</t>
  </si>
  <si>
    <t>S'active si non-respect de la garde OU B12a = anxiété de séparation  ++++</t>
  </si>
  <si>
    <t>Aucune (1) à Excellente (10)</t>
  </si>
  <si>
    <t>S'active si B12 = relation difficile +++</t>
  </si>
  <si>
    <t>E27a1</t>
  </si>
  <si>
    <t>sq1 (s'active si E27a = taciturne à agressif)</t>
  </si>
  <si>
    <t>S'ouvre avec PFA11&gt;= condition</t>
  </si>
  <si>
    <t>NC04a1</t>
  </si>
  <si>
    <t>s'ouvre si NC04a &gt;= condition</t>
  </si>
  <si>
    <t>Max Q et SQ</t>
  </si>
  <si>
    <t>Addition des sous-questions de même niveau</t>
  </si>
  <si>
    <t>Identifiant</t>
  </si>
  <si>
    <t>Valeur entrée</t>
  </si>
  <si>
    <t>PFA29b</t>
  </si>
  <si>
    <t>Custom</t>
  </si>
  <si>
    <t>Épisode de dépression (pour vous ou l'autre parent)</t>
  </si>
  <si>
    <t>Épisode de violence (de votre part ou de l'autre parent)</t>
  </si>
  <si>
    <t>Infidélité (de votre part ou de l'autre parent)</t>
  </si>
  <si>
    <t xml:space="preserve">Événement déclencheur (ex.: déménagement, deuil,...) </t>
  </si>
  <si>
    <t>Choix d'école et/ou inscription (primaire et secondaire)
Choix de club|programme sportif ou calendrier sportif
Soins médicaux ou dentaires
Déménagement (forçant un changement majeur ou autres)
Achat d'une valeur significative (auto, animal,…)
Décisions engendrant des coûts significatifs sans votre consentement préalable
Autre (spécifiez)</t>
  </si>
  <si>
    <t>- Pension alimentaire (enjeux financiers) 
- Souhaite refaire sa vie / nouvelle vie et vous êtes de trop
- Ne veut pas faire de compromis sur la logistique familiale ou le temps passé avec les enfants 
- Souhaite vous blesser et se venger en vous retirant les enfants
- S'approprie les enfants (désir de garde exclusive)
- Aucun
- Autre (spécifiez)</t>
  </si>
  <si>
    <t>PCR20</t>
  </si>
  <si>
    <t xml:space="preserve">- Garde partagée (ou garde dite alternée) 
- Garde exclusive pour vous 
- Garde exclusive pour l'autre parent 
- Aucune garde établie 
- Accès supervisés pour vous
- Accès supervisés pour l'autre parent
- Jeune adulte autonome
- Autre </t>
  </si>
  <si>
    <t xml:space="preserve">- 50% / 50% 
- Plus de 60% pour vous
- Moins de 40% pour vous  
- Fin de semaine seulement pour vous
- Autre (veuillez préciser) </t>
  </si>
  <si>
    <t>Résultat intermédiaire par question</t>
  </si>
  <si>
    <t>Intervalle du gradiant d'AP par acteur</t>
  </si>
  <si>
    <t>Résultat de l'indice AP de l'acteur</t>
  </si>
  <si>
    <t>Résultat du bloc parenté</t>
  </si>
  <si>
    <t>Ne fait pas parti des calculs de l'indice AP</t>
  </si>
  <si>
    <t>Le résultat final qui représente l'indice AP par acteur</t>
  </si>
  <si>
    <t>Valeur de base que l'usager entre. Cette valeur se transporte dans le fichier TEST_Bible</t>
  </si>
  <si>
    <t>Le résultat retourné par le Test_Bible EST ICI</t>
  </si>
  <si>
    <t>Le résultat de chaque bloc parenté est ICI</t>
  </si>
  <si>
    <t>Intensité 0 si fréquence PFA31&lt;=2</t>
  </si>
  <si>
    <t>Intensité 0 si fréquence PCR01&lt;=2</t>
  </si>
  <si>
    <t>intensité 2 si âge (B06) &gt;= 8 ans;
Intensité 3 si âge (B06) &lt; 8ans</t>
  </si>
  <si>
    <t>sq1 (s'active si E37&gt;=condition)</t>
  </si>
  <si>
    <t>Intensité 0 si fréquence NC01&lt;=2</t>
  </si>
  <si>
    <t>E7</t>
  </si>
  <si>
    <t>Tout le bloc s'active que s'il y a un nouveau conjoint seulement (B08)</t>
  </si>
  <si>
    <t>ouvre lorsque NC04 = neutre à conflictuelle</t>
  </si>
  <si>
    <t>S'active si PCR a nouveau conjoint (B07)</t>
  </si>
  <si>
    <t>=ouvre lorsque NC04 = neutre à conflictuelle</t>
  </si>
  <si>
    <t>s'ouvre si NC07 &gt;= condition</t>
  </si>
  <si>
    <t>sq1 (s'active si H06&gt;=condition)</t>
  </si>
  <si>
    <t>S'active si B11&lt;=2</t>
  </si>
  <si>
    <t>échelle non utilisée</t>
  </si>
  <si>
    <t xml:space="preserve">Nulle / Très faible / Faible / Moyenne / Élevée / Très élevée / S.O. </t>
  </si>
  <si>
    <t>Très élevée / Élevée / Moyenne / Faible / Très faible / Nulle / S.O.</t>
  </si>
  <si>
    <t>E5B</t>
  </si>
  <si>
    <t>Pas du tout / Très peu / Un peu / Moyennement / Grandement / Totalement / S.O.</t>
  </si>
  <si>
    <t>Totalement / Grandement / Moyennement / Un peu / Très peu / Pas du tout / S.O.</t>
  </si>
  <si>
    <t>Souhaitez-vous faire une analyse au présent ou de manière rétrospective ?</t>
  </si>
  <si>
    <t xml:space="preserve">Quelle a été la durée de vie commune avec l'autre parent (coparent) ?
</t>
  </si>
  <si>
    <t xml:space="preserve">Depuis combien de temps êtes vous séparé·e de l'autre parent (coparent) ? </t>
  </si>
  <si>
    <t xml:space="preserve">Quelle est votre situation familiale actuelle ? </t>
  </si>
  <si>
    <t xml:space="preserve">Quelle est la situation familiale actuelle de l'autre parent (coparent) ?
</t>
  </si>
  <si>
    <t>Dans quelle mesure l'entente de garde et/ou les droits d'accès sont-ils respectés ?</t>
  </si>
  <si>
    <t xml:space="preserve">Comment qualifieriez-vous votre relation avec votre enfant ? 
</t>
  </si>
  <si>
    <t>Quels types de difficultés relationnelles rencontrez-vous ?</t>
  </si>
  <si>
    <t xml:space="preserve">Ces difficultés relationnelles sont-elles récentes ? </t>
  </si>
  <si>
    <t>select-single</t>
  </si>
  <si>
    <t>Dans quelle mesure diriez-vous que leur relation était fusionnelle ?</t>
  </si>
  <si>
    <t>Dans quelle mesure diriez-vous que votre enfant idéalisait l’autre parent ?</t>
  </si>
  <si>
    <t>Je communique avec le coparent / rarement, au besoin seulement/ 1 à 2 fois semaine / 3 à 5 fois semaine / tous les jours / plusieurs fois par jour / S.O.</t>
  </si>
  <si>
    <t xml:space="preserve">Jamais / Rarement, au besoin seulement / 1 à 2 fois semaine / 3 à 5 fois semaine / Tous les jours / Plusieurs fois par jour / S.O. </t>
  </si>
  <si>
    <t>Nulle / Très faible / Faible / Moyenne / Élevée / Très élevée / S.O.</t>
  </si>
  <si>
    <t>L’autre parent vous salue lors de changements de garde, à l'école ou lors d'événements culturels ou sportifs.</t>
  </si>
  <si>
    <t xml:space="preserve">L'autre parent est d'avis que votre enfant est assez mature pour choisir où il doit vivre et avec quel parent.  </t>
  </si>
  <si>
    <t>L'autre parent questionne votre enfant à son retour de garde afin de connaître la routine (repas, dodo, activités, etc.) chez vous.</t>
  </si>
  <si>
    <t xml:space="preserve">Nulle / Très faible / Faible / Moyenne / Élevée / Très élevée / S.O.  </t>
  </si>
  <si>
    <t xml:space="preserve">Nulle / Très faible / Faible / Moyenne / Élevée / Très élevée / S.O.   </t>
  </si>
  <si>
    <t>À quelle fréquence l’autre parent communique-t-il ou elle avec votre enfant durant votre temps de garde ? (tél., textos, réseaux sociaux, etc.)</t>
  </si>
  <si>
    <t>L'autre parent vous communique les informations médicales, scolaires et liées aux activités sociales ou sportives de votre enfant.</t>
  </si>
  <si>
    <t>L'autre parent demande aux personnes gravitant autour de votre enfant (profs, médecins, entraîneurs, etc.) de ne PAS vous communiquer de l'information à son sujet.</t>
  </si>
  <si>
    <t>Arrive-t-il que l'autre parent contrôle, écoute ou écourte vos conversations téléphoniques avec votre enfant (lors de son tour de garde) ?</t>
  </si>
  <si>
    <t xml:space="preserve">Dans quelle mesure diriez-vous que l'autre parent vous considère comme étant son égal·e sur le plan parental ? </t>
  </si>
  <si>
    <t xml:space="preserve">L’autre parent permet à votre enfant d'apporter des objets (jouets ou cadeaux reçus) provenant de chez vous. </t>
  </si>
  <si>
    <t>L’autre parent cherche à vous exclure de la vie de votre enfant.</t>
  </si>
  <si>
    <t>L’autre parent incite, consciemment ou inconsciemment, votre enfant à choisir entre ses deux parents.</t>
  </si>
  <si>
    <t>Est-ce que l'autre parent fait ou a déjà fait des menaces (claires ou voilées) de vous enlever les enfants ?</t>
  </si>
  <si>
    <t>Dans quelle mesure diriez-vous que l'autre parent se confie à votre enfant sur des sujets qui vous sont personnels ou qui concernent votre passé (intime) ?</t>
  </si>
  <si>
    <t>Arrive-t-il à votre enfant d'être agressif envers vous au retour d'un séjour (tour de garde) chez l'autre parent ?</t>
  </si>
  <si>
    <t>Arrive-t-il à votre enfant de vous accuser de voler de l’argent à son autre parent ou d'être responsable de son apauvrissement ?</t>
  </si>
  <si>
    <t>Arrive-t-il à votre enfant de changer d’idée concernant une activité prévue à l’horaire avec vous ?  D’abord enthousiaste, votre enfant trouve subitement (dernière minute) des excuses pour ne pas participer à l’activité ?</t>
  </si>
  <si>
    <t>Dans quelle mesure la présence du nouveau ou nouvelle conjoint·e apporte-t-elle chez votre enfant une confusion au niveau des rôles parentaux ?</t>
  </si>
  <si>
    <t xml:space="preserve">Dans quelle mesure diriez-vous que l'autre parent accepte que votre enfant apporte des objets qui proviennent de votre demeure ou de votre milieu ? </t>
  </si>
  <si>
    <t>Dans quelle mesure diriez-vous que votre enfant sent le besoin de protéger l’autre parent ou de défendre ses intérêts ?</t>
  </si>
  <si>
    <t>Dans quelle mesure notez-vous un changement au niveau du comportement de votre enfant à son retour de garde ?</t>
  </si>
  <si>
    <t>Dans quelle mesure diriez-vous que votre enfant change ou adapte ses champs d’intérêts pour partager les intérêts de l’autre parent ?</t>
  </si>
  <si>
    <t>Dans quelle mesure diriez-vous que votre enfant rejette vos valeurs et vos champs d’intérêts.</t>
  </si>
  <si>
    <t>Comment qualiferiez-vous la relation entre votre enfant et votre famille élargie  (cousin.es, grands-parents, etc.) ?</t>
  </si>
  <si>
    <t xml:space="preserve">Bonne relation avec contacts réguliers 
Bonne relation avec contacts sporadiques 
Bonne relation avec peu de contact
Bonne relation sans contact  
Relation difficile 
Relation inexistante 
</t>
  </si>
  <si>
    <t>Dans quelle mesure diriez-vous que votre enfant accepte les contacts avec votre famille élargie  (cousin.es, grands-parents, etc.) ?</t>
  </si>
  <si>
    <t>Comment était la relation de votre enfant avec la famille élargie avant la séparation ?</t>
  </si>
  <si>
    <t xml:space="preserve">Vous notez un changement de comportement chez votre enfant au moment de retouner chez l'autre parent (changement de garde). </t>
  </si>
  <si>
    <t>Dans quelle mesure cette relation de confident·e vous apparaît être saine ?</t>
  </si>
  <si>
    <t xml:space="preserve">Le nouveau ou nouvelle conjoint·e est responsable de la logistique familiale (communications scolaires, rendez-vous médicaux, etc.). </t>
  </si>
  <si>
    <t>Dans quelle mesure diriez-vous que votre relation avec votre enfant est fragilisée depuis l'arrivée du nouveau ou nouvelle conjoint·e ?</t>
  </si>
  <si>
    <t>Arrivée d'un nouveau ou nouvelle conjoint·e</t>
  </si>
  <si>
    <t xml:space="preserve">Au retour d’un séjour chez l’autre parent : 
Votre enfant est agressif envers vous et vous accable de reproches. Comment réagissez-vous ?
</t>
  </si>
  <si>
    <t>Au retour d’un séjour chez l’autre parent :
Votre enfant vous accuse de mentir ou de voler l'argent de l'autre parent. Comment réagissez-vous ?</t>
  </si>
  <si>
    <t>Selon les occasions / Majoritairement à ma faveur (parent répondant) / Majoritairement à la faveur de l'autre parent (coparent)</t>
  </si>
  <si>
    <t>Changement de la santé de l'enfant</t>
  </si>
  <si>
    <t>(1)Dénigre le parent répondant</t>
  </si>
  <si>
    <t>(2)Il donne des raisons absurdes (incl. Souvenirs déformés)</t>
  </si>
  <si>
    <t>De votre côté-vous, respectez-vous les ordonnances et l'entente de garde ?</t>
  </si>
  <si>
    <t>sq1 (s'active si H04a&gt;=condition)</t>
  </si>
  <si>
    <t>sq1 (s'active si PCR01&gt;=condition)</t>
  </si>
  <si>
    <t>sq1 (s'active si PCR01&lt;condition)</t>
  </si>
  <si>
    <t>- Nutrition
- Gestion du temps de garde
- Questions d'argent
- Accompagnement des devoirs
- Gestion des vêtements
- Choix des activités culturelles ou sportives
- Autres</t>
  </si>
  <si>
    <t>- Préparation des repas ou boîte à lunch des enfants
- Accompagnement des devoirs
- Gestion des vêtements
- Choix des activités culturelles ou sportives
- Hygiène
- Autres</t>
  </si>
  <si>
    <t>sq1 (s'active si PCR01a&gt;=condition)</t>
  </si>
  <si>
    <t>En union</t>
  </si>
  <si>
    <t>Famille recomposée</t>
  </si>
  <si>
    <t>Célibataire
En union
Famile recomposée</t>
  </si>
  <si>
    <t>Au nom d'une autre mère 
Au nom d'un autre père 
Au nom d'un autre parent (non binaire)</t>
  </si>
  <si>
    <t>S'active si B00&gt;=4</t>
  </si>
  <si>
    <t xml:space="preserve">moins de 2 ans
2 à 5 ans
5 à 10 ans
10 à 20 ans 
plus de 20 ans  </t>
  </si>
  <si>
    <t>moins de 2 ans</t>
  </si>
  <si>
    <t>Intensité 3 (si fréquence &gt;= 2 ET si Temps de séparation (B04) &gt;= 3)</t>
  </si>
  <si>
    <t>Est-ce que l'autre parent vous demande de respecter les désirs et les choix de votre enfant ?</t>
  </si>
  <si>
    <t>DIFF</t>
  </si>
  <si>
    <t>intensité 1 si âge (B06) &lt;= 10 ans;
Intensité 2 si âge (B06) &gt; 10 ans</t>
  </si>
  <si>
    <t>sq1 (s'active si PFA16b&gt;=condition)</t>
  </si>
  <si>
    <t>Intensité 3 si fréquence &gt;= 7 ET si (Temps de séparation (B04) &gt;=3(2 ans) ET âge (B06) &gt;8 ans)</t>
  </si>
  <si>
    <t>Intensité 3 = (si fréquence &gt;= 4 ET si Temps de séparation B04&gt;=3 (2 ans)</t>
  </si>
  <si>
    <r>
      <rPr>
        <sz val="12"/>
        <color theme="1"/>
        <rFont val="Calibri (Corps)"/>
      </rPr>
      <t>L'intensité augmente si la</t>
    </r>
    <r>
      <rPr>
        <sz val="12"/>
        <color theme="1"/>
        <rFont val="Calibri"/>
        <family val="2"/>
        <scheme val="minor"/>
      </rPr>
      <t xml:space="preserve"> SQ s'ouvre et est égale à 2 ("Nouveau")</t>
    </r>
  </si>
  <si>
    <t>S'active si non-respect de la garde (&gt;=4) OU B12 = difficile +++(&gt;=3)</t>
  </si>
  <si>
    <t>Intensité 3 si fréquence &gt;= 2 ET si (Temps de séparation (B04) &gt;=3 (2 ans+) Et âge (B06) &gt; 8 ans)</t>
  </si>
  <si>
    <t>Intensité 2 si âge enfant (B06) &lt;= 8 ans;</t>
  </si>
  <si>
    <t>Intensité 2 si temps de séparation (B04) &gt;=3 ( 2 ans+);</t>
  </si>
  <si>
    <t>sq1 (s'active si E06&gt;=condition)</t>
  </si>
  <si>
    <t>Le contexte familial fragilise mon lien</t>
  </si>
  <si>
    <t>S'active si non-respect de la garde(B11&gt;=4) OU B12a =&gt;2 (anxiété de séparation  ++++)</t>
  </si>
  <si>
    <t>Intensité 3 si âge (B06) &lt;= 8 ans</t>
  </si>
  <si>
    <t>Intensité 3 si âge (B06) &lt;= 10 ans</t>
  </si>
  <si>
    <t>S'active si B12 &gt;=3 relation difficile +++</t>
  </si>
  <si>
    <t>Un traumatisme vécu par vous, le coparent ou l'enfant pourrait-il expliquer la rupture de contact ou de lien avec votre enfant ? Choix multiples</t>
  </si>
  <si>
    <t>Somme:</t>
  </si>
  <si>
    <t>Somme</t>
  </si>
  <si>
    <t>somme:</t>
  </si>
  <si>
    <t>sq1 (s'active si PFA23&gt;=condition)</t>
  </si>
  <si>
    <t>somme</t>
  </si>
  <si>
    <t>Chaque choix de réponse s'active si le même choix de la question 36a est &gt;0</t>
  </si>
  <si>
    <t>S'ouvre si E27 &gt;= 4 (retour de garde de l'enfant)</t>
  </si>
  <si>
    <t>S'ouvre si E04 OU E32 &gt;= 4 (défend l'autre parent OU accuse de voler)</t>
  </si>
  <si>
    <t>PCR - B</t>
  </si>
  <si>
    <t>sq1, Diff</t>
  </si>
  <si>
    <t>E36a1</t>
  </si>
  <si>
    <t>sq2, Diff</t>
  </si>
  <si>
    <t xml:space="preserve">Diff </t>
  </si>
  <si>
    <t>Diff</t>
  </si>
  <si>
    <t>(4)Penseur indépendant</t>
  </si>
  <si>
    <t>(5)Champion du parent aliénant</t>
  </si>
  <si>
    <t>(6)Absence de culpabilité</t>
  </si>
  <si>
    <t>(7)Propos d'adultes</t>
  </si>
  <si>
    <t>(8) Rejet de la famille élargie et valeurs</t>
  </si>
  <si>
    <t>(3)Manque d'ambivalence (noir ou blanc)</t>
  </si>
  <si>
    <t>En risque de perte de lien</t>
  </si>
  <si>
    <t>EN AP</t>
  </si>
  <si>
    <t>Que les questions qui impliquent un action ou geste de l'enfant sont conservés dans cette analyse</t>
  </si>
  <si>
    <t>Comportements non-utilisés dans cette analyse</t>
  </si>
  <si>
    <t>??? Ressenti ou action (exclure)</t>
  </si>
  <si>
    <t>E3a|b</t>
  </si>
  <si>
    <t>Changement</t>
  </si>
  <si>
    <t>On peut mettre un tableau de lecture croisée</t>
  </si>
  <si>
    <t>Recommendation : Surveiller les symptômes X,Y,Z.</t>
  </si>
  <si>
    <t>N'hésitez pas à consulter pour avoir de l'aide pour l'enfant</t>
  </si>
  <si>
    <t xml:space="preserve">Retour et départ de garde </t>
  </si>
  <si>
    <t>Reviens de chez PFA</t>
  </si>
  <si>
    <t>Part chez le PFA</t>
  </si>
  <si>
    <t>E27|E37</t>
  </si>
  <si>
    <t>Changement au niveau du comportement de votre enfant à son retour et départ de garde?</t>
  </si>
  <si>
    <t>Retour de garde</t>
  </si>
  <si>
    <t>Départ chez l'autre</t>
  </si>
  <si>
    <t>À surveiller, quelque chose l'inquiète à partir ou à aller chez l'autre"</t>
  </si>
  <si>
    <t>À surveiller, quelque chose ne va pas probablement chez l'autre"</t>
  </si>
  <si>
    <t>À surveiller, quelque chose l'inquiète de revenir chez vous"</t>
  </si>
  <si>
    <t>À formuler avec Joanna</t>
  </si>
  <si>
    <t>À surveiller, quelque chose l'angoisse à partir ou à aller chez l'autre"</t>
  </si>
  <si>
    <t>L'enfant vit une pression. Comprendre ce qu'il vit. Voir ADR</t>
  </si>
  <si>
    <t>À surveiller, il vit quelque chose, peut-être chez l'autre, peut-être à l'école etc. L'écouter. ADR"</t>
  </si>
  <si>
    <t>Indicateurs</t>
  </si>
  <si>
    <t xml:space="preserve">Quel était le degré de complicité entre vous et votre enfant ? </t>
  </si>
  <si>
    <t>Dans quelle mesure diriez-vous que votre enfant vous confiait ses joies, ses peines ou questionnements divers ?</t>
  </si>
  <si>
    <t>Quel était le degré de complicité entre votre enfant et l'autre parent ?</t>
  </si>
  <si>
    <t>Arrivait-il que l'autre parent vous critique ou vous dénigre devant votre enfant ?</t>
  </si>
  <si>
    <t>Arrivait-il que l'autre parent hausse le ton ou vous insulte pour imposer son point de vue ou sa volonté ?</t>
  </si>
  <si>
    <t xml:space="preserve">Dans quelle mesure diriez-vous que l'autre parent percevait votre rôle parental aussi important que le sien ? </t>
  </si>
  <si>
    <t>Arrivait-il que l'autre parent présente à votre entourage une vision négative de vos compétences parentales ?</t>
  </si>
  <si>
    <t xml:space="preserve">s'active que si PFA09a=0 </t>
  </si>
  <si>
    <t>Le nouveau ou nouvelle conjoint·e joue un rôle de confident·e auprès de votre enfant.</t>
  </si>
  <si>
    <t>Comment qualifieriez-vous votre relation avec le nouveau ou nouvelle conjoint·e de l'autre parent ?</t>
  </si>
  <si>
    <t>Le nouveau ou nouvelle conjoint·e dénigre vos compétences parentales par texto, courriel ou autres?</t>
  </si>
  <si>
    <t>Arrive-t-il que le nouveau ou nouvelle conjoint·e vous critique ou dénigre vos compétences parentales devant votre enfant ?</t>
  </si>
  <si>
    <t xml:space="preserve">Arrive-t-il que le nouveau ou nouvelle conjoint·e dénigre votre famille devant votre enfant ? </t>
  </si>
  <si>
    <t>Le nouveau ou nouvelle conjoint·e vous salue lors de changements de garde, à l'école ou lors d'événements culturels ou sportifs.</t>
  </si>
  <si>
    <t xml:space="preserve">Le nouveau ou nouvelle conjoint·e apporte des changements à l’horaire de garde sans vous consulter au préalable ou sans votre autorisation. </t>
  </si>
  <si>
    <t xml:space="preserve">Arrive-t-il que le nouveau ou nouvelle conjoint·e organise des activités sur votre temps de garde ? </t>
  </si>
  <si>
    <t>À quelle fréquence le nouveau ou nouvelle conjoint·e communique-t-il ou elle avec votre enfant durant votre temps de garde ?</t>
  </si>
  <si>
    <t>Arrive-t-il que le nouveau ou nouvelle conjoint·e interfère, écoute ou écourte vos conversations téléphoniques avec votre enfant ?</t>
  </si>
  <si>
    <t xml:space="preserve">Le nouveau ou nouvelle conjoint·e se présente à la sortie des classes, au service de garde ou à la garderie sur votre temps de garde. </t>
  </si>
  <si>
    <t>Le nouveau ou nouvelle conjoint·e demande aux personnes gravitant autour de votre enfant de ne PAS vous communiquer de l'information à son sujet.</t>
  </si>
  <si>
    <t>Le nouveau ou nouvelle conjoint·e laisse entendre à votre enfant qu’il ou elle n’est pas en sécurité avec vous.</t>
  </si>
  <si>
    <t>Est-ce que le nouveau ou nouvelle conjoint·e vous demande de respecter les désirs et choix de votre enfant ?</t>
  </si>
  <si>
    <t>Le nouveau ou nouvelle conjoint·e demande à votre enfant de l'appeler maman ou papa.</t>
  </si>
  <si>
    <t>NC00</t>
  </si>
  <si>
    <t>PCR00</t>
  </si>
  <si>
    <t>Quelle est le degré de complicité entre vous et l'autre parent (coparent), aujourd'hui ?</t>
  </si>
  <si>
    <t>S'active si PCR00&gt;=condition</t>
  </si>
  <si>
    <t>Vous êtes à l'aise en présence de l'autre parent (coparent).</t>
  </si>
  <si>
    <t>Vous devez marcher sur des œufs afin d'éviter les conflits.</t>
  </si>
  <si>
    <t xml:space="preserve"> Arrive-t-il que l'autre parent hausse la voix ou utilise des jurons pour imposer sa vision des choses ?</t>
  </si>
  <si>
    <t xml:space="preserve">Dans quelle mesure acceptez-vous ou êtes-vous serein·e avec la séparation (couple et famille) ? </t>
  </si>
  <si>
    <t>Vous confiez à votre enfant votre peine concernant la séparation.</t>
  </si>
  <si>
    <t>Dans quelle mesure considérez-vous l'autre parent comme étant votre égal·e sur le plan parental ?</t>
  </si>
  <si>
    <t>Dans quelle mesure acceptez-vous ou êtes-vous serein·e face aux exigences de la coparentalité (logistique horaire, transport, vacances, etc.) ?</t>
  </si>
  <si>
    <t xml:space="preserve">Vous saluez ou allez vers l'autre parent lors de changements de garde, à l'école ou lors d'événements culturels ou sportifs. </t>
  </si>
  <si>
    <t>Vous acceptez que les vêtements et/ou jouets de votre enfant se promènent d’une maison à l’autre.</t>
  </si>
  <si>
    <t>À quelle fréquence communiquez-vous avec votre enfant lorsqu’il ou elle est chez l‘autre parent ?</t>
  </si>
  <si>
    <t>Vous devez faire des compromis afin d'assurer une bonne entente de garde.</t>
  </si>
  <si>
    <t>Le contexte de coparentalité vous contraint à demander à votre enfant de faire les messages et demandes entourant la logistique familiale.</t>
  </si>
  <si>
    <t>Il vous arrive de prendre des décisions sans consulter l'autre parent.</t>
  </si>
  <si>
    <t>Vous questionnez votre enfant à son retour de garde afin de connaître la routine (repas, dodo, activités, etc.) chez l'autre parent.</t>
  </si>
  <si>
    <t xml:space="preserve">Vous faites un retour sur les interventions de l'autre parent (nutrition, hygiène, logistique, etc.) au retour des enfants, par courriel ou message texte. </t>
  </si>
  <si>
    <t>Il vous arrive de faire des reproches à l'autre parent devant votre enfant.</t>
  </si>
  <si>
    <t>Un enfant de 12 ans est assez mature pour choisir où et avec qui il veut vivre.</t>
  </si>
  <si>
    <t>Il est important que votre enfant soit au courant des enjeux de la séparation et/ou du conflit qui vous oppose à l'autre parent.</t>
  </si>
  <si>
    <t>Avez-vous mis votre enfant au courant des enjeux juridiques (pension alimentaire, modalité de garde, etc.) qui vous oppose à l’autre parent ?</t>
  </si>
  <si>
    <t>Vous laissez à votre enfant le droit de choisir la fréquence des visites et le temps qu'il passe chez l'autre parent.</t>
  </si>
  <si>
    <t>Votre situation de coparentalité crée des désaccords entre vous et votre nouveau ou nouvelle conjoint·e.</t>
  </si>
  <si>
    <t>Votre nouveau ou nouvelle conjoint·e corrige votre enfant lorsqu’il est irrespectueux envers vous.</t>
  </si>
  <si>
    <t>S'active si NC00&gt;=condition</t>
  </si>
  <si>
    <t>Bonne 
Courtoise
Neutre
Difficile 
Conflictuelle</t>
  </si>
  <si>
    <t>E04a1</t>
  </si>
  <si>
    <t>sq1 (s'active si E04a&gt;=condition)</t>
  </si>
  <si>
    <t>S'active si B12 &gt;=3 relation difficile +++ ET E26&gt;=2</t>
  </si>
  <si>
    <t>choix
multiples + E1A
ET binare pour automutilation, dépression et idées suicidaires</t>
  </si>
  <si>
    <t>Supprimer</t>
  </si>
  <si>
    <t>Changement d'échelle</t>
  </si>
  <si>
    <t>Enlever ce choix compte tenu du changement d'échelle</t>
  </si>
  <si>
    <t>Comment qualifieriez-vous votre relation et votre degré de complicité avec votre enfant, aujourd’hui (temps présent) ?</t>
  </si>
  <si>
    <t>Dans quelle mesure diriez-vous que votre enfant idéalise (aujourd'hui) l’autre parent ?</t>
  </si>
  <si>
    <t>Dans quelle mesure diriez-vous que la relation entre votre enfant et l'autre parent est fusionnelle ?</t>
  </si>
  <si>
    <t>Votre enfant garde des secrets et vous cache de l'information concernant sa relation avec l'autre parent.</t>
  </si>
  <si>
    <t>Votre enfant a reçu l’ordre de ne pas vous raconter ce qui se passe chez l’autre parent.</t>
  </si>
  <si>
    <t>Votre enfant défend l'autre parent, quoi que vous fassiez, quoi que vous disiez.</t>
  </si>
  <si>
    <t>Aux yeux de votre enfant, tout ce que fait l'autre parent est bien, voire parfait, et tout ce que vous faites est mauvais ou sujet à critiques.</t>
  </si>
  <si>
    <t>Votre enfant calque les désirs et les paroles de l’autre parent.</t>
  </si>
  <si>
    <t>Votre enfant s’exprime avec des expressions ou des paroles empruntées à l’autre parent.</t>
  </si>
  <si>
    <t>Dans quels contextes ou à quelles occasions cela se produit-il ?</t>
  </si>
  <si>
    <t>Votre enfant vous accuse ou vous reproche d'avoir brisé ou abandonné la famille.</t>
  </si>
  <si>
    <t>Votre enfant croit que vous souffrez d’une maladie mentale ou que vous êtes instable psychologiquement.</t>
  </si>
  <si>
    <t>Arrive-t-il à votre enfant de vous reprocher d'être dangereux·se ou de présenter un danger pour sa sécurité ?</t>
  </si>
  <si>
    <t>Votre enfant se sent coupable de passer du temps avec vous car cela pourrait indisposer, contrarier ou faire de la peine à l'autre parent.</t>
  </si>
  <si>
    <t xml:space="preserve">Dans quelle mesure diriez-vous que votre enfant vous tient responsable de la peine ou de la frustration de son autre parent ? </t>
  </si>
  <si>
    <t>Votre enfant cherche à vous convaincre des qualités de l’autre parent.</t>
  </si>
  <si>
    <t>Votre enfant va vers vous lors d'événements culturels ou sportifs lorsqu'il ou elle est en compagnie (sous la supervision) de l'autre parent ?</t>
  </si>
  <si>
    <t>Votre enfant dénigre votre nouvelle famille (nouveau ou nouvelle conjoint·e ou enfant né·e d’une nouvelle union).</t>
  </si>
  <si>
    <t>Votre enfant laisse entendre que sa vraie famille est celle avec l’autre parent.</t>
  </si>
  <si>
    <t xml:space="preserve">Selon votre enfant, la nouvelle famille de l'autre parent (famille recomposée ou non) a plus de valeur que la vôtre. </t>
  </si>
  <si>
    <t>Votre enfant demande à modifier les horaires de garde et de visite.</t>
  </si>
  <si>
    <t>Dans quel contexte votre enfant demande-t-il ou elle à changer les horaires de garde et de visite chez l'un et l'autre des parents ?</t>
  </si>
  <si>
    <t>Dans quelle mesure votre enfant impose-t-il ou elle des changements d’horaires et de visite à la faveur de l'autre parent sans vous consulter au préalable et sans votre autorisation ?</t>
  </si>
  <si>
    <t>Votre enfant subit une pression pour passer plus de temps chez l'autre parent.</t>
  </si>
  <si>
    <t>Votre enfant répond à vos messages lorsqu’il est chez l’autre parent (tél., textos, réseaux sociaux, etc.).</t>
  </si>
  <si>
    <t>Votre enfant considère le nouveau ou nouvelle conjoint·e (de l'autre parent) comme son père ou sa mère.</t>
  </si>
  <si>
    <t>Les jouets et les vêtements de votre enfant se promènent d’une maison à l’autre simplement.</t>
  </si>
  <si>
    <t>Votre enfant connait des informations personnelles ou intimes sur vous dont vous n'avez jamais discuté avec lui ou avec elle.</t>
  </si>
  <si>
    <t>Dans quelle mesure les souvenirs de votre enfant vous semblent-ils être déformés ? (ex.: souvenirs de la petite enfance vus aujourd'hui différement)</t>
  </si>
  <si>
    <t xml:space="preserve">Dans quelle mesure diriez-vous que votre enfant a la responsabilité de vous communiquer les informations concernant la logistique familiale (gestion vêtements, lunch, activités, etc.) au retour d'un séjour chez l'autre parent ? </t>
  </si>
  <si>
    <t>Votre enfant se sent responsable du bonheur de l’autre parent ou sent le besoin de le protéger.</t>
  </si>
  <si>
    <t>L'autre parent a informé votre enfant du contexte juridique, financier ou autre associé au conflit vous opposant.</t>
  </si>
  <si>
    <t>Le comportement ou l'attitude de votre enfant change en présence de l’autre parent.</t>
  </si>
  <si>
    <t xml:space="preserve">Est-il déjà arrivé que votre enfant dénigre vos compétences parentales devant l’autre parent ? </t>
  </si>
  <si>
    <t>Au retour d’un séjour chez l’autre parent, votre enfant vous questionne sur vos décisions présentes ou passsées ou vous accable de reproches.</t>
  </si>
  <si>
    <t>Votre enfant s'isole ou se cache (ex.: chambre ou toilettes) pour appeler l'autre parent afin qu'on n'entende pas ses conversations.</t>
  </si>
  <si>
    <t>Votre enfant réclame le droit de choisir les moments où il vous rend visite et la durée des visites chez vous.</t>
  </si>
  <si>
    <t>Votre enfant vous accuse de mentir, de voler, etc.</t>
  </si>
  <si>
    <t>Votre enfant vous reproche de lui manquer de respect en ne respectant pas ses choix, besoins, désirs, rythme, etc.</t>
  </si>
  <si>
    <t>Votre enfant demande à changer les termes de la garde afin de passer plus de temps chez l’autre parent.</t>
  </si>
  <si>
    <t xml:space="preserve">Votre enfant vous informe qu’à 12 ou 14 ans, le droit de choisir les modalités de garde lui reviendrait. </t>
  </si>
  <si>
    <t xml:space="preserve">Votre enfant bloque les communications (tél., textos, réseaux sociaux, etc.). </t>
  </si>
  <si>
    <t>L'autre parent (coparent) accepte de faire des compromis afin d'assurer une bonne entente de garde.</t>
  </si>
  <si>
    <t xml:space="preserve">Comment qualifieriez-vous la relation et le degré de complicité entre votre enfant et l'autre parent, aujourd'hui (temps présent) ? </t>
  </si>
  <si>
    <t>Selon vous, dans quelle mesure l'autre parent entretien une relation fusionnelle avec votre enfant ?</t>
  </si>
  <si>
    <t>Selon vous, dans quelle mesure l'autre parent demande à votre enfant de garder des secrets ou de vous cacher des choses ?</t>
  </si>
  <si>
    <t>L’autre parent laisse entendre à votre enfant que vous avez abandonné la famille.</t>
  </si>
  <si>
    <t>L’autre parent laisse entendre à votre enfant que vous ne l’aimez pas vraiment.</t>
  </si>
  <si>
    <t>L'autre parent laisse entendre à votre enfant qu’il ou elle n’est pas en sécurité avec vous.</t>
  </si>
  <si>
    <t>L’autre parent laisse entendre à votre enfant que vous souffrez d’une maladie mentale ou que vous êtes instable psychologiquement.</t>
  </si>
  <si>
    <t>L'autre parent modifie certains faits concernant votre passé à son avantage ou à votre désavantage.</t>
  </si>
  <si>
    <t xml:space="preserve">L'autre parent déforme les souvenirs de votre enfant (ex.: souvenirs de la petite enfance vus aujourd'hui négativement). </t>
  </si>
  <si>
    <t>L’autre parent culpabilise votre enfant de sa relation ou de son amour pour vous.</t>
  </si>
  <si>
    <t>Il arrive que l’autre parent boude votre enfant lorsqu'il est temps de rentrer chez vous (pour votre tour de garde).</t>
  </si>
  <si>
    <t xml:space="preserve">Il arrive à l’autre parent de se fâcher contre votre enfant lorsqu'il ou elle exprime de l'affection pour vous. </t>
  </si>
  <si>
    <t>Arrive-t-il que l'autre parent vous accable de reproches par courriel ou texto au retour des enfants (après votre tour de garde) ?</t>
  </si>
  <si>
    <t>L’autre parent vous dénigre en la présence de votre enfant.</t>
  </si>
  <si>
    <t>L'autre parent vous renvoie une image négative de vous-même en tant que parent, ridiculise vos décisions ou vous insulte.</t>
  </si>
  <si>
    <t>L'autre parent présente à votre entourage une vision négative de vos compétences parentales ou de votre santé mentale.</t>
  </si>
  <si>
    <t>L’autre parent dénigre votre nouvelle famille devant votre enfant. (dénigrement de votre nouveau ou nouvelle conjoint·e ou enfant né·e d’une nouvelle union)</t>
  </si>
  <si>
    <t>L'autre parent laisse entendre qu'il ou elle représente la vraie famille de votre enfant.</t>
  </si>
  <si>
    <t>L'autre parent demande à votre enfant d'appeler son nouveau ou nouvelle conjoint·e maman ou papa.</t>
  </si>
  <si>
    <t>L'autre parent impose des changements d’horaires sans vous consulter au préalable et sans votre autorisation.</t>
  </si>
  <si>
    <t>Arrive-t-il que l'autre parent ramène votre enfant à la maison à l'heure qui lui convient, sans respecter l'entente initiale ?</t>
  </si>
  <si>
    <t>Arrive-t-il que l’autre parent organise et propose des activités à votre enfant sur votre temps de garde ?</t>
  </si>
  <si>
    <t>Arrive-t-il que l’autre parent organise et propose des activités amusantes, voire irrésistibles à votre enfant durant votre temps de garde ?</t>
  </si>
  <si>
    <t>L’autre parent se présente à la sortie des classes, au service de garde ou à la garderie sur votre temps de garde.</t>
  </si>
  <si>
    <t>Il est facile de communiquer avec votre enfant lorsqu’il est chez l’autre parent.</t>
  </si>
  <si>
    <t>Arrive-t-il que l'autre parent vous accable de questions ou de reproches par téléphone ou par courriel?</t>
  </si>
  <si>
    <t>Arrive-t-il que l'autre parent se présente à votre lieu de travail ou votre domicile sans s'annoncer ou sans invitation ?</t>
  </si>
  <si>
    <t>L'autre parent sent qu’il est en compétition avec vous pour l’amour de votre enfant.</t>
  </si>
  <si>
    <t>Dans quelle mesure diriez-vous que l'autre parent accepte ou vit bien avec les exigences de la coparentalité (logistique horaire, transport, vacances, etc.) ?</t>
  </si>
  <si>
    <t>L'identité et la valeur sociale de l'autre parent passe par sa paternité ou sa maternité.</t>
  </si>
  <si>
    <t xml:space="preserve">Arrive-t-il que l'autre parent s'impose sa présence lors de fêtes ou d'activités destinés aux enfants ? </t>
  </si>
  <si>
    <t>Depuis la séparation, l’autre parent cherche à vous blesser parce qu'il considère que vous avez brisé ou abandonné la famille.</t>
  </si>
  <si>
    <t>L'autre parent vous appelle par votre prénom devant votre enfant (versus maman ou papa).</t>
  </si>
  <si>
    <t>Cette façon de s'adresser à vous devant votre enfant (prénom versus maman ou papa) est-elle habituelle ou est-ce nouveau depuis la séparation ?</t>
  </si>
  <si>
    <t>L’autre parent considère que son nouveau ou nouvelle conjoint·e est un meilleur parent que vous.</t>
  </si>
  <si>
    <t>L’autre parent cherche à limiter les contacts entre votre enfant et votre famille élargie (cousin.es, grands-parents, etc.).</t>
  </si>
  <si>
    <t xml:space="preserve">L’autre parent jette les cadeaux que vous avez offerts à votre enfant ou proscrit les photographies de vous dans sa demeure. </t>
  </si>
  <si>
    <t xml:space="preserve">Dans quelle mesure est-ce que l'autre parent se dit impuissant et non responsable de la décision de votre enfant de ne plus respecter l'entente de garde ? </t>
  </si>
  <si>
    <t>L'autre parent de prend des décisions sans vous consulter.</t>
  </si>
  <si>
    <t>Quels types de décisions ont été prises sans votre consentement ou connaissance de votre part ?</t>
  </si>
  <si>
    <t>Avez-vous été déchu·e (totalement ou en partie) de votre autorité parentale ?</t>
  </si>
  <si>
    <t>Quels sont les comportements ou attitudes qui vous laissent croire que l'autre parent cherche à vous exclure de la vie de votre enfant ?</t>
  </si>
  <si>
    <t xml:space="preserve">Dans quelle mesure diriez-vous que l'autre parent accepte ou vit bien avec la séparation (de couple ou familiale) ? </t>
  </si>
  <si>
    <t>L’autre parent confie à votre enfant sa peine concernant la séparation.</t>
  </si>
  <si>
    <t>L'autre parent fait lire vos échanges et communications (courriels, textos, etc.) à votre enfant.</t>
  </si>
  <si>
    <t>L'autre parent encourage ou entretient un discours dénigrant ou haineux à l’égard de votre nouveau ou nouvelle conjoint·e.</t>
  </si>
  <si>
    <t>L’autre parent refuse de vous parler et demande à votre enfant de faire les messages et autres demandes entourant la logistique familiale.</t>
  </si>
  <si>
    <t>L’autre parent laisse à votre enfant le droit de respecter ou non l'entente de garde et votre temps (tour) de garde.</t>
  </si>
  <si>
    <t>L’autre parent demande à votre enfant de choisir avec quel parent il veut vivre.</t>
  </si>
  <si>
    <t>Selon vous, quels sont les enjeux les plus importants pour l'autre parent au niveau de la garde des enfants ?</t>
  </si>
  <si>
    <t>sq1 (s'active si PFA20a&gt;=condition)</t>
  </si>
  <si>
    <t>sq1 (s'active si PFA20a1&gt;=condition)</t>
  </si>
  <si>
    <t>sq1 (s'active si E16&gt;=condition)</t>
  </si>
  <si>
    <t>sq1 (s'active si E36=oui)</t>
  </si>
  <si>
    <t>En tout temps / Presque toujours / Régulièrement / Parfois / Rarement / S.O.</t>
  </si>
  <si>
    <t xml:space="preserve">Jamais / Rarement, au besoin / 1 à 2 fois semaine / 3 à 5 fois semaine / Presque tous les jours / Plusieurs fois par jour / S.O. </t>
  </si>
  <si>
    <t>Contacts sporadiques, mais entente de garde non-respectée</t>
  </si>
  <si>
    <t>Communication à distance seulement (tél., textos, réseaux sociaux, etc.)</t>
  </si>
  <si>
    <t xml:space="preserve">10  à 20 ans </t>
  </si>
  <si>
    <t>E36c</t>
  </si>
  <si>
    <t>E36d</t>
  </si>
  <si>
    <t>E36e</t>
  </si>
  <si>
    <t>E36f</t>
  </si>
  <si>
    <t>E36g</t>
  </si>
  <si>
    <t>E36h</t>
  </si>
  <si>
    <t>E36i</t>
  </si>
  <si>
    <t>E36b1</t>
  </si>
  <si>
    <t>E36c1</t>
  </si>
  <si>
    <t>E36d1</t>
  </si>
  <si>
    <t>E36e1</t>
  </si>
  <si>
    <t>E36f1</t>
  </si>
  <si>
    <t>E36g1</t>
  </si>
  <si>
    <t>E36h1</t>
  </si>
  <si>
    <t>Je l'envoie réfléchir et lui demande de revenir lorsqu'il ou elle sera calme
J'impose des conséquences pour corriger le comportement inadéquat de mon enfant
Je lui signifie que je suis contrarié·e car je sais que le reproche vient indirectement de l'autre parent
Je reste calme, mais je ne me laisse pas insulter par mon enfant et je rectifie les faits</t>
  </si>
  <si>
    <t>Je l'envoie réfléchir et lui demande de revenir lorsqu'il ou elle sera calme</t>
  </si>
  <si>
    <t>J'impose des conséquences pour corriger le comportement inadéquat de mon enfant</t>
  </si>
  <si>
    <t>Je lui signifie que je suis contrarié·e car je sais que le reproche vient indirectement de l'autre parent</t>
  </si>
  <si>
    <t>Je reste calme, mais je ne me laisse pas insulter par mon enfant et je rectifie les faits</t>
  </si>
  <si>
    <t>Vous tentez de le raisonner et vous vous justifiez</t>
  </si>
  <si>
    <t>Vous faites valoir que l'autre parent lui a menti</t>
  </si>
  <si>
    <t>Vous êtes blessé·e, vous devenez émotif·ve</t>
  </si>
  <si>
    <t xml:space="preserve">Vous tentez de le raisonner et vous vous justifiez
Vous faites valoir que l'autre parent lui a menti
Vous êtes blessé·e, vous devenez émotif·ve
</t>
  </si>
  <si>
    <t>Maltraitance durant l'enfance</t>
  </si>
  <si>
    <t>Troubles mentaux chez un ou des parents (dépression, bipolarité, TPL, tentative de suicide, etc.)</t>
  </si>
  <si>
    <t>Problèmes de dépendance chez un ou des parents (alcool, drogues, etc.)</t>
  </si>
  <si>
    <t>Exposition à de la violence conjugale</t>
  </si>
  <si>
    <t>Séparation (divorce) conflictuelle des parents</t>
  </si>
  <si>
    <t>Rupture de lien avec un parent à la suite d’une séparation (divorce)</t>
  </si>
  <si>
    <t>Abus sexuel</t>
  </si>
  <si>
    <t>PCR21</t>
  </si>
  <si>
    <t>Intensité 3 si fréquence &gt;= 2 ET si (Temps de séparation (B04) &gt;=3 (2 ans) OU âge (B06) &gt;8 ans)</t>
  </si>
  <si>
    <t>sq1 (s'active si E20&gt;=condition)</t>
  </si>
  <si>
    <t>Vous répondez à ce questionnaire au nom de ?</t>
  </si>
  <si>
    <t>Questions ajoutées qu'il faut analyser les condition AP, Cl et CSS</t>
  </si>
  <si>
    <t>Comment qualifieriez-vous la relation de l'enfant avec le nouveau ou nouvelle conjoint.e du coparent?</t>
  </si>
  <si>
    <t>sq1 (s'active si E35 bonne relation avec peu de contact +++) )</t>
  </si>
  <si>
    <t>Non, aucun traumatisme</t>
  </si>
  <si>
    <t>Si la Q devient inactive, l'entrée de données doit être nécessairement 0.</t>
  </si>
  <si>
    <t>Q s'active ou pas</t>
  </si>
  <si>
    <t>Max :</t>
  </si>
  <si>
    <t>Résultats des baromètres</t>
  </si>
  <si>
    <t>La dynamique de coparentalité</t>
  </si>
  <si>
    <t>À quels comportements aliénants l'enfant est-il exposé?</t>
  </si>
  <si>
    <t>Bulle de catégorie et de comportements</t>
  </si>
  <si>
    <t>À quels comportements aliénants, l'enfant répond t-il?</t>
  </si>
  <si>
    <t>baromètre funnel</t>
  </si>
  <si>
    <t>Type de baromètre</t>
  </si>
  <si>
    <t>Élevé</t>
  </si>
  <si>
    <t>Relation entre les deux parents</t>
  </si>
  <si>
    <t>Relation entre l'enfant et le parent répondant</t>
  </si>
  <si>
    <t>Relation entre l'enfant et le coparent</t>
  </si>
  <si>
    <t>Relation entre l'enfant et la famille élargie du parent répondant</t>
  </si>
  <si>
    <t>Ce graphique révèle les changements relationnels dans la famille en coparentalité depuis la séparation</t>
  </si>
  <si>
    <t>4 et plus</t>
  </si>
  <si>
    <t>il y a eu une amélioration majeure</t>
  </si>
  <si>
    <t>il y a eu une amélioration modérée</t>
  </si>
  <si>
    <t>il y a eu une faible amélioration</t>
  </si>
  <si>
    <t>-4 et plus</t>
  </si>
  <si>
    <t>aucun changement</t>
  </si>
  <si>
    <t>Échelle de changement positif</t>
  </si>
  <si>
    <t>Échelle de changement négatif</t>
  </si>
  <si>
    <t>Attention : les échelles 1 à 10 sont inversées (en matière de jugement de valeur) à celle exponentielles, il faut donc inverser le calcul pour comprendre le sens du changement</t>
  </si>
  <si>
    <t>Conclusion</t>
  </si>
  <si>
    <t>Échelle (du minimum au maximum)</t>
  </si>
  <si>
    <t>Avant la séparation</t>
  </si>
  <si>
    <t>Catégorie chez le parent</t>
  </si>
  <si>
    <t>Emotif</t>
  </si>
  <si>
    <t>Les grandes bulles</t>
  </si>
  <si>
    <t>Les bulles intérieures</t>
  </si>
  <si>
    <t>Coparent</t>
  </si>
  <si>
    <t>Nouveau conjoint·e (lle cas échéant)</t>
  </si>
  <si>
    <t>Acteurs | Sévérité</t>
  </si>
  <si>
    <t>Choix de la catégorie =&gt;</t>
  </si>
  <si>
    <t>Mots-clés pour les baromètres pour catégorie et CEV</t>
  </si>
  <si>
    <t>Aisance avec l'autre parent</t>
  </si>
  <si>
    <t>Fait des compromis</t>
  </si>
  <si>
    <t>Salue l'autre lors de rencontre</t>
  </si>
  <si>
    <t>Questionne l'enfant à son retour de garde chez l'autre</t>
  </si>
  <si>
    <t>Intervient auprès de l'autre parent au retour des enfants</t>
  </si>
  <si>
    <t>Laisse l'enfant le droit de choisir</t>
  </si>
  <si>
    <t>L'autre parent est votre égal</t>
  </si>
  <si>
    <t>Serein face aux exigences de coparentalité</t>
  </si>
  <si>
    <t>Laisse les jouets et vêtements se promener</t>
  </si>
  <si>
    <t>Comportement coparent</t>
  </si>
  <si>
    <t>Comportement parent répondant</t>
  </si>
  <si>
    <t>en compétition</t>
  </si>
  <si>
    <t>Ce graphique révèle les opinions harmonieuses ou divergeantes entre les parents sur divers comportements à adopter ou non</t>
  </si>
  <si>
    <t>Il y a eu des changements, revalider les conditions CL, AP et CSS</t>
  </si>
  <si>
    <t>Reproche au retour de garde</t>
  </si>
  <si>
    <t>vous salue lorsqu'il vous croise à l'école</t>
  </si>
  <si>
    <t>Le nouveau conjoint.e vous salue lorsqu'il vous croise à l'école</t>
  </si>
  <si>
    <t>dénigre vos compétences parentales par texto, courriel, etc.</t>
  </si>
  <si>
    <t>dénigre vos compétences parentales devant l'enfant</t>
  </si>
  <si>
    <t>Marche sur des œufs</t>
  </si>
  <si>
    <t>Communique fréquemment avec l'enfant lorsqu'il est chez l'autre</t>
  </si>
  <si>
    <t>Prend des décision sans consulter l'autre</t>
  </si>
  <si>
    <t>Demande à l'enfant de faire les messages</t>
  </si>
  <si>
    <t>L'enfant de 12 ans est assez mature pour choisir</t>
  </si>
  <si>
    <t>Informe l'enfant sur les enjeux avec l'autre parent</t>
  </si>
  <si>
    <t>Serein face à la séparation</t>
  </si>
  <si>
    <t>Confie à l'enfant ses peines</t>
  </si>
  <si>
    <t>N'aime pas l'enfant</t>
  </si>
  <si>
    <t>Manque de sécurité chez l'autre</t>
  </si>
  <si>
    <t>Accusation d'instabilité psychologique</t>
  </si>
  <si>
    <t>Déforme les souvenirs</t>
  </si>
  <si>
    <t>Modification de faits</t>
  </si>
  <si>
    <t>Culpabilise l'amour de l'enfant pour l'autre</t>
  </si>
  <si>
    <t>Boude lorsqu'il quitte</t>
  </si>
  <si>
    <t>Se fâche s'il exprime de l'amour pour l'autre</t>
  </si>
  <si>
    <t>Accable de reproches par écrit</t>
  </si>
  <si>
    <t>Fait des menaces</t>
  </si>
  <si>
    <t>L'enfant est assez mature pour choisir</t>
  </si>
  <si>
    <t>Demande le respect des désirs de l'enfant</t>
  </si>
  <si>
    <t>Questionne l'enfant au retour de garde</t>
  </si>
  <si>
    <t>Dénigre l'autre devant l'enfant</t>
  </si>
  <si>
    <t>Ridiculise l'autre</t>
  </si>
  <si>
    <t>Menace l'autre</t>
  </si>
  <si>
    <t>Présente à l'entourage une vision négative de l'autre</t>
  </si>
  <si>
    <t>La vraie famille c'est la nôtre</t>
  </si>
  <si>
    <t>Demande d'appeler le nouveau ou la nouvelle conjoint·e, maman ou papa</t>
  </si>
  <si>
    <t>Change les horaires sans consulter l'autre</t>
  </si>
  <si>
    <t>Ne respecte pas l'heure des changements de garde</t>
  </si>
  <si>
    <t>Organisme des activités irrésistibles lors du temps de garde de l'autre</t>
  </si>
  <si>
    <t>Propose des activités sur le temps de garde de l'autre</t>
  </si>
  <si>
    <t>Se présente à la sortie des classes sur le temps de garde de l'autre</t>
  </si>
  <si>
    <t>Communique les informations concernant l'enfant</t>
  </si>
  <si>
    <t>Bloque les communications de l'entourage de l'enfant à l'autre parent</t>
  </si>
  <si>
    <t>Facilité de communication avec l'enfant lorsqu'il est chez l'autre</t>
  </si>
  <si>
    <t xml:space="preserve">Contrôle les conversations téléphoniques </t>
  </si>
  <si>
    <t>En compétition avec l'autre pour l'amour de l'enfant</t>
  </si>
  <si>
    <t>Impose sa présence aux activités destinées aux enfants</t>
  </si>
  <si>
    <t>Cherche à blesser l'autre</t>
  </si>
  <si>
    <t>Appelle l'autre par son prénom</t>
  </si>
  <si>
    <t>Considère son nouveau ou sa nouvelle conjoint·e meilleur· que l'autre</t>
  </si>
  <si>
    <t>Limite les contacts avec la famille élargie de l'autre</t>
  </si>
  <si>
    <t>Jette les objets qui représentent l'autre</t>
  </si>
  <si>
    <t>Impuissant devant les décisions de l'enfant</t>
  </si>
  <si>
    <t>Incite l'enfant à choisir un des deux parents</t>
  </si>
  <si>
    <t>Cherche à exclure l'autre</t>
  </si>
  <si>
    <t>Confie à l'enfant des informations délicates sur l'autre</t>
  </si>
  <si>
    <t>Fait lire à l'enfant des communications de l'autre parent</t>
  </si>
  <si>
    <t>Encourage un discours haineux envers le ou la nouvelle conjointe de l'autre parent</t>
  </si>
  <si>
    <t>Le nouveau ou nouvelle conjointe·e joue un rôle de confident</t>
  </si>
  <si>
    <t>Le rôle de confident de la nouveau ou nouvelle conjointe·e n'est pas sain</t>
  </si>
  <si>
    <t>Dénigre les compétences parentales de l'autre</t>
  </si>
  <si>
    <t>Organisme des activités lors du temps de garde de l'autre</t>
  </si>
  <si>
    <t>Se présente sans s'annoncer chez vous ou à votre travail</t>
  </si>
  <si>
    <t>S'impose responsable de la logistique familiale</t>
  </si>
  <si>
    <t>Le nouveau ou la nouvelle conjoint·e demande de faire appeler maman ou papa</t>
  </si>
  <si>
    <t>Le nouveau ou la nouvelle conjoint·e fragilise la relation de l'enfant avec l'autre parent</t>
  </si>
  <si>
    <t>Nouveau|nouvelle conjoint·e</t>
  </si>
  <si>
    <t>Comportements</t>
  </si>
  <si>
    <t>Total catégorie</t>
  </si>
  <si>
    <t>PFA05 et NC02</t>
  </si>
  <si>
    <t>PCR02 &amp; PFA00</t>
  </si>
  <si>
    <t>PCR03 &amp; PFA10 &amp; NC03</t>
  </si>
  <si>
    <t>PCR04 &amp; PFA12</t>
  </si>
  <si>
    <t>Demande à l'enfant à choisir avec qui il veut vivre</t>
  </si>
  <si>
    <t>L'autre parent hausse le ton et impose sa vision</t>
  </si>
  <si>
    <t>PFA13 &amp; NC04a1</t>
  </si>
  <si>
    <t>PFA14 &amp; NC04b</t>
  </si>
  <si>
    <t>Fait des reproches à l'autre parent devant l'enfant</t>
  </si>
  <si>
    <t>Accable de reproches l'autre parent téléphone ou courriel</t>
  </si>
  <si>
    <t>PCR08 &amp; PFA18 &amp; NC12</t>
  </si>
  <si>
    <t>PFA16 &amp; NC07</t>
  </si>
  <si>
    <t>PFA16b1 &amp; NC07a</t>
  </si>
  <si>
    <t>PFA17 &amp; NC09</t>
  </si>
  <si>
    <t>PFA20a &amp; NC10</t>
  </si>
  <si>
    <t>PFA19a &amp; NC13</t>
  </si>
  <si>
    <t>PCR10 &amp; PFA22</t>
  </si>
  <si>
    <t>PCR11 &amp; PFA28</t>
  </si>
  <si>
    <t>PCR12 &amp; PFA29</t>
  </si>
  <si>
    <t>PCR19 &amp; PFA21</t>
  </si>
  <si>
    <t>La maternité | paternité représente la valeur sociale du parent</t>
  </si>
  <si>
    <t>PCR16 &amp; PFA31</t>
  </si>
  <si>
    <t>PCR16a &amp; PFA31a</t>
  </si>
  <si>
    <t>PFA11a &amp; NC16</t>
  </si>
  <si>
    <t>Intensité des comportements/catégorie</t>
  </si>
  <si>
    <t>Les données sont dans la feuille "Analyse des catégories"</t>
  </si>
  <si>
    <t>Données des baromètres</t>
  </si>
  <si>
    <t>&gt;=10</t>
  </si>
  <si>
    <t>Nombre de comportements</t>
  </si>
  <si>
    <t>&gt;=20</t>
  </si>
  <si>
    <t>&gt;=30</t>
  </si>
  <si>
    <t>&gt;=15</t>
  </si>
  <si>
    <t>&gt;=13</t>
  </si>
  <si>
    <t>&gt;=18</t>
  </si>
  <si>
    <t>Ne prendre que les comportements de chaque acteur (qui seront les BULLES INTÉRIEURES) qui sont élevées et trier. Les insérer dans les grandes bulles avec leur valeur propre</t>
  </si>
  <si>
    <t>Exemple insérer ici, mais variable selon scénario (Valeur &gt;=15)</t>
  </si>
  <si>
    <t>Maximum</t>
  </si>
  <si>
    <t>Classification des comportements (A-R et miroir)selon les concepts AP, CL, CSS</t>
  </si>
  <si>
    <t>Nb de thèmes</t>
  </si>
  <si>
    <t>Amplitude</t>
  </si>
  <si>
    <t>Aliénation parentale</t>
  </si>
  <si>
    <t>Conflit de loyauté</t>
  </si>
  <si>
    <t>Conflit sévère de séparation</t>
  </si>
  <si>
    <t>Garde des secrets</t>
  </si>
  <si>
    <t>Ne doit pas raconter ce qui se passe chez l'autre</t>
  </si>
  <si>
    <t>Emprunte les paroles du parent</t>
  </si>
  <si>
    <t>Calque les désirs du parent</t>
  </si>
  <si>
    <t>Pense que son parent souffre de maladie mentale</t>
  </si>
  <si>
    <t>Pense qu'il n'est pas en sécurité</t>
  </si>
  <si>
    <t>Se sent coupable se passer du temps de peur de blesser l'autre parent</t>
  </si>
  <si>
    <t>Tient responsable un parent de la peine de l'autre</t>
  </si>
  <si>
    <t xml:space="preserve">Cherche à convaincre des qualités de l'autre parent </t>
  </si>
  <si>
    <t>Laisse entendre que sa vraie famille, c'est l'autre</t>
  </si>
  <si>
    <t>L'autre famille a plus de valeur</t>
  </si>
  <si>
    <t>Aggressif à son retour</t>
  </si>
  <si>
    <t>Modifie les horaires de visite</t>
  </si>
  <si>
    <t>Impose des changements d'horaire</t>
  </si>
  <si>
    <t>Changer d'idée subitement et trouve des excuses</t>
  </si>
  <si>
    <t>Subie de la pression pour passer plus de temps</t>
  </si>
  <si>
    <t>Répond à vos messages lorsqu'il est chez l'autre</t>
  </si>
  <si>
    <t>Considère le nouveau conjoint·e comme son père ou sa mère</t>
  </si>
  <si>
    <t>Confus face aux rôles du nouveau ou de la nouvelle conjoint·e</t>
  </si>
  <si>
    <t>Connait des informations intimes</t>
  </si>
  <si>
    <t>Messager de la logistique familiale</t>
  </si>
  <si>
    <t>Se sent responsable du bonheur du parent</t>
  </si>
  <si>
    <t>Est informé sur les enjeux juridiques et autres de la famille</t>
  </si>
  <si>
    <t>Sent le besoin de protéger l'autre parent</t>
  </si>
  <si>
    <t>Change d'attitude en présence des deux parents</t>
  </si>
  <si>
    <t>Dénigre les compétences parentales</t>
  </si>
  <si>
    <t>Change de comportement à son retour de garde</t>
  </si>
  <si>
    <t>Questionne et fait des reproches sur les décisions passées</t>
  </si>
  <si>
    <t>Se cache pour appeler</t>
  </si>
  <si>
    <t>Change ses champs d'intérêts</t>
  </si>
  <si>
    <t>Rejette vos valeurs et intérêts</t>
  </si>
  <si>
    <t>Réclame le droit de choisir</t>
  </si>
  <si>
    <t>Accuse de mentir</t>
  </si>
  <si>
    <t>Reproche de manque de respect de ses désirs</t>
  </si>
  <si>
    <t>Demande un changement de garde</t>
  </si>
  <si>
    <t>Soulève qu'à 12 ans il pourra choisir sa garde</t>
  </si>
  <si>
    <t>Bloque les communications</t>
  </si>
  <si>
    <t>Refuse les contacts avec la famille élargie</t>
  </si>
  <si>
    <t>Changement de comportement au moment de retourner chez l'autre</t>
  </si>
  <si>
    <t>N'a pas la permission d'apporter ses objets de chez l'autre</t>
  </si>
  <si>
    <t>Ne peut transporter ses jouets et vêtements</t>
  </si>
  <si>
    <t>Porte des accusations de voler de l'argent</t>
  </si>
  <si>
    <t>Ne salue pas lors d'événements</t>
  </si>
  <si>
    <t>Pense qu'il a été abandonné</t>
  </si>
  <si>
    <t>L'autre parent est parfait à ses yeux</t>
  </si>
  <si>
    <t>Défend son parent</t>
  </si>
  <si>
    <t>SECTION ENFANT  CEV</t>
  </si>
  <si>
    <t>Catégorisation des comportements des parents acteurs</t>
  </si>
  <si>
    <t>Les comportements avec une valeur supérieure à 15 ont été pris pour cette exemple</t>
  </si>
  <si>
    <t>Amplitude des comportements</t>
  </si>
  <si>
    <t>Filtrer du TEST_BIBLE</t>
  </si>
  <si>
    <t>Critère</t>
  </si>
  <si>
    <t>Cette indice révèle la sévérité de la réponse de l'enfant exposé à la dynamique familiale</t>
  </si>
  <si>
    <t>Ce graphique révèle le type et les comportements les plus sévères auxquels est exposé l'enfant</t>
  </si>
  <si>
    <t>critère</t>
  </si>
  <si>
    <t xml:space="preserve">Plus grand que </t>
  </si>
  <si>
    <t>Calme</t>
  </si>
  <si>
    <t>Enjoué</t>
  </si>
  <si>
    <t>Taciturne</t>
  </si>
  <si>
    <t>Anxieux</t>
  </si>
  <si>
    <t>Agressif</t>
  </si>
  <si>
    <t>La réponse de l'enfant d'un point de vue comportemental, émotif et verbal.</t>
  </si>
  <si>
    <t>Ces diagrammes représentent la nature comportementale, émotive et verbale de l'imposition de l'AP par le(s) parent(s) et de la réponse de l'enfant.</t>
  </si>
  <si>
    <t>Ces baromètres présentent les incidences de conflit de loyauté, de conflit sévère de séparation, d'aliénation parentale, et si des comportements de VC ont été détectés.</t>
  </si>
  <si>
    <t>On veut aussi voir si le PCR réagit aux actions du PFA ou a lui-même des comportements AP.</t>
  </si>
  <si>
    <t>On met en interaction tous ces comportements et selon certaines conditions, ils seront associés à de l'AP, un conflit de loyauté ou un conflit sévère de séparation.</t>
  </si>
  <si>
    <t>Calcul des gradients</t>
  </si>
  <si>
    <t>Calcul de l'échelle max de chaque gradient</t>
  </si>
  <si>
    <t>Coparent et NC</t>
  </si>
  <si>
    <t>Valeur totale</t>
  </si>
  <si>
    <t>Globale</t>
  </si>
  <si>
    <t>Coparent|NC-Enfant</t>
  </si>
  <si>
    <t>Début gradient</t>
  </si>
  <si>
    <t>Min où débute un signe</t>
  </si>
  <si>
    <t>Max gradient</t>
  </si>
  <si>
    <t>Représentation graphique</t>
  </si>
  <si>
    <t>Données</t>
  </si>
  <si>
    <t>Risque de  conflit du contexte de coparentalité</t>
  </si>
  <si>
    <t>Contexte de coparentalité</t>
  </si>
  <si>
    <t xml:space="preserve">Quelle est la dynamique de coparentalité ? </t>
  </si>
  <si>
    <t>3 x gradients-accélérateur pour chacun des concepts</t>
  </si>
  <si>
    <t xml:space="preserve">Convergence et divergence dans la coparentalité </t>
  </si>
  <si>
    <t>Tableaux comparatifs entre le parent répondant et le coparent</t>
  </si>
  <si>
    <t xml:space="preserve">Cet indice révèle un contexte de coparentalité favorisant ou non le conflit </t>
  </si>
  <si>
    <t>Intensité AP</t>
  </si>
  <si>
    <t>https://github.com/lflores/linear-gauge</t>
  </si>
  <si>
    <t>Gradient linéaire ou accélérateur (à tester)</t>
  </si>
  <si>
    <t>https://plotly.com/python/v3/linear-gauge-chart/#reference</t>
  </si>
  <si>
    <t>https://plotly.com/python/v3/linear-gauge-chart/</t>
  </si>
  <si>
    <t>Au départ pour sa garde chez l'autre, l'enfant est :</t>
  </si>
  <si>
    <t>À son retour de garde, l'enfant est :</t>
  </si>
  <si>
    <t xml:space="preserve">Symptômes chez l'enfant </t>
  </si>
  <si>
    <t>Ce graphique révèle si la santé de l'enfant a évolué (décliné) depuis la séparation</t>
  </si>
  <si>
    <t xml:space="preserve">Changement dans les relations entre les membres de la famille </t>
  </si>
  <si>
    <t>baromètre comparatif avant et changement (positif ou négatif)</t>
  </si>
  <si>
    <t>Max # de comportements à montrer par acteur</t>
  </si>
  <si>
    <t>Exp.</t>
  </si>
  <si>
    <t>Transformation de l'échelle (AVANT) en échelle de 0 - 10</t>
  </si>
  <si>
    <t>=&gt;</t>
  </si>
  <si>
    <t>https://www.highcharts.com/demo/packed-bubble-split</t>
  </si>
  <si>
    <t>Bulle acteurs et comportements les plus préjudiciables</t>
  </si>
  <si>
    <t xml:space="preserve">Indice d'exclusion parentale </t>
  </si>
  <si>
    <t>Cet indice révèle si des comportements dont l'intention est l'exclusion de l'autre ont été détectés</t>
  </si>
  <si>
    <t>Indice d'exclusion parentale</t>
  </si>
  <si>
    <t>La réaction de l'enfant face à la dynamique</t>
  </si>
  <si>
    <t>Exemple insérer ici, mais devrait être variable selon scénario (Valeur &gt;=15)</t>
  </si>
  <si>
    <t xml:space="preserve">Ce diagramme révèle la réponse de l’enfant à l’exposition des comportements aliénants auxquels il est exposé </t>
  </si>
  <si>
    <t>Résultats</t>
  </si>
  <si>
    <t>Mettre en ordre ces comportements et conserver que ceux qui ont une valeur &gt;= X ou les Y premiers</t>
  </si>
  <si>
    <t>Je ne me souviens pas où j'ai trouvé ce diagramme Funnel, mais c'est celui que nous aimerions voir</t>
  </si>
  <si>
    <t xml:space="preserve">Indice de sévérité des comportements de l'enfant sur le continuum de l'AP  </t>
  </si>
  <si>
    <t>Indice de sévérité chez l'enfant</t>
  </si>
  <si>
    <t>Indice de sévérité chez les parents</t>
  </si>
  <si>
    <t>Indice de contribution chez le nouveau|nouvelle conjoint·e</t>
  </si>
  <si>
    <t>OU</t>
  </si>
  <si>
    <t>2 x 3 bulles CEV sans comportements à l'intérieur</t>
  </si>
  <si>
    <t>https://github.com/elmotec/circlify</t>
  </si>
  <si>
    <t>Nature de la réaction de l'enfant</t>
  </si>
  <si>
    <t>Nature des comportements aliénants des parents</t>
  </si>
  <si>
    <t>Densité des bulles</t>
  </si>
  <si>
    <t>Drapeau rouge possible,</t>
  </si>
  <si>
    <t>Exemple d'infographie pour bloc conseils _ À évaluer</t>
  </si>
  <si>
    <t>Relation avec le NC de l'autre parent</t>
  </si>
  <si>
    <t>Valeur minimale à montrer &gt;=</t>
  </si>
  <si>
    <t>Étiquettes de lignes</t>
  </si>
  <si>
    <t>Total général</t>
  </si>
  <si>
    <t>Comportements préjudiciables</t>
  </si>
  <si>
    <t>Cat_bref</t>
  </si>
  <si>
    <t>Somme de Intensité des comportements/catégorie</t>
  </si>
  <si>
    <t>Critère de tri : &gt;=</t>
  </si>
  <si>
    <t>Exemple</t>
  </si>
  <si>
    <t>Baromètre comparatif avant et changement (positif ou négatif)</t>
  </si>
  <si>
    <t>Gradient linéaire vertical</t>
  </si>
  <si>
    <t xml:space="preserve">Indice de sévérité des comportements auxquels faite face l'enfant et indice de contribution du nouveau ou nouvelle conjoint·e le cas échéant </t>
  </si>
  <si>
    <t>Cet indice révèle la sévérité des comportements préjudiciables auxquels l’enfant est exposé</t>
  </si>
  <si>
    <t>Mettre chaque concept de couleur différente</t>
  </si>
  <si>
    <t>Utiliser la couleur du concept AP (utilisée plus haut)</t>
  </si>
  <si>
    <t>Échelle excellente à absente</t>
  </si>
  <si>
    <t>Quels sont les comportements préjudiciables détectés ?</t>
  </si>
  <si>
    <t>Cet indice révèle les principaux comportements préjudiciables de la dynamique</t>
  </si>
  <si>
    <t>Pour l'automatisation du prototype, il faudrait aller chercher les données dans le tableau croisée de la feuille "Analyse des catégories"</t>
  </si>
  <si>
    <t>automutilation</t>
  </si>
  <si>
    <t>dépression</t>
  </si>
  <si>
    <t>idéation suicidaire</t>
  </si>
  <si>
    <t>Occasionnellement</t>
  </si>
  <si>
    <t xml:space="preserve">Souvent </t>
  </si>
  <si>
    <t>s.o.</t>
  </si>
  <si>
    <t>Si la résultat est S.O. ne pas schématiser le symptôme</t>
  </si>
  <si>
    <t>https://www.highcharts.com/demo/bar-negative-stack</t>
  </si>
  <si>
    <t>Nous aimerions tester les deux concepts : linéaire et gradiant</t>
  </si>
  <si>
    <t>Échelle sur 10 de chaque côté</t>
  </si>
  <si>
    <t>Le baromètre du NC serait plus petit pour démontrer qu'il joue un jeu, mais de moindre importance que le coparent</t>
  </si>
  <si>
    <t>Voir si on restreint le nombre</t>
  </si>
  <si>
    <t>Critères de choix
variable selon le cas:</t>
  </si>
  <si>
    <t>Puisque les symptômes d'automutilation, de dépression et d'idéation suicidaire sont binaires, nous allons les faire apparaitre en drapeau rouge avec l'image</t>
  </si>
  <si>
    <t>Attitude au moment des transferts de garde</t>
  </si>
  <si>
    <t>Ce graphique révèle s'il y a un changement perceptible d’attitude chez l’enfant lors de 
son départ chez l'autre parent et son attitude au retour d’un séjour</t>
  </si>
  <si>
    <t>La dynamique des comportements</t>
  </si>
  <si>
    <t>L'attitude et la santé de l'enfant</t>
  </si>
  <si>
    <t>Intervalle des entrées de données</t>
  </si>
  <si>
    <t>1 ou 2</t>
  </si>
  <si>
    <t>1 à 4</t>
  </si>
  <si>
    <t>chiffre (âge)</t>
  </si>
  <si>
    <t>0,1,2,4,7,10</t>
  </si>
  <si>
    <t>0 ou 1</t>
  </si>
  <si>
    <t>1 à 6</t>
  </si>
  <si>
    <t>1 à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</si>
</sst>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0.0%"/>
    <numFmt numFmtId="167" formatCode="_(* #,##0.0_);_(* \(#,##0.0\);_(* &quot;-&quot;??_);_(@_)"/>
  </numFmts>
  <fonts count="156"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u/>
      <sz val="12"/>
      <color theme="1"/>
      <name val="Calibri"/>
      <family val="2"/>
      <scheme val="minor"/>
    </font>
    <font>
      <b/>
      <u/>
      <sz val="12"/>
      <color theme="1"/>
      <name val="Calibri"/>
      <family val="2"/>
      <scheme val="minor"/>
    </font>
    <font>
      <sz val="8"/>
      <color theme="1"/>
      <name val="Calibri"/>
      <family val="2"/>
      <scheme val="minor"/>
    </font>
    <font>
      <sz val="12"/>
      <color rgb="FFFF0000"/>
      <name val="Calibri"/>
      <family val="2"/>
      <scheme val="minor"/>
    </font>
    <font>
      <sz val="8"/>
      <name val="Calibri"/>
      <family val="2"/>
      <scheme val="minor"/>
    </font>
    <font>
      <sz val="12"/>
      <color theme="1"/>
      <name val="Calibri"/>
      <family val="2"/>
    </font>
    <font>
      <i/>
      <sz val="12"/>
      <color theme="1"/>
      <name val="Calibri"/>
      <family val="2"/>
      <scheme val="minor"/>
    </font>
    <font>
      <sz val="14"/>
      <color theme="1"/>
      <name val="Calibri"/>
      <family val="2"/>
      <scheme val="minor"/>
    </font>
    <font>
      <sz val="18"/>
      <color theme="1"/>
      <name val="Calibri"/>
      <family val="2"/>
      <scheme val="minor"/>
    </font>
    <font>
      <b/>
      <sz val="12"/>
      <color rgb="FFFF0000"/>
      <name val="Calibri"/>
      <family val="2"/>
      <scheme val="minor"/>
    </font>
    <font>
      <b/>
      <sz val="16"/>
      <color theme="0"/>
      <name val="Calibri"/>
      <family val="2"/>
      <scheme val="minor"/>
    </font>
    <font>
      <b/>
      <sz val="20"/>
      <color theme="1"/>
      <name val="Calibri"/>
      <family val="2"/>
      <scheme val="minor"/>
    </font>
    <font>
      <sz val="12"/>
      <color rgb="FF000000"/>
      <name val="Calibri"/>
      <family val="2"/>
      <scheme val="minor"/>
    </font>
    <font>
      <sz val="12"/>
      <color rgb="FF7030A0"/>
      <name val="Calibri"/>
      <family val="2"/>
      <scheme val="minor"/>
    </font>
    <font>
      <sz val="12"/>
      <color rgb="FF7030A0"/>
      <name val="Calibri"/>
      <family val="2"/>
    </font>
    <font>
      <sz val="12"/>
      <name val="Calibri (Corps)"/>
    </font>
    <font>
      <sz val="12"/>
      <color theme="1"/>
      <name val="Calibri (Corps)"/>
    </font>
    <font>
      <sz val="20"/>
      <color theme="1"/>
      <name val="Calibri"/>
      <family val="2"/>
      <scheme val="minor"/>
    </font>
    <font>
      <i/>
      <sz val="9"/>
      <color theme="1"/>
      <name val="Calibri"/>
      <family val="2"/>
      <scheme val="minor"/>
    </font>
    <font>
      <u/>
      <sz val="14"/>
      <color theme="1"/>
      <name val="Calibri"/>
      <family val="2"/>
      <scheme val="minor"/>
    </font>
    <font>
      <sz val="10"/>
      <color theme="1"/>
      <name val="Calibri"/>
      <family val="2"/>
      <scheme val="minor"/>
    </font>
    <font>
      <sz val="11"/>
      <color theme="1"/>
      <name val="Calibri"/>
      <family val="2"/>
      <scheme val="minor"/>
    </font>
    <font>
      <sz val="10"/>
      <color theme="1"/>
      <name val="Calibri (Corps)"/>
    </font>
    <font>
      <sz val="9"/>
      <color theme="1"/>
      <name val="Calibri"/>
      <family val="2"/>
      <scheme val="minor"/>
    </font>
    <font>
      <b/>
      <sz val="18"/>
      <color theme="0"/>
      <name val="Calibri"/>
      <family val="2"/>
    </font>
    <font>
      <sz val="12"/>
      <color rgb="FF000000"/>
      <name val="Calibri"/>
      <family val="2"/>
    </font>
    <font>
      <u/>
      <sz val="16"/>
      <color theme="1"/>
      <name val="Calibri"/>
      <family val="2"/>
      <scheme val="minor"/>
    </font>
    <font>
      <b/>
      <sz val="12"/>
      <color theme="4"/>
      <name val="Calibri"/>
      <family val="2"/>
      <scheme val="minor"/>
    </font>
    <font>
      <i/>
      <sz val="12"/>
      <color rgb="FFFF0000"/>
      <name val="Calibri"/>
      <family val="2"/>
      <scheme val="minor"/>
    </font>
    <font>
      <sz val="20"/>
      <color theme="0"/>
      <name val="Calibri"/>
      <family val="2"/>
      <scheme val="minor"/>
    </font>
    <font>
      <sz val="11"/>
      <color theme="1"/>
      <name val="Calibri (Corps)"/>
    </font>
    <font>
      <b/>
      <u/>
      <sz val="14"/>
      <color theme="1"/>
      <name val="Calibri"/>
      <family val="2"/>
      <scheme val="minor"/>
    </font>
    <font>
      <b/>
      <sz val="18"/>
      <color theme="1"/>
      <name val="Calibri"/>
      <family val="2"/>
      <scheme val="minor"/>
    </font>
    <font>
      <sz val="14"/>
      <name val="Calibri"/>
      <family val="2"/>
      <scheme val="minor"/>
    </font>
    <font>
      <sz val="12"/>
      <name val="Calibri"/>
      <family val="2"/>
      <scheme val="minor"/>
    </font>
    <font>
      <u/>
      <sz val="10"/>
      <color theme="1"/>
      <name val="Calibri"/>
      <family val="2"/>
      <scheme val="minor"/>
    </font>
    <font>
      <u/>
      <sz val="9"/>
      <color theme="1"/>
      <name val="Calibri"/>
      <family val="2"/>
      <scheme val="minor"/>
    </font>
    <font>
      <sz val="11"/>
      <color theme="1"/>
      <name val="Calibri"/>
      <family val="2"/>
    </font>
    <font>
      <sz val="12"/>
      <color rgb="FF353535"/>
      <name val="Calibri"/>
      <family val="2"/>
    </font>
    <font>
      <sz val="12"/>
      <color rgb="FF454545"/>
      <name val="Calibri"/>
      <family val="2"/>
    </font>
    <font>
      <b/>
      <sz val="12"/>
      <color rgb="FFFF0000"/>
      <name val="Calibri"/>
      <family val="2"/>
    </font>
    <font>
      <sz val="12"/>
      <color rgb="FFF20004"/>
      <name val="Calibri"/>
      <family val="2"/>
    </font>
    <font>
      <sz val="10"/>
      <color theme="1"/>
      <name val="Calibri"/>
      <family val="2"/>
    </font>
    <font>
      <sz val="10"/>
      <color rgb="FF000000"/>
      <name val="Calibri"/>
      <family val="2"/>
    </font>
    <font>
      <b/>
      <sz val="12"/>
      <color theme="1"/>
      <name val="Calibri"/>
      <family val="2"/>
    </font>
    <font>
      <b/>
      <sz val="12"/>
      <color theme="1"/>
      <name val="Calibri (Corps)"/>
    </font>
    <font>
      <sz val="9"/>
      <color rgb="FF000000"/>
      <name val="Calibri"/>
      <family val="2"/>
    </font>
    <font>
      <sz val="16"/>
      <color rgb="FF000000"/>
      <name val="Calibri"/>
      <family val="2"/>
    </font>
    <font>
      <b/>
      <sz val="12"/>
      <color rgb="FF000000"/>
      <name val="Calibri"/>
      <family val="2"/>
    </font>
    <font>
      <sz val="12"/>
      <color rgb="FF000000"/>
      <name val="Calibri"/>
      <family val="2"/>
    </font>
    <font>
      <sz val="9"/>
      <color rgb="FF000000"/>
      <name val="Calibri"/>
      <family val="2"/>
    </font>
    <font>
      <sz val="10"/>
      <color rgb="FF000000"/>
      <name val="Calibri"/>
      <family val="2"/>
    </font>
    <font>
      <sz val="11"/>
      <color rgb="FF000000"/>
      <name val="Calibri (Corps)"/>
    </font>
    <font>
      <sz val="10"/>
      <name val="Calibri (Corps)"/>
    </font>
    <font>
      <sz val="20"/>
      <name val="Calibri (Corps)"/>
    </font>
    <font>
      <sz val="12"/>
      <color theme="9" tint="0.79998168889431442"/>
      <name val="Calibri"/>
      <family val="2"/>
    </font>
    <font>
      <sz val="10"/>
      <color theme="9" tint="0.79998168889431442"/>
      <name val="Calibri"/>
      <family val="2"/>
      <scheme val="minor"/>
    </font>
    <font>
      <sz val="9"/>
      <color theme="9" tint="0.79998168889431442"/>
      <name val="Calibri"/>
      <family val="2"/>
    </font>
    <font>
      <sz val="10"/>
      <color theme="9" tint="0.79998168889431442"/>
      <name val="Calibri"/>
      <family val="2"/>
    </font>
    <font>
      <sz val="16"/>
      <color theme="9" tint="0.79998168889431442"/>
      <name val="Calibri"/>
      <family val="2"/>
    </font>
    <font>
      <u/>
      <sz val="10"/>
      <color theme="1"/>
      <name val="Calibri (Corps)"/>
    </font>
    <font>
      <i/>
      <sz val="10"/>
      <color rgb="FFFF0000"/>
      <name val="Calibri (Corps)"/>
    </font>
    <font>
      <sz val="10"/>
      <color rgb="FF7030A0"/>
      <name val="Calibri (Corps)"/>
    </font>
    <font>
      <b/>
      <sz val="10"/>
      <color theme="1"/>
      <name val="Calibri (Corps)"/>
    </font>
    <font>
      <sz val="18"/>
      <color rgb="FF000000"/>
      <name val="Calibri"/>
      <family val="2"/>
      <scheme val="minor"/>
    </font>
    <font>
      <sz val="18"/>
      <color theme="1"/>
      <name val="Calibri (Corps)"/>
    </font>
    <font>
      <sz val="10"/>
      <color rgb="FFFF0000"/>
      <name val="Calibri"/>
      <family val="2"/>
      <scheme val="minor"/>
    </font>
    <font>
      <b/>
      <sz val="22"/>
      <color theme="1"/>
      <name val="Calibri"/>
      <family val="2"/>
      <scheme val="minor"/>
    </font>
    <font>
      <b/>
      <sz val="12"/>
      <color rgb="FF7030A0"/>
      <name val="Calibri"/>
      <family val="2"/>
    </font>
    <font>
      <i/>
      <sz val="10"/>
      <color theme="1"/>
      <name val="Calibri"/>
      <family val="2"/>
      <scheme val="minor"/>
    </font>
    <font>
      <b/>
      <sz val="10"/>
      <color theme="4"/>
      <name val="Calibri (Corps)"/>
    </font>
    <font>
      <sz val="12"/>
      <color theme="3"/>
      <name val="Calibri"/>
      <family val="2"/>
      <scheme val="minor"/>
    </font>
    <font>
      <sz val="12"/>
      <color rgb="FF353535"/>
      <name val="Calibri"/>
      <family val="2"/>
      <scheme val="minor"/>
    </font>
    <font>
      <u/>
      <sz val="12"/>
      <color rgb="FF7030A0"/>
      <name val="Calibri"/>
      <family val="2"/>
    </font>
    <font>
      <b/>
      <sz val="14"/>
      <color rgb="FFFF0000"/>
      <name val="Calibri"/>
      <family val="2"/>
      <scheme val="minor"/>
    </font>
    <font>
      <sz val="16"/>
      <color theme="0"/>
      <name val="Calibri"/>
      <family val="2"/>
      <scheme val="minor"/>
    </font>
    <font>
      <sz val="14"/>
      <color theme="0"/>
      <name val="Calibri"/>
      <family val="2"/>
      <scheme val="minor"/>
    </font>
    <font>
      <sz val="12"/>
      <color theme="0"/>
      <name val="Calibri (Corps)"/>
    </font>
    <font>
      <b/>
      <u/>
      <sz val="18"/>
      <color theme="1"/>
      <name val="Calibri"/>
      <family val="2"/>
      <scheme val="minor"/>
    </font>
    <font>
      <b/>
      <sz val="24"/>
      <color theme="1"/>
      <name val="Calibri"/>
      <family val="2"/>
      <scheme val="minor"/>
    </font>
    <font>
      <sz val="20"/>
      <color rgb="FFFF0000"/>
      <name val="Calibri"/>
      <family val="2"/>
      <scheme val="minor"/>
    </font>
    <font>
      <b/>
      <sz val="16"/>
      <color theme="1"/>
      <name val="Calibri (Corps)"/>
    </font>
    <font>
      <sz val="10"/>
      <color theme="0"/>
      <name val="Calibri"/>
      <family val="2"/>
      <scheme val="minor"/>
    </font>
    <font>
      <sz val="10"/>
      <color rgb="FF000000"/>
      <name val="Calibri (Corps)"/>
    </font>
    <font>
      <sz val="10"/>
      <color theme="9" tint="0.79998168889431442"/>
      <name val="Calibri (Corps)"/>
    </font>
    <font>
      <u/>
      <sz val="12"/>
      <color theme="10"/>
      <name val="Calibri"/>
      <family val="2"/>
      <scheme val="minor"/>
    </font>
    <font>
      <strike/>
      <sz val="12"/>
      <color theme="1"/>
      <name val="Calibri (Corps)"/>
    </font>
    <font>
      <strike/>
      <sz val="10"/>
      <color theme="1"/>
      <name val="Calibri (Corps)"/>
    </font>
    <font>
      <strike/>
      <sz val="10"/>
      <color rgb="FF000000"/>
      <name val="Calibri (Corps)"/>
    </font>
    <font>
      <sz val="10"/>
      <color rgb="FF000000"/>
      <name val="Calibri"/>
      <family val="2"/>
      <scheme val="minor"/>
    </font>
    <font>
      <u/>
      <sz val="16"/>
      <color rgb="FF000000"/>
      <name val="Calibri"/>
      <family val="2"/>
      <scheme val="minor"/>
    </font>
    <font>
      <sz val="14"/>
      <color rgb="FF000000"/>
      <name val="Calibri"/>
      <family val="2"/>
      <scheme val="minor"/>
    </font>
    <font>
      <b/>
      <sz val="20"/>
      <color theme="4"/>
      <name val="Calibri"/>
      <family val="2"/>
      <scheme val="minor"/>
    </font>
    <font>
      <u/>
      <sz val="24"/>
      <color theme="1"/>
      <name val="Calibri"/>
      <family val="2"/>
      <scheme val="minor"/>
    </font>
    <font>
      <u/>
      <sz val="18"/>
      <color rgb="FFFF0000"/>
      <name val="Calibri"/>
      <family val="2"/>
      <scheme val="minor"/>
    </font>
    <font>
      <b/>
      <i/>
      <sz val="12"/>
      <color theme="1"/>
      <name val="Calibri"/>
      <family val="2"/>
      <scheme val="minor"/>
    </font>
    <font>
      <b/>
      <sz val="10"/>
      <color theme="1"/>
      <name val="Calibri"/>
      <family val="2"/>
      <scheme val="minor"/>
    </font>
    <font>
      <u/>
      <sz val="20"/>
      <color theme="1"/>
      <name val="Calibri"/>
      <family val="2"/>
      <scheme val="minor"/>
    </font>
    <font>
      <sz val="12"/>
      <color rgb="FFFF0000"/>
      <name val="Calibri (Corps)"/>
    </font>
    <font>
      <sz val="11"/>
      <color rgb="FFFF0000"/>
      <name val="Calibri (Corps)"/>
    </font>
    <font>
      <u/>
      <sz val="12"/>
      <color theme="0"/>
      <name val="Calibri (Corps)"/>
    </font>
    <font>
      <b/>
      <sz val="14"/>
      <color theme="4"/>
      <name val="Calibri"/>
      <family val="2"/>
      <scheme val="minor"/>
    </font>
    <font>
      <sz val="22"/>
      <name val="Calibri"/>
      <family val="2"/>
      <scheme val="minor"/>
    </font>
    <font>
      <sz val="36"/>
      <color theme="1"/>
      <name val="Calibri"/>
      <family val="2"/>
      <scheme val="minor"/>
    </font>
    <font>
      <sz val="22"/>
      <color theme="1"/>
      <name val="Calibri"/>
      <family val="2"/>
      <scheme val="minor"/>
    </font>
    <font>
      <u/>
      <sz val="12"/>
      <color theme="0"/>
      <name val="Calibri"/>
      <family val="2"/>
      <scheme val="minor"/>
    </font>
    <font>
      <u/>
      <sz val="8"/>
      <color theme="1"/>
      <name val="Calibri"/>
      <family val="2"/>
      <scheme val="minor"/>
    </font>
    <font>
      <sz val="8"/>
      <color theme="0" tint="-0.249977111117893"/>
      <name val="Calibri"/>
      <family val="2"/>
      <scheme val="minor"/>
    </font>
    <font>
      <sz val="8"/>
      <color theme="2" tint="-9.9978637043366805E-2"/>
      <name val="Calibri"/>
      <family val="2"/>
      <scheme val="minor"/>
    </font>
    <font>
      <sz val="18"/>
      <color theme="0"/>
      <name val="Calibri"/>
      <family val="2"/>
      <scheme val="minor"/>
    </font>
    <font>
      <sz val="16"/>
      <color theme="1"/>
      <name val="Calibri"/>
      <family val="2"/>
    </font>
    <font>
      <sz val="9"/>
      <color theme="1"/>
      <name val="Calibri"/>
      <family val="2"/>
    </font>
    <font>
      <sz val="12"/>
      <color rgb="FFF20004"/>
      <name val="Calibri"/>
      <family val="2"/>
      <scheme val="minor"/>
    </font>
    <font>
      <b/>
      <sz val="14"/>
      <color theme="1"/>
      <name val="Calibri (Corps)"/>
    </font>
    <font>
      <sz val="12"/>
      <color rgb="FF000000"/>
      <name val="Calibri (Corps)"/>
    </font>
    <font>
      <b/>
      <sz val="8"/>
      <color theme="1"/>
      <name val="Calibri"/>
      <family val="2"/>
      <scheme val="minor"/>
    </font>
    <font>
      <b/>
      <u/>
      <sz val="16"/>
      <color theme="1"/>
      <name val="Calibri"/>
      <family val="2"/>
      <scheme val="minor"/>
    </font>
    <font>
      <sz val="20"/>
      <color rgb="FFFFFF00"/>
      <name val="Calibri"/>
      <family val="2"/>
      <scheme val="minor"/>
    </font>
    <font>
      <sz val="20"/>
      <color rgb="FFFFC000"/>
      <name val="Calibri"/>
      <family val="2"/>
      <scheme val="minor"/>
    </font>
    <font>
      <b/>
      <sz val="16"/>
      <color theme="4"/>
      <name val="Calibri"/>
      <family val="2"/>
      <scheme val="minor"/>
    </font>
    <font>
      <b/>
      <sz val="8"/>
      <color theme="4"/>
      <name val="Calibri"/>
      <family val="2"/>
      <scheme val="minor"/>
    </font>
    <font>
      <b/>
      <sz val="16"/>
      <color theme="9"/>
      <name val="Calibri"/>
      <family val="2"/>
      <scheme val="minor"/>
    </font>
    <font>
      <b/>
      <sz val="20"/>
      <color rgb="FFFF0000"/>
      <name val="Calibri"/>
      <family val="2"/>
      <scheme val="minor"/>
    </font>
    <font>
      <sz val="10"/>
      <color theme="0"/>
      <name val="Calibri"/>
      <family val="2"/>
    </font>
    <font>
      <sz val="9"/>
      <color theme="0"/>
      <name val="Calibri"/>
      <family val="2"/>
    </font>
    <font>
      <sz val="20"/>
      <color theme="0"/>
      <name val="Calibri (Corps)"/>
    </font>
    <font>
      <sz val="16"/>
      <color theme="0"/>
      <name val="Calibri"/>
      <family val="2"/>
    </font>
    <font>
      <sz val="10"/>
      <color theme="0"/>
      <name val="Calibri (Corps)"/>
    </font>
    <font>
      <strike/>
      <sz val="12"/>
      <color theme="1"/>
      <name val="Calibri"/>
      <family val="2"/>
      <scheme val="minor"/>
    </font>
    <font>
      <strike/>
      <sz val="12"/>
      <color theme="0"/>
      <name val="Calibri"/>
      <family val="2"/>
      <scheme val="minor"/>
    </font>
    <font>
      <b/>
      <sz val="16"/>
      <color rgb="FFFF0000"/>
      <name val="Calibri"/>
      <family val="2"/>
      <scheme val="minor"/>
    </font>
    <font>
      <b/>
      <sz val="12"/>
      <color rgb="FF000000"/>
      <name val="Calibri (Corps)"/>
    </font>
    <font>
      <sz val="10"/>
      <color rgb="FFFF0000"/>
      <name val="Calibri (Corps)"/>
    </font>
    <font>
      <sz val="12"/>
      <color rgb="FFFF2600"/>
      <name val="Calibri"/>
      <family val="2"/>
      <scheme val="minor"/>
    </font>
    <font>
      <sz val="12"/>
      <color rgb="FFFFFF00"/>
      <name val="Calibri"/>
      <family val="2"/>
      <scheme val="minor"/>
    </font>
    <font>
      <sz val="16"/>
      <color rgb="FFFF0000"/>
      <name val="Calibri"/>
      <family val="2"/>
      <scheme val="minor"/>
    </font>
    <font>
      <sz val="18"/>
      <color rgb="FFFF0000"/>
      <name val="Calibri"/>
      <family val="2"/>
      <scheme val="minor"/>
    </font>
    <font>
      <b/>
      <sz val="11"/>
      <color theme="1"/>
      <name val="Calibri"/>
      <family val="2"/>
      <scheme val="minor"/>
    </font>
    <font>
      <sz val="11"/>
      <color theme="0"/>
      <name val="Calibri"/>
      <family val="2"/>
      <scheme val="minor"/>
    </font>
    <font>
      <i/>
      <sz val="10"/>
      <color rgb="FFF20004"/>
      <name val="Calibri"/>
      <family val="2"/>
      <scheme val="minor"/>
    </font>
    <font>
      <u/>
      <sz val="12"/>
      <color theme="2"/>
      <name val="Calibri"/>
      <family val="2"/>
      <scheme val="minor"/>
    </font>
    <font>
      <sz val="12"/>
      <color theme="2"/>
      <name val="Calibri"/>
      <family val="2"/>
      <scheme val="minor"/>
    </font>
    <font>
      <b/>
      <sz val="14"/>
      <color rgb="FF000000"/>
      <name val="Calibri"/>
      <family val="2"/>
      <scheme val="minor"/>
    </font>
    <font>
      <sz val="12"/>
      <color theme="4"/>
      <name val="Calibri"/>
      <family val="2"/>
      <scheme val="minor"/>
    </font>
    <font>
      <i/>
      <sz val="12"/>
      <color theme="4"/>
      <name val="Calibri"/>
      <family val="2"/>
      <scheme val="minor"/>
    </font>
    <font>
      <b/>
      <i/>
      <sz val="12"/>
      <color theme="4"/>
      <name val="Calibri"/>
      <family val="2"/>
      <scheme val="minor"/>
    </font>
    <font>
      <sz val="20"/>
      <name val="Calibri"/>
      <family val="2"/>
      <scheme val="minor"/>
    </font>
    <font>
      <i/>
      <sz val="12"/>
      <color theme="4"/>
      <name val="Helvetica Neue"/>
      <family val="2"/>
    </font>
    <font>
      <sz val="13"/>
      <color theme="1"/>
      <name val="Helvetica Neue"/>
      <family val="2"/>
    </font>
  </fonts>
  <fills count="78">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7E79"/>
        <bgColor indexed="64"/>
      </patternFill>
    </fill>
    <fill>
      <patternFill patternType="solid">
        <fgColor theme="8"/>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rgb="FF7030A0"/>
        <bgColor indexed="64"/>
      </patternFill>
    </fill>
    <fill>
      <patternFill patternType="solid">
        <fgColor theme="0"/>
        <bgColor indexed="64"/>
      </patternFill>
    </fill>
    <fill>
      <patternFill patternType="solid">
        <fgColor rgb="FFFCE4D6"/>
        <bgColor rgb="FF000000"/>
      </patternFill>
    </fill>
    <fill>
      <patternFill patternType="solid">
        <fgColor rgb="FFE2EFDA"/>
        <bgColor rgb="FF000000"/>
      </patternFill>
    </fill>
    <fill>
      <patternFill patternType="solid">
        <fgColor rgb="FFFFF2CC"/>
        <bgColor rgb="FF000000"/>
      </patternFill>
    </fill>
    <fill>
      <patternFill patternType="solid">
        <fgColor theme="4" tint="0.59999389629810485"/>
        <bgColor indexed="64"/>
      </patternFill>
    </fill>
    <fill>
      <patternFill patternType="solid">
        <fgColor theme="2"/>
        <bgColor indexed="64"/>
      </patternFill>
    </fill>
    <fill>
      <patternFill patternType="solid">
        <fgColor theme="4"/>
        <bgColor indexed="64"/>
      </patternFill>
    </fill>
    <fill>
      <patternFill patternType="solid">
        <fgColor theme="9"/>
        <bgColor indexed="64"/>
      </patternFill>
    </fill>
    <fill>
      <patternFill patternType="solid">
        <fgColor rgb="FFFF0000"/>
        <bgColor rgb="FF000000"/>
      </patternFill>
    </fill>
    <fill>
      <patternFill patternType="lightGray">
        <bgColor rgb="FFD9E1F2"/>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0EEFF"/>
        <bgColor indexed="64"/>
      </patternFill>
    </fill>
    <fill>
      <patternFill patternType="solid">
        <fgColor rgb="FFFFE699"/>
        <bgColor rgb="FF000000"/>
      </patternFill>
    </fill>
    <fill>
      <patternFill patternType="solid">
        <fgColor rgb="FFF4B084"/>
        <bgColor rgb="FF000000"/>
      </patternFill>
    </fill>
    <fill>
      <patternFill patternType="solid">
        <fgColor rgb="FFBDD7EE"/>
        <bgColor rgb="FF000000"/>
      </patternFill>
    </fill>
    <fill>
      <patternFill patternType="solid">
        <fgColor rgb="FFF0EEFF"/>
        <bgColor rgb="FF000000"/>
      </patternFill>
    </fill>
    <fill>
      <patternFill patternType="solid">
        <fgColor rgb="FFFFFF00"/>
        <bgColor rgb="FF000000"/>
      </patternFill>
    </fill>
    <fill>
      <patternFill patternType="solid">
        <fgColor rgb="FFE7E6E6"/>
        <bgColor rgb="FF000000"/>
      </patternFill>
    </fill>
    <fill>
      <patternFill patternType="solid">
        <fgColor rgb="FFFF7E79"/>
        <bgColor rgb="FF000000"/>
      </patternFill>
    </fill>
    <fill>
      <patternFill patternType="solid">
        <fgColor rgb="FFEDEDED"/>
        <bgColor rgb="FF000000"/>
      </patternFill>
    </fill>
    <fill>
      <patternFill patternType="solid">
        <fgColor rgb="FFFFFFFF"/>
        <bgColor indexed="64"/>
      </patternFill>
    </fill>
    <fill>
      <patternFill patternType="solid">
        <fgColor theme="5" tint="0.79998168889431442"/>
        <bgColor rgb="FF000000"/>
      </patternFill>
    </fill>
    <fill>
      <patternFill patternType="solid">
        <fgColor theme="9" tint="0.79998168889431442"/>
        <bgColor rgb="FF000000"/>
      </patternFill>
    </fill>
    <fill>
      <patternFill patternType="solid">
        <fgColor theme="7" tint="0.79998168889431442"/>
        <bgColor rgb="FF000000"/>
      </patternFill>
    </fill>
    <fill>
      <patternFill patternType="solid">
        <fgColor rgb="FFFFE699"/>
        <bgColor indexed="64"/>
      </patternFill>
    </fill>
    <fill>
      <patternFill patternType="solid">
        <fgColor theme="7" tint="0.59999389629810485"/>
        <bgColor rgb="FF000000"/>
      </patternFill>
    </fill>
    <fill>
      <patternFill patternType="solid">
        <fgColor theme="5" tint="0.39997558519241921"/>
        <bgColor rgb="FF000000"/>
      </patternFill>
    </fill>
    <fill>
      <patternFill patternType="solid">
        <fgColor rgb="FFED7D31"/>
        <bgColor indexed="64"/>
      </patternFill>
    </fill>
    <fill>
      <patternFill patternType="solid">
        <fgColor theme="9" tint="0.39997558519241921"/>
        <bgColor indexed="64"/>
      </patternFill>
    </fill>
    <fill>
      <patternFill patternType="solid">
        <fgColor rgb="FFE99E62"/>
        <bgColor indexed="64"/>
      </patternFill>
    </fill>
    <fill>
      <patternFill patternType="solid">
        <fgColor rgb="FFE4E868"/>
        <bgColor indexed="64"/>
      </patternFill>
    </fill>
    <fill>
      <patternFill patternType="solid">
        <fgColor rgb="FFD8EA97"/>
        <bgColor indexed="64"/>
      </patternFill>
    </fill>
    <fill>
      <patternFill patternType="solid">
        <fgColor theme="3"/>
        <bgColor indexed="64"/>
      </patternFill>
    </fill>
    <fill>
      <patternFill patternType="solid">
        <fgColor rgb="FFD490DC"/>
        <bgColor indexed="64"/>
      </patternFill>
    </fill>
    <fill>
      <patternFill patternType="solid">
        <fgColor theme="2" tint="-0.249977111117893"/>
        <bgColor indexed="64"/>
      </patternFill>
    </fill>
    <fill>
      <patternFill patternType="solid">
        <fgColor rgb="FFEA9182"/>
        <bgColor indexed="64"/>
      </patternFill>
    </fill>
    <fill>
      <patternFill patternType="solid">
        <fgColor rgb="FFF4E6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ECA0BF"/>
        <bgColor indexed="64"/>
      </patternFill>
    </fill>
    <fill>
      <patternFill patternType="solid">
        <fgColor rgb="FFEED0B0"/>
        <bgColor indexed="64"/>
      </patternFill>
    </fill>
    <fill>
      <patternFill patternType="solid">
        <fgColor rgb="FFF1EBC2"/>
        <bgColor indexed="64"/>
      </patternFill>
    </fill>
    <fill>
      <patternFill patternType="solid">
        <fgColor rgb="FFD9E1F2"/>
        <bgColor rgb="FF000000"/>
      </patternFill>
    </fill>
    <fill>
      <patternFill patternType="solid">
        <fgColor rgb="FFF2F2F2"/>
        <bgColor rgb="FF000000"/>
      </patternFill>
    </fill>
    <fill>
      <patternFill patternType="solid">
        <fgColor rgb="FFF5FAF0"/>
        <bgColor indexed="64"/>
      </patternFill>
    </fill>
    <fill>
      <patternFill patternType="solid">
        <fgColor theme="2" tint="-0.749992370372631"/>
        <bgColor indexed="64"/>
      </patternFill>
    </fill>
    <fill>
      <patternFill patternType="solid">
        <fgColor theme="0" tint="-0.249977111117893"/>
        <bgColor rgb="FF000000"/>
      </patternFill>
    </fill>
    <fill>
      <patternFill patternType="solid">
        <fgColor rgb="FFEED7FC"/>
        <bgColor indexed="64"/>
      </patternFill>
    </fill>
    <fill>
      <patternFill patternType="solid">
        <fgColor theme="0"/>
        <bgColor rgb="FF000000"/>
      </patternFill>
    </fill>
    <fill>
      <patternFill patternType="solid">
        <fgColor theme="9" tint="0.79998168889431442"/>
        <bgColor theme="9" tint="0.79998168889431442"/>
      </patternFill>
    </fill>
  </fills>
  <borders count="101">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hair">
        <color theme="2"/>
      </bottom>
      <diagonal/>
    </border>
    <border>
      <left/>
      <right/>
      <top style="hair">
        <color theme="2"/>
      </top>
      <bottom style="hair">
        <color theme="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top style="hair">
        <color theme="2"/>
      </top>
      <bottom/>
      <diagonal/>
    </border>
    <border>
      <left/>
      <right style="thin">
        <color indexed="64"/>
      </right>
      <top style="thin">
        <color indexed="64"/>
      </top>
      <bottom/>
      <diagonal/>
    </border>
    <border>
      <left/>
      <right style="thin">
        <color indexed="64"/>
      </right>
      <top/>
      <bottom style="thin">
        <color indexed="64"/>
      </bottom>
      <diagonal/>
    </border>
    <border>
      <left/>
      <right/>
      <top/>
      <bottom style="hair">
        <color auto="1"/>
      </bottom>
      <diagonal/>
    </border>
    <border>
      <left/>
      <right/>
      <top style="hair">
        <color auto="1"/>
      </top>
      <bottom style="hair">
        <color auto="1"/>
      </bottom>
      <diagonal/>
    </border>
    <border>
      <left/>
      <right/>
      <top/>
      <bottom style="thick">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auto="1"/>
      </top>
      <bottom/>
      <diagonal/>
    </border>
    <border>
      <left style="hair">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medium">
        <color indexed="64"/>
      </left>
      <right style="medium">
        <color indexed="64"/>
      </right>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style="thin">
        <color indexed="64"/>
      </top>
      <bottom style="thin">
        <color indexed="64"/>
      </bottom>
      <diagonal/>
    </border>
    <border>
      <left style="hair">
        <color indexed="64"/>
      </left>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hair">
        <color indexed="64"/>
      </top>
      <bottom/>
      <diagonal/>
    </border>
    <border>
      <left style="thin">
        <color indexed="64"/>
      </left>
      <right style="hair">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hair">
        <color indexed="64"/>
      </top>
      <bottom/>
      <diagonal/>
    </border>
    <border>
      <left/>
      <right style="hair">
        <color indexed="64"/>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indexed="64"/>
      </left>
      <right/>
      <top/>
      <bottom style="hair">
        <color indexed="64"/>
      </bottom>
      <diagonal/>
    </border>
    <border>
      <left style="medium">
        <color indexed="64"/>
      </left>
      <right/>
      <top style="medium">
        <color indexed="64"/>
      </top>
      <bottom style="hair">
        <color auto="1"/>
      </bottom>
      <diagonal/>
    </border>
    <border>
      <left style="thin">
        <color indexed="64"/>
      </left>
      <right style="thin">
        <color indexed="64"/>
      </right>
      <top style="medium">
        <color indexed="64"/>
      </top>
      <bottom style="hair">
        <color auto="1"/>
      </bottom>
      <diagonal/>
    </border>
    <border>
      <left/>
      <right/>
      <top style="medium">
        <color indexed="64"/>
      </top>
      <bottom style="hair">
        <color auto="1"/>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hair">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ck">
        <color rgb="FFFF0000"/>
      </left>
      <right style="thick">
        <color rgb="FFFF0000"/>
      </right>
      <top style="thick">
        <color rgb="FFFF0000"/>
      </top>
      <bottom style="hair">
        <color auto="1"/>
      </bottom>
      <diagonal/>
    </border>
    <border>
      <left style="thick">
        <color rgb="FFFF0000"/>
      </left>
      <right style="thick">
        <color rgb="FFFF0000"/>
      </right>
      <top/>
      <bottom/>
      <diagonal/>
    </border>
    <border>
      <left style="thick">
        <color rgb="FFFF0000"/>
      </left>
      <right style="thick">
        <color rgb="FFFF0000"/>
      </right>
      <top style="hair">
        <color auto="1"/>
      </top>
      <bottom style="hair">
        <color auto="1"/>
      </bottom>
      <diagonal/>
    </border>
    <border>
      <left style="thick">
        <color rgb="FFFF0000"/>
      </left>
      <right style="thick">
        <color rgb="FFFF0000"/>
      </right>
      <top/>
      <bottom style="thick">
        <color rgb="FFFF0000"/>
      </bottom>
      <diagonal/>
    </border>
    <border>
      <left/>
      <right style="thick">
        <color indexed="64"/>
      </right>
      <top/>
      <bottom style="thin">
        <color indexed="64"/>
      </bottom>
      <diagonal/>
    </border>
    <border>
      <left/>
      <right style="thick">
        <color indexed="64"/>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92" fillId="0" borderId="0" applyNumberFormat="0" applyFill="0" applyBorder="0" applyAlignment="0" applyProtection="0"/>
    <xf numFmtId="0" fontId="28" fillId="0" borderId="0"/>
  </cellStyleXfs>
  <cellXfs count="2302">
    <xf numFmtId="0" fontId="0" fillId="0" borderId="0" xfId="0"/>
    <xf numFmtId="0" fontId="7" fillId="0" borderId="0" xfId="0" applyFont="1" applyAlignment="1">
      <alignment horizontal="center"/>
    </xf>
    <xf numFmtId="0" fontId="0" fillId="0" borderId="0" xfId="0" applyAlignment="1">
      <alignment horizontal="right"/>
    </xf>
    <xf numFmtId="0" fontId="7" fillId="0" borderId="0" xfId="0" applyFont="1"/>
    <xf numFmtId="0" fontId="2"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10" fillId="0" borderId="0" xfId="0" applyFont="1"/>
    <xf numFmtId="0" fontId="0" fillId="6" borderId="0" xfId="0" applyFill="1"/>
    <xf numFmtId="0" fontId="0" fillId="0" borderId="0" xfId="0" applyAlignment="1">
      <alignment horizontal="center" vertical="top"/>
    </xf>
    <xf numFmtId="0" fontId="0" fillId="8" borderId="0" xfId="0" applyFill="1"/>
    <xf numFmtId="0" fontId="0" fillId="0" borderId="0" xfId="0" applyAlignment="1">
      <alignment wrapText="1"/>
    </xf>
    <xf numFmtId="0" fontId="0" fillId="6" borderId="0" xfId="0"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2" borderId="0" xfId="0" applyFill="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6" borderId="0" xfId="0" applyFill="1" applyAlignment="1">
      <alignment vertical="center"/>
    </xf>
    <xf numFmtId="0" fontId="0" fillId="7" borderId="0" xfId="0" applyFill="1" applyAlignment="1">
      <alignment vertical="center"/>
    </xf>
    <xf numFmtId="0" fontId="0" fillId="12" borderId="0" xfId="0" applyFill="1" applyAlignment="1">
      <alignment horizontal="center" vertical="center"/>
    </xf>
    <xf numFmtId="1" fontId="0" fillId="12" borderId="0" xfId="0" applyNumberFormat="1" applyFill="1" applyAlignment="1">
      <alignment horizontal="center" vertical="center" wrapText="1"/>
    </xf>
    <xf numFmtId="1" fontId="0" fillId="12" borderId="0" xfId="0" applyNumberFormat="1" applyFill="1" applyAlignment="1">
      <alignment horizontal="center" vertical="center"/>
    </xf>
    <xf numFmtId="0" fontId="0" fillId="0" borderId="0" xfId="0" applyAlignment="1">
      <alignment vertical="center" wrapText="1"/>
    </xf>
    <xf numFmtId="9" fontId="0" fillId="0" borderId="0" xfId="0" applyNumberFormat="1" applyAlignment="1">
      <alignment horizontal="center" vertical="center"/>
    </xf>
    <xf numFmtId="0" fontId="0" fillId="16" borderId="0" xfId="0" applyFill="1"/>
    <xf numFmtId="0" fontId="0" fillId="16" borderId="0" xfId="0" applyFill="1" applyAlignment="1">
      <alignment horizontal="center" vertical="center"/>
    </xf>
    <xf numFmtId="9" fontId="0" fillId="16" borderId="0" xfId="0" applyNumberFormat="1" applyFill="1" applyAlignment="1">
      <alignment horizontal="center" vertical="center"/>
    </xf>
    <xf numFmtId="0" fontId="7" fillId="16" borderId="0" xfId="0" applyFont="1" applyFill="1" applyAlignment="1">
      <alignment horizontal="center" vertical="center"/>
    </xf>
    <xf numFmtId="0" fontId="7" fillId="16" borderId="0" xfId="0" applyFont="1" applyFill="1" applyAlignment="1">
      <alignment horizontal="center" vertical="center" wrapText="1"/>
    </xf>
    <xf numFmtId="0" fontId="0" fillId="17" borderId="0" xfId="0" applyFill="1" applyAlignment="1">
      <alignment horizontal="center" vertical="center"/>
    </xf>
    <xf numFmtId="0" fontId="7" fillId="17" borderId="0" xfId="0" applyFont="1" applyFill="1" applyAlignment="1">
      <alignment horizontal="center" vertical="center"/>
    </xf>
    <xf numFmtId="1" fontId="0" fillId="16" borderId="0" xfId="0" applyNumberFormat="1" applyFill="1" applyAlignment="1">
      <alignment horizontal="center" vertical="center"/>
    </xf>
    <xf numFmtId="1" fontId="0" fillId="17" borderId="0" xfId="0" applyNumberFormat="1" applyFill="1" applyAlignment="1">
      <alignment horizontal="center" vertical="center"/>
    </xf>
    <xf numFmtId="0" fontId="0" fillId="17" borderId="0" xfId="0" applyFill="1" applyAlignment="1">
      <alignment horizontal="center" vertical="center" wrapText="1"/>
    </xf>
    <xf numFmtId="0" fontId="0" fillId="16" borderId="0" xfId="0" applyFill="1" applyAlignment="1">
      <alignment horizontal="left" vertical="center"/>
    </xf>
    <xf numFmtId="0" fontId="0" fillId="16" borderId="0" xfId="0" applyFill="1" applyAlignment="1">
      <alignment horizontal="right" vertical="center"/>
    </xf>
    <xf numFmtId="9" fontId="0" fillId="17" borderId="0" xfId="2" applyFont="1" applyFill="1" applyAlignment="1">
      <alignment horizontal="center" vertical="center"/>
    </xf>
    <xf numFmtId="0" fontId="0" fillId="17" borderId="0" xfId="0" applyFill="1" applyAlignment="1">
      <alignment horizontal="right" vertical="center"/>
    </xf>
    <xf numFmtId="9" fontId="0" fillId="17" borderId="0" xfId="0" applyNumberFormat="1" applyFill="1" applyAlignment="1">
      <alignment horizontal="center" vertical="center"/>
    </xf>
    <xf numFmtId="0" fontId="7" fillId="16" borderId="0" xfId="0" applyFont="1" applyFill="1" applyAlignment="1">
      <alignment horizontal="center" wrapText="1"/>
    </xf>
    <xf numFmtId="0" fontId="0" fillId="0" borderId="5" xfId="0" applyBorder="1" applyAlignment="1">
      <alignment horizontal="center" vertical="center"/>
    </xf>
    <xf numFmtId="0" fontId="0" fillId="16" borderId="0" xfId="0" applyFill="1" applyAlignment="1" applyProtection="1">
      <alignment horizontal="center" vertical="center"/>
      <protection locked="0"/>
    </xf>
    <xf numFmtId="0" fontId="7" fillId="0" borderId="0" xfId="0" applyFont="1" applyAlignment="1">
      <alignment horizontal="center" vertical="center" wrapText="1"/>
    </xf>
    <xf numFmtId="1" fontId="3" fillId="2" borderId="0" xfId="0" applyNumberFormat="1" applyFont="1" applyFill="1" applyAlignment="1">
      <alignment horizontal="center" vertical="center"/>
    </xf>
    <xf numFmtId="0" fontId="5" fillId="0" borderId="0" xfId="0" applyFont="1"/>
    <xf numFmtId="165" fontId="0" fillId="0" borderId="0" xfId="0" applyNumberFormat="1"/>
    <xf numFmtId="0" fontId="15" fillId="0" borderId="0" xfId="0" applyFont="1"/>
    <xf numFmtId="0" fontId="0" fillId="0" borderId="2" xfId="0" applyBorder="1" applyAlignment="1">
      <alignment horizontal="center" vertical="center"/>
    </xf>
    <xf numFmtId="0" fontId="0" fillId="8" borderId="0" xfId="0" applyFill="1" applyAlignment="1">
      <alignment vertical="center"/>
    </xf>
    <xf numFmtId="0" fontId="20" fillId="0" borderId="3" xfId="0" applyFont="1" applyBorder="1" applyAlignment="1">
      <alignment horizontal="center" vertical="center"/>
    </xf>
    <xf numFmtId="0" fontId="21" fillId="0" borderId="0" xfId="0" applyFont="1" applyAlignment="1">
      <alignment horizontal="left" vertical="center" wrapText="1"/>
    </xf>
    <xf numFmtId="0" fontId="1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0" fillId="7" borderId="0" xfId="0" applyFill="1"/>
    <xf numFmtId="164" fontId="0" fillId="0" borderId="4"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horizontal="center" vertical="center"/>
    </xf>
    <xf numFmtId="0" fontId="0" fillId="8" borderId="0" xfId="0" applyFill="1" applyAlignment="1">
      <alignment vertical="center" wrapText="1"/>
    </xf>
    <xf numFmtId="0" fontId="6" fillId="0" borderId="0" xfId="0" applyFont="1"/>
    <xf numFmtId="0" fontId="3" fillId="2" borderId="0" xfId="0" applyFont="1" applyFill="1" applyAlignment="1">
      <alignment horizontal="left" vertical="center"/>
    </xf>
    <xf numFmtId="0" fontId="0" fillId="2" borderId="0" xfId="0" applyFill="1" applyAlignment="1">
      <alignment horizontal="left" vertical="center"/>
    </xf>
    <xf numFmtId="0" fontId="7" fillId="2" borderId="0" xfId="0" applyFont="1" applyFill="1" applyAlignment="1">
      <alignment horizontal="center" vertical="center"/>
    </xf>
    <xf numFmtId="0" fontId="6" fillId="0" borderId="0" xfId="0" applyFont="1" applyAlignment="1">
      <alignment vertical="top"/>
    </xf>
    <xf numFmtId="0" fontId="0" fillId="0" borderId="10" xfId="0" applyBorder="1"/>
    <xf numFmtId="0" fontId="0" fillId="0" borderId="12" xfId="0" applyBorder="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 fontId="0" fillId="0" borderId="0" xfId="0" applyNumberFormat="1"/>
    <xf numFmtId="0" fontId="0" fillId="28" borderId="0" xfId="0" applyFill="1"/>
    <xf numFmtId="0" fontId="2" fillId="0" borderId="0" xfId="0" applyFont="1"/>
    <xf numFmtId="0" fontId="27" fillId="0" borderId="0" xfId="0" applyFont="1"/>
    <xf numFmtId="1" fontId="3" fillId="11" borderId="17" xfId="0" applyNumberFormat="1" applyFont="1" applyFill="1" applyBorder="1" applyAlignment="1" applyProtection="1">
      <alignment horizontal="center" vertical="center"/>
      <protection locked="0"/>
    </xf>
    <xf numFmtId="0" fontId="9" fillId="12" borderId="17" xfId="0" applyFont="1" applyFill="1" applyBorder="1" applyAlignment="1">
      <alignment horizontal="center" vertical="center" wrapText="1"/>
    </xf>
    <xf numFmtId="0" fontId="2" fillId="0" borderId="0" xfId="0" applyFont="1" applyAlignment="1">
      <alignment horizontal="left" vertical="center"/>
    </xf>
    <xf numFmtId="0" fontId="0" fillId="18" borderId="0" xfId="0" applyFill="1"/>
    <xf numFmtId="9" fontId="0" fillId="0" borderId="0" xfId="2" applyFont="1" applyFill="1" applyAlignment="1">
      <alignment horizontal="center" vertical="center"/>
    </xf>
    <xf numFmtId="0" fontId="0" fillId="0" borderId="10" xfId="0" applyBorder="1" applyAlignment="1">
      <alignment horizontal="center"/>
    </xf>
    <xf numFmtId="0" fontId="0" fillId="31" borderId="0" xfId="0" applyFill="1"/>
    <xf numFmtId="0" fontId="27" fillId="0" borderId="0" xfId="0" applyFont="1" applyAlignment="1">
      <alignment wrapText="1"/>
    </xf>
    <xf numFmtId="0" fontId="13" fillId="0" borderId="0" xfId="0" applyFont="1"/>
    <xf numFmtId="0" fontId="2" fillId="0" borderId="0" xfId="0" applyFont="1" applyAlignment="1">
      <alignment horizontal="center" vertical="center"/>
    </xf>
    <xf numFmtId="0" fontId="27" fillId="0" borderId="0" xfId="0" applyFont="1" applyAlignment="1">
      <alignment vertical="center"/>
    </xf>
    <xf numFmtId="0" fontId="27" fillId="0" borderId="0" xfId="0" quotePrefix="1" applyFont="1" applyAlignment="1">
      <alignment vertical="center"/>
    </xf>
    <xf numFmtId="9" fontId="0" fillId="0" borderId="0" xfId="0" applyNumberFormat="1" applyAlignment="1">
      <alignment horizontal="center"/>
    </xf>
    <xf numFmtId="1" fontId="0" fillId="0" borderId="0" xfId="0" applyNumberFormat="1" applyAlignment="1">
      <alignment horizontal="center" vertical="center" wrapText="1"/>
    </xf>
    <xf numFmtId="1" fontId="0" fillId="0" borderId="0" xfId="0" applyNumberFormat="1" applyAlignment="1">
      <alignment horizontal="left" vertical="center" wrapText="1"/>
    </xf>
    <xf numFmtId="0" fontId="0" fillId="27" borderId="0" xfId="0" applyFill="1" applyAlignment="1">
      <alignment vertical="center"/>
    </xf>
    <xf numFmtId="0" fontId="0" fillId="12" borderId="0" xfId="0" applyFill="1" applyAlignment="1">
      <alignment vertical="center"/>
    </xf>
    <xf numFmtId="0" fontId="0" fillId="18" borderId="0" xfId="0" applyFill="1" applyAlignment="1">
      <alignment horizontal="center" vertical="center" wrapText="1"/>
    </xf>
    <xf numFmtId="0" fontId="7" fillId="18" borderId="0" xfId="0" applyFont="1" applyFill="1" applyAlignment="1">
      <alignment horizontal="center" wrapText="1"/>
    </xf>
    <xf numFmtId="0" fontId="7" fillId="6" borderId="0" xfId="0" applyFont="1" applyFill="1" applyAlignment="1">
      <alignment horizontal="center" wrapText="1"/>
    </xf>
    <xf numFmtId="0" fontId="18" fillId="0" borderId="0" xfId="0" applyFont="1" applyAlignment="1">
      <alignment horizontal="center" vertical="center"/>
    </xf>
    <xf numFmtId="0" fontId="5" fillId="0" borderId="0" xfId="0" applyFont="1" applyAlignment="1">
      <alignment horizontal="center"/>
    </xf>
    <xf numFmtId="1" fontId="25" fillId="0" borderId="0" xfId="0" applyNumberFormat="1" applyFont="1" applyAlignment="1">
      <alignment horizontal="center" vertical="center"/>
    </xf>
    <xf numFmtId="0" fontId="34" fillId="0" borderId="0" xfId="0" applyFont="1" applyAlignment="1">
      <alignment horizontal="center" vertical="center" wrapText="1"/>
    </xf>
    <xf numFmtId="0" fontId="0" fillId="6" borderId="0" xfId="0" applyFill="1" applyAlignment="1">
      <alignment horizontal="left" vertical="center" wrapText="1"/>
    </xf>
    <xf numFmtId="0" fontId="0" fillId="8" borderId="0" xfId="0" applyFill="1" applyAlignment="1">
      <alignment horizontal="left" vertical="center" wrapText="1"/>
    </xf>
    <xf numFmtId="0" fontId="2" fillId="17" borderId="0" xfId="0" applyFont="1" applyFill="1" applyAlignment="1">
      <alignment horizontal="left" vertical="center"/>
    </xf>
    <xf numFmtId="0" fontId="14" fillId="0" borderId="0" xfId="0" applyFont="1"/>
    <xf numFmtId="0" fontId="26" fillId="0" borderId="0" xfId="0" applyFont="1" applyAlignment="1">
      <alignment vertical="center"/>
    </xf>
    <xf numFmtId="0" fontId="0" fillId="0" borderId="0" xfId="0" applyAlignment="1">
      <alignment vertical="top"/>
    </xf>
    <xf numFmtId="0" fontId="0" fillId="10" borderId="0" xfId="0" applyFill="1"/>
    <xf numFmtId="0" fontId="3" fillId="2" borderId="0" xfId="0" applyFont="1" applyFill="1" applyAlignment="1">
      <alignment horizontal="center" vertical="center"/>
    </xf>
    <xf numFmtId="0" fontId="15" fillId="16" borderId="0" xfId="0" applyFont="1" applyFill="1" applyAlignment="1">
      <alignment horizontal="center"/>
    </xf>
    <xf numFmtId="0" fontId="14" fillId="0" borderId="0" xfId="0" applyFont="1" applyAlignment="1">
      <alignment horizontal="left" vertical="center"/>
    </xf>
    <xf numFmtId="0" fontId="27" fillId="0" borderId="0" xfId="0" applyFont="1" applyAlignment="1">
      <alignment horizontal="right" vertical="center"/>
    </xf>
    <xf numFmtId="0" fontId="0" fillId="27" borderId="0" xfId="0" applyFill="1"/>
    <xf numFmtId="0" fontId="6" fillId="27" borderId="0" xfId="0" applyFont="1" applyFill="1"/>
    <xf numFmtId="0" fontId="14" fillId="0" borderId="0" xfId="0" applyFont="1" applyAlignment="1">
      <alignment vertical="center" wrapText="1"/>
    </xf>
    <xf numFmtId="1" fontId="0" fillId="0" borderId="0" xfId="0" applyNumberFormat="1" applyAlignment="1">
      <alignment horizontal="center"/>
    </xf>
    <xf numFmtId="0" fontId="41" fillId="0" borderId="0" xfId="0" applyFont="1"/>
    <xf numFmtId="0" fontId="0" fillId="19" borderId="0" xfId="0" applyFill="1"/>
    <xf numFmtId="0" fontId="38" fillId="0" borderId="0" xfId="0" applyFont="1" applyAlignment="1">
      <alignment horizontal="center"/>
    </xf>
    <xf numFmtId="0" fontId="31" fillId="0" borderId="0" xfId="0" applyFont="1" applyAlignment="1">
      <alignment horizontal="center" vertical="center" wrapText="1"/>
    </xf>
    <xf numFmtId="0" fontId="33" fillId="0" borderId="0" xfId="0" applyFont="1" applyAlignment="1">
      <alignment horizontal="left" vertical="center" wrapText="1"/>
    </xf>
    <xf numFmtId="0" fontId="10" fillId="7" borderId="22" xfId="0" applyFont="1" applyFill="1" applyBorder="1" applyAlignment="1">
      <alignment horizontal="left" vertical="center" wrapText="1"/>
    </xf>
    <xf numFmtId="0" fontId="0" fillId="7" borderId="22" xfId="0" applyFill="1" applyBorder="1" applyAlignment="1">
      <alignment horizontal="left" vertical="center" wrapText="1"/>
    </xf>
    <xf numFmtId="0" fontId="0" fillId="7" borderId="23" xfId="0" applyFill="1" applyBorder="1" applyAlignment="1">
      <alignment horizontal="center" vertical="center" wrapText="1"/>
    </xf>
    <xf numFmtId="0" fontId="0" fillId="7" borderId="16" xfId="0" applyFill="1" applyBorder="1" applyAlignment="1">
      <alignment horizontal="center" vertical="center" wrapText="1"/>
    </xf>
    <xf numFmtId="0" fontId="27" fillId="12" borderId="0" xfId="0" applyFont="1" applyFill="1" applyAlignment="1">
      <alignment horizontal="center" vertical="center"/>
    </xf>
    <xf numFmtId="0" fontId="39" fillId="16" borderId="0" xfId="0" applyFont="1" applyFill="1" applyAlignment="1">
      <alignment horizontal="left"/>
    </xf>
    <xf numFmtId="0" fontId="0" fillId="7" borderId="0" xfId="0" applyFill="1" applyAlignment="1">
      <alignment horizontal="right" vertical="center"/>
    </xf>
    <xf numFmtId="0" fontId="0" fillId="7" borderId="15" xfId="0" applyFill="1" applyBorder="1" applyAlignment="1">
      <alignment horizontal="left" vertical="center" wrapText="1"/>
    </xf>
    <xf numFmtId="0" fontId="0" fillId="17" borderId="22" xfId="0" applyFill="1" applyBorder="1" applyAlignment="1">
      <alignment horizontal="left" vertical="center" wrapText="1"/>
    </xf>
    <xf numFmtId="0" fontId="9" fillId="0" borderId="0" xfId="0" applyFont="1" applyAlignment="1">
      <alignment horizontal="left" vertical="center"/>
    </xf>
    <xf numFmtId="0" fontId="0" fillId="28" borderId="0" xfId="0" applyFill="1" applyAlignment="1">
      <alignment vertical="top"/>
    </xf>
    <xf numFmtId="0" fontId="0" fillId="28" borderId="0" xfId="0" applyFill="1" applyAlignment="1">
      <alignment vertical="center"/>
    </xf>
    <xf numFmtId="0" fontId="0" fillId="4" borderId="16" xfId="0" applyFill="1" applyBorder="1" applyAlignment="1">
      <alignment horizontal="center" vertical="center" wrapText="1"/>
    </xf>
    <xf numFmtId="0" fontId="27" fillId="0" borderId="0" xfId="0" applyFont="1" applyAlignment="1">
      <alignment horizontal="center" vertical="center"/>
    </xf>
    <xf numFmtId="0" fontId="30" fillId="0" borderId="26" xfId="0" applyFont="1" applyBorder="1" applyAlignment="1">
      <alignment horizontal="center"/>
    </xf>
    <xf numFmtId="0" fontId="27" fillId="0" borderId="30" xfId="0" applyFont="1" applyBorder="1" applyAlignment="1">
      <alignment horizontal="center" vertical="center" wrapText="1"/>
    </xf>
    <xf numFmtId="0" fontId="27" fillId="4" borderId="30" xfId="0" applyFont="1" applyFill="1" applyBorder="1" applyAlignment="1">
      <alignment horizontal="center" vertical="center" wrapText="1"/>
    </xf>
    <xf numFmtId="0" fontId="7" fillId="12" borderId="33" xfId="0" applyFont="1" applyFill="1" applyBorder="1" applyAlignment="1">
      <alignment horizontal="center" vertical="center" wrapText="1"/>
    </xf>
    <xf numFmtId="9" fontId="30" fillId="0" borderId="35" xfId="2" applyFont="1" applyBorder="1" applyAlignment="1">
      <alignment horizontal="center" vertical="center"/>
    </xf>
    <xf numFmtId="9" fontId="27" fillId="0" borderId="35" xfId="2" applyFont="1" applyBorder="1" applyAlignment="1">
      <alignment horizontal="center" vertical="center"/>
    </xf>
    <xf numFmtId="9" fontId="30" fillId="0" borderId="22" xfId="2" applyFont="1" applyBorder="1" applyAlignment="1">
      <alignment horizontal="center" vertical="center"/>
    </xf>
    <xf numFmtId="0" fontId="0" fillId="36" borderId="9" xfId="0" applyFill="1" applyBorder="1" applyAlignment="1">
      <alignment horizontal="center" vertical="center" wrapText="1"/>
    </xf>
    <xf numFmtId="0" fontId="0" fillId="7" borderId="9" xfId="0" applyFill="1" applyBorder="1" applyAlignment="1">
      <alignment horizontal="center" vertical="center" wrapText="1"/>
    </xf>
    <xf numFmtId="0" fontId="0" fillId="17" borderId="9" xfId="0" applyFill="1" applyBorder="1" applyAlignment="1">
      <alignment horizontal="center" vertical="center" wrapText="1"/>
    </xf>
    <xf numFmtId="0" fontId="0" fillId="7" borderId="7" xfId="0" applyFill="1" applyBorder="1" applyAlignment="1">
      <alignment horizontal="center" vertical="center" wrapText="1"/>
    </xf>
    <xf numFmtId="0" fontId="0" fillId="3" borderId="9" xfId="0" applyFill="1" applyBorder="1" applyAlignment="1">
      <alignment horizontal="center" vertical="center" wrapText="1"/>
    </xf>
    <xf numFmtId="0" fontId="0" fillId="0" borderId="36" xfId="0" applyBorder="1"/>
    <xf numFmtId="0" fontId="32" fillId="24" borderId="15" xfId="0" applyFont="1" applyFill="1" applyBorder="1" applyAlignment="1">
      <alignment horizontal="center" vertical="center"/>
    </xf>
    <xf numFmtId="0" fontId="32" fillId="25" borderId="15" xfId="0" applyFont="1" applyFill="1" applyBorder="1" applyAlignment="1">
      <alignment horizontal="center" vertical="center"/>
    </xf>
    <xf numFmtId="0" fontId="32" fillId="24" borderId="15" xfId="0" applyFont="1" applyFill="1" applyBorder="1" applyAlignment="1">
      <alignment horizontal="center" vertical="center" wrapText="1"/>
    </xf>
    <xf numFmtId="0" fontId="32" fillId="44" borderId="15" xfId="0" applyFont="1" applyFill="1" applyBorder="1" applyAlignment="1">
      <alignment horizontal="center" vertical="center" wrapText="1"/>
    </xf>
    <xf numFmtId="0" fontId="32" fillId="25" borderId="15" xfId="0" applyFont="1" applyFill="1" applyBorder="1" applyAlignment="1">
      <alignment horizontal="center" vertical="center" wrapText="1"/>
    </xf>
    <xf numFmtId="0" fontId="42" fillId="0" borderId="0" xfId="0" applyFont="1" applyAlignment="1">
      <alignment vertical="center"/>
    </xf>
    <xf numFmtId="1" fontId="0" fillId="48" borderId="0" xfId="0" applyNumberFormat="1" applyFill="1" applyAlignment="1">
      <alignment horizontal="center" vertical="center" wrapText="1"/>
    </xf>
    <xf numFmtId="1" fontId="0" fillId="48" borderId="0" xfId="0" applyNumberFormat="1" applyFill="1" applyAlignment="1">
      <alignment horizontal="center" vertical="center"/>
    </xf>
    <xf numFmtId="0" fontId="0" fillId="0" borderId="15" xfId="0" applyBorder="1" applyAlignment="1">
      <alignment horizontal="left" vertical="center" wrapText="1"/>
    </xf>
    <xf numFmtId="0" fontId="9" fillId="0" borderId="0" xfId="0" applyFont="1" applyAlignment="1">
      <alignment horizontal="center" vertical="center" wrapText="1"/>
    </xf>
    <xf numFmtId="0" fontId="0" fillId="0" borderId="3" xfId="0" applyBorder="1" applyAlignment="1">
      <alignment vertical="center" wrapText="1"/>
    </xf>
    <xf numFmtId="0" fontId="0" fillId="7" borderId="3" xfId="0" applyFill="1" applyBorder="1" applyAlignment="1">
      <alignment vertical="center" wrapText="1"/>
    </xf>
    <xf numFmtId="164" fontId="0" fillId="0" borderId="0"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vertical="center"/>
    </xf>
    <xf numFmtId="0" fontId="0" fillId="7" borderId="3" xfId="0" applyFill="1" applyBorder="1" applyAlignment="1">
      <alignment horizontal="right" vertical="center" wrapText="1"/>
    </xf>
    <xf numFmtId="0" fontId="22" fillId="0" borderId="0" xfId="0" applyFont="1"/>
    <xf numFmtId="0" fontId="60" fillId="0" borderId="0" xfId="0" applyFont="1" applyAlignment="1">
      <alignment horizontal="center" vertical="center"/>
    </xf>
    <xf numFmtId="0" fontId="61" fillId="0" borderId="0" xfId="0" applyFont="1" applyAlignment="1">
      <alignment vertical="center" textRotation="90"/>
    </xf>
    <xf numFmtId="0" fontId="0" fillId="29" borderId="0" xfId="0" applyFill="1" applyAlignment="1">
      <alignment vertical="center"/>
    </xf>
    <xf numFmtId="9" fontId="0" fillId="0" borderId="0" xfId="0" applyNumberFormat="1"/>
    <xf numFmtId="0" fontId="56" fillId="25" borderId="15" xfId="0" applyFont="1" applyFill="1" applyBorder="1" applyAlignment="1">
      <alignment horizontal="center" vertical="center" wrapText="1"/>
    </xf>
    <xf numFmtId="0" fontId="32" fillId="50" borderId="0" xfId="0" applyFont="1" applyFill="1" applyAlignment="1">
      <alignment horizontal="center" vertical="center" wrapText="1"/>
    </xf>
    <xf numFmtId="0" fontId="32" fillId="44" borderId="0" xfId="0" applyFont="1" applyFill="1" applyAlignment="1">
      <alignment horizontal="center" vertical="center" wrapText="1"/>
    </xf>
    <xf numFmtId="9" fontId="0" fillId="0" borderId="0" xfId="2" applyFont="1" applyFill="1" applyAlignment="1">
      <alignment horizontal="center" vertical="center" wrapText="1"/>
    </xf>
    <xf numFmtId="0" fontId="32" fillId="51" borderId="15" xfId="0" applyFont="1" applyFill="1" applyBorder="1" applyAlignment="1">
      <alignment horizontal="center" vertical="center" wrapText="1"/>
    </xf>
    <xf numFmtId="0" fontId="55" fillId="40" borderId="19" xfId="0" applyFont="1" applyFill="1" applyBorder="1" applyAlignment="1">
      <alignment horizontal="center" vertical="center" wrapText="1"/>
    </xf>
    <xf numFmtId="0" fontId="55" fillId="24" borderId="7" xfId="0" applyFont="1" applyFill="1" applyBorder="1" applyAlignment="1">
      <alignment horizontal="center" vertical="center" wrapText="1"/>
    </xf>
    <xf numFmtId="0" fontId="2" fillId="17" borderId="0" xfId="0" applyFont="1" applyFill="1" applyAlignment="1">
      <alignment horizontal="center" vertical="center" wrapText="1"/>
    </xf>
    <xf numFmtId="0" fontId="32" fillId="32" borderId="19" xfId="0" applyFont="1" applyFill="1" applyBorder="1" applyAlignment="1">
      <alignment horizontal="center" vertical="center" wrapText="1"/>
    </xf>
    <xf numFmtId="0" fontId="0" fillId="36" borderId="16" xfId="0" applyFill="1" applyBorder="1" applyAlignment="1">
      <alignment horizontal="center" vertical="center" wrapText="1"/>
    </xf>
    <xf numFmtId="0" fontId="27" fillId="0" borderId="0" xfId="0" applyFont="1" applyAlignment="1">
      <alignment horizontal="left"/>
    </xf>
    <xf numFmtId="0" fontId="27" fillId="38" borderId="24" xfId="0" applyFont="1" applyFill="1" applyBorder="1" applyAlignment="1">
      <alignment horizontal="left" vertical="center"/>
    </xf>
    <xf numFmtId="0" fontId="27" fillId="39" borderId="24" xfId="0" applyFont="1" applyFill="1" applyBorder="1" applyAlignment="1">
      <alignment horizontal="left" vertical="center"/>
    </xf>
    <xf numFmtId="0" fontId="27" fillId="27" borderId="24" xfId="0" applyFont="1" applyFill="1" applyBorder="1" applyAlignment="1">
      <alignment horizontal="left" vertical="center"/>
    </xf>
    <xf numFmtId="0" fontId="27" fillId="5" borderId="24" xfId="0" applyFont="1" applyFill="1" applyBorder="1" applyAlignment="1">
      <alignment horizontal="left" vertical="center"/>
    </xf>
    <xf numFmtId="0" fontId="27" fillId="9" borderId="24" xfId="0" applyFont="1" applyFill="1" applyBorder="1" applyAlignment="1">
      <alignment horizontal="left" vertical="center"/>
    </xf>
    <xf numFmtId="0" fontId="27" fillId="8" borderId="24" xfId="0" applyFont="1" applyFill="1" applyBorder="1" applyAlignment="1">
      <alignment horizontal="left" vertical="center"/>
    </xf>
    <xf numFmtId="0" fontId="50" fillId="41" borderId="24" xfId="0" applyFont="1" applyFill="1" applyBorder="1" applyAlignment="1">
      <alignment horizontal="left" vertical="center" wrapText="1"/>
    </xf>
    <xf numFmtId="0" fontId="50" fillId="42" borderId="41" xfId="0" applyFont="1" applyFill="1" applyBorder="1" applyAlignment="1">
      <alignment horizontal="left" vertical="center"/>
    </xf>
    <xf numFmtId="0" fontId="27" fillId="6" borderId="24" xfId="0" applyFont="1" applyFill="1" applyBorder="1" applyAlignment="1">
      <alignment horizontal="left" vertical="center"/>
    </xf>
    <xf numFmtId="0" fontId="0" fillId="52" borderId="26" xfId="0" applyFill="1" applyBorder="1" applyAlignment="1">
      <alignment horizontal="center" vertical="center" wrapText="1"/>
    </xf>
    <xf numFmtId="0" fontId="30" fillId="0" borderId="26" xfId="0" applyFont="1" applyBorder="1" applyAlignment="1">
      <alignment horizontal="center" vertical="center"/>
    </xf>
    <xf numFmtId="0" fontId="30" fillId="38" borderId="35" xfId="0" applyFont="1" applyFill="1" applyBorder="1" applyAlignment="1">
      <alignment horizontal="center" vertical="center"/>
    </xf>
    <xf numFmtId="0" fontId="32" fillId="24" borderId="44" xfId="0" applyFont="1" applyFill="1" applyBorder="1" applyAlignment="1">
      <alignment horizontal="center" vertical="center" wrapText="1"/>
    </xf>
    <xf numFmtId="0" fontId="32" fillId="24" borderId="14" xfId="0" applyFont="1" applyFill="1" applyBorder="1" applyAlignment="1">
      <alignment horizontal="center" vertical="center" wrapText="1"/>
    </xf>
    <xf numFmtId="0" fontId="32" fillId="25" borderId="14" xfId="0" applyFont="1" applyFill="1" applyBorder="1" applyAlignment="1">
      <alignment horizontal="center" vertical="center" wrapText="1"/>
    </xf>
    <xf numFmtId="0" fontId="32" fillId="51" borderId="14" xfId="0" applyFont="1" applyFill="1" applyBorder="1" applyAlignment="1">
      <alignment horizontal="center" vertical="center" wrapText="1"/>
    </xf>
    <xf numFmtId="0" fontId="32" fillId="24" borderId="8" xfId="0" applyFont="1" applyFill="1" applyBorder="1" applyAlignment="1">
      <alignment horizontal="center" vertical="center" wrapText="1"/>
    </xf>
    <xf numFmtId="0" fontId="32" fillId="50" borderId="2" xfId="0" applyFont="1" applyFill="1" applyBorder="1" applyAlignment="1">
      <alignment horizontal="center" vertical="center" wrapText="1"/>
    </xf>
    <xf numFmtId="0" fontId="32" fillId="51" borderId="2" xfId="0" applyFont="1" applyFill="1" applyBorder="1" applyAlignment="1">
      <alignment horizontal="center" vertical="center" wrapText="1"/>
    </xf>
    <xf numFmtId="0" fontId="32" fillId="50" borderId="14" xfId="0" applyFont="1" applyFill="1" applyBorder="1" applyAlignment="1">
      <alignment horizontal="center" vertical="center" wrapText="1"/>
    </xf>
    <xf numFmtId="0" fontId="32" fillId="40" borderId="8" xfId="0" applyFont="1" applyFill="1" applyBorder="1" applyAlignment="1">
      <alignment horizontal="center" vertical="center" wrapText="1"/>
    </xf>
    <xf numFmtId="0" fontId="0" fillId="6" borderId="16" xfId="0" applyFill="1" applyBorder="1" applyAlignment="1">
      <alignment horizontal="center" vertical="center" wrapText="1"/>
    </xf>
    <xf numFmtId="0" fontId="0" fillId="35" borderId="9" xfId="0" applyFill="1" applyBorder="1" applyAlignment="1">
      <alignment horizontal="center" vertical="center" wrapText="1"/>
    </xf>
    <xf numFmtId="0" fontId="0" fillId="35" borderId="22" xfId="0" applyFill="1" applyBorder="1" applyAlignment="1">
      <alignment horizontal="left" vertical="center" wrapText="1"/>
    </xf>
    <xf numFmtId="0" fontId="0" fillId="35" borderId="16" xfId="0" applyFill="1" applyBorder="1" applyAlignment="1">
      <alignment horizontal="center" vertical="center" wrapText="1"/>
    </xf>
    <xf numFmtId="0" fontId="0" fillId="35" borderId="31" xfId="0" applyFill="1" applyBorder="1" applyAlignment="1">
      <alignment horizontal="left" vertical="center" wrapText="1"/>
    </xf>
    <xf numFmtId="0" fontId="0" fillId="35" borderId="23" xfId="0" applyFill="1" applyBorder="1" applyAlignment="1">
      <alignment horizontal="center" vertical="center" wrapText="1"/>
    </xf>
    <xf numFmtId="0" fontId="0" fillId="35" borderId="16" xfId="0" quotePrefix="1" applyFill="1" applyBorder="1" applyAlignment="1">
      <alignment horizontal="center" vertical="center" wrapText="1"/>
    </xf>
    <xf numFmtId="0" fontId="0" fillId="36" borderId="7" xfId="0" applyFill="1" applyBorder="1" applyAlignment="1">
      <alignment horizontal="center" vertical="center" wrapText="1"/>
    </xf>
    <xf numFmtId="0" fontId="32" fillId="54" borderId="7" xfId="0" applyFont="1" applyFill="1" applyBorder="1" applyAlignment="1">
      <alignment horizontal="center" vertical="center" wrapText="1"/>
    </xf>
    <xf numFmtId="0" fontId="0" fillId="35" borderId="16" xfId="0" applyFill="1" applyBorder="1" applyAlignment="1">
      <alignment horizontal="left" vertical="center" wrapText="1"/>
    </xf>
    <xf numFmtId="0" fontId="0" fillId="35" borderId="15" xfId="0" applyFill="1" applyBorder="1" applyAlignment="1">
      <alignment horizontal="left" vertical="center" wrapText="1"/>
    </xf>
    <xf numFmtId="0" fontId="32" fillId="24" borderId="0" xfId="0" applyFont="1" applyFill="1" applyAlignment="1">
      <alignment vertical="center" wrapText="1"/>
    </xf>
    <xf numFmtId="0" fontId="32" fillId="32" borderId="16" xfId="0" applyFont="1" applyFill="1" applyBorder="1" applyAlignment="1">
      <alignment horizontal="center" vertical="center" wrapText="1"/>
    </xf>
    <xf numFmtId="0" fontId="32" fillId="32" borderId="15" xfId="0" applyFont="1" applyFill="1" applyBorder="1" applyAlignment="1">
      <alignment horizontal="center" vertical="center" wrapText="1"/>
    </xf>
    <xf numFmtId="0" fontId="23" fillId="52" borderId="16"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36" borderId="16" xfId="0" applyFont="1" applyFill="1" applyBorder="1" applyAlignment="1">
      <alignment horizontal="center" vertical="center" wrapText="1"/>
    </xf>
    <xf numFmtId="0" fontId="23" fillId="36" borderId="16" xfId="0" applyFont="1" applyFill="1" applyBorder="1" applyAlignment="1" applyProtection="1">
      <alignment horizontal="center" vertical="center" wrapText="1"/>
      <protection locked="0"/>
    </xf>
    <xf numFmtId="0" fontId="23" fillId="4" borderId="16" xfId="0" applyFont="1" applyFill="1" applyBorder="1" applyAlignment="1">
      <alignment horizontal="center" vertical="center" wrapText="1"/>
    </xf>
    <xf numFmtId="0" fontId="23" fillId="3" borderId="16" xfId="0" applyFont="1" applyFill="1" applyBorder="1" applyAlignment="1">
      <alignment horizontal="center" vertical="center" wrapText="1"/>
    </xf>
    <xf numFmtId="0" fontId="32" fillId="24" borderId="28" xfId="0" applyFont="1" applyFill="1" applyBorder="1" applyAlignment="1">
      <alignment vertical="center" wrapText="1"/>
    </xf>
    <xf numFmtId="0" fontId="27" fillId="35" borderId="38" xfId="0" applyFont="1" applyFill="1" applyBorder="1" applyAlignment="1">
      <alignment horizontal="center" vertical="center" wrapText="1"/>
    </xf>
    <xf numFmtId="0" fontId="27" fillId="9" borderId="38" xfId="0" applyFont="1" applyFill="1" applyBorder="1" applyAlignment="1">
      <alignment horizontal="center" vertical="center" wrapText="1"/>
    </xf>
    <xf numFmtId="0" fontId="0" fillId="35" borderId="2" xfId="0" applyFill="1" applyBorder="1" applyAlignment="1">
      <alignment horizontal="center" vertical="center" wrapText="1"/>
    </xf>
    <xf numFmtId="0" fontId="0" fillId="35" borderId="2" xfId="0" applyFill="1" applyBorder="1" applyAlignment="1">
      <alignment horizontal="center" vertical="center"/>
    </xf>
    <xf numFmtId="0" fontId="0" fillId="7" borderId="2" xfId="0" applyFill="1" applyBorder="1" applyAlignment="1">
      <alignment horizontal="center" vertical="center" wrapText="1"/>
    </xf>
    <xf numFmtId="0" fontId="0" fillId="4" borderId="2" xfId="0" applyFill="1" applyBorder="1" applyAlignment="1">
      <alignment horizontal="center" vertical="center" wrapText="1"/>
    </xf>
    <xf numFmtId="0" fontId="32" fillId="32" borderId="2" xfId="0" applyFont="1" applyFill="1" applyBorder="1" applyAlignment="1">
      <alignment horizontal="center" vertical="center" wrapText="1"/>
    </xf>
    <xf numFmtId="0" fontId="23" fillId="52" borderId="2" xfId="0" applyFont="1" applyFill="1" applyBorder="1" applyAlignment="1">
      <alignment horizontal="center" vertical="center" wrapText="1"/>
    </xf>
    <xf numFmtId="0" fontId="12" fillId="32"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0" fillId="52" borderId="2" xfId="0" applyFill="1" applyBorder="1" applyAlignment="1">
      <alignment horizontal="center" vertical="center"/>
    </xf>
    <xf numFmtId="0" fontId="56" fillId="25" borderId="2" xfId="0" applyFont="1" applyFill="1" applyBorder="1" applyAlignment="1">
      <alignment horizontal="center" vertical="center" wrapText="1"/>
    </xf>
    <xf numFmtId="0" fontId="32" fillId="25" borderId="2" xfId="0" applyFont="1" applyFill="1" applyBorder="1" applyAlignment="1">
      <alignment horizontal="center" vertical="center" wrapText="1"/>
    </xf>
    <xf numFmtId="0" fontId="23" fillId="7" borderId="2" xfId="0" applyFont="1" applyFill="1" applyBorder="1" applyAlignment="1">
      <alignment horizontal="center" vertical="center" wrapText="1"/>
    </xf>
    <xf numFmtId="0" fontId="23" fillId="36" borderId="2" xfId="0" applyFont="1" applyFill="1" applyBorder="1" applyAlignment="1">
      <alignment horizontal="center" vertical="center" wrapText="1"/>
    </xf>
    <xf numFmtId="0" fontId="23" fillId="36" borderId="2" xfId="0" applyFont="1" applyFill="1" applyBorder="1" applyAlignment="1" applyProtection="1">
      <alignment horizontal="center" vertical="center" wrapText="1"/>
      <protection locked="0"/>
    </xf>
    <xf numFmtId="0" fontId="0" fillId="36" borderId="2" xfId="0" applyFill="1" applyBorder="1" applyAlignment="1">
      <alignment horizontal="center" vertical="center" wrapText="1"/>
    </xf>
    <xf numFmtId="0" fontId="0" fillId="36" borderId="2" xfId="0" quotePrefix="1" applyFill="1" applyBorder="1" applyAlignment="1">
      <alignment horizontal="center" vertical="center" wrapText="1"/>
    </xf>
    <xf numFmtId="0" fontId="32" fillId="24" borderId="2" xfId="0" applyFont="1" applyFill="1" applyBorder="1" applyAlignment="1">
      <alignment horizontal="center" vertical="center"/>
    </xf>
    <xf numFmtId="0" fontId="32" fillId="25" borderId="2" xfId="0" applyFont="1" applyFill="1" applyBorder="1" applyAlignment="1">
      <alignment horizontal="center" vertical="center"/>
    </xf>
    <xf numFmtId="0" fontId="32" fillId="44"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2" fillId="24" borderId="2" xfId="0" applyFont="1" applyFill="1" applyBorder="1" applyAlignment="1">
      <alignment vertical="center" wrapText="1"/>
    </xf>
    <xf numFmtId="0" fontId="0" fillId="6" borderId="2" xfId="0" applyFill="1" applyBorder="1" applyAlignment="1">
      <alignment horizontal="center" vertical="center" wrapText="1"/>
    </xf>
    <xf numFmtId="0" fontId="23" fillId="3" borderId="2" xfId="0" applyFont="1" applyFill="1" applyBorder="1" applyAlignment="1">
      <alignment horizontal="center" vertical="center" wrapText="1"/>
    </xf>
    <xf numFmtId="0" fontId="27" fillId="35" borderId="22" xfId="0" applyFont="1" applyFill="1" applyBorder="1" applyAlignment="1">
      <alignment horizontal="left" vertical="center" wrapText="1"/>
    </xf>
    <xf numFmtId="0" fontId="12" fillId="32" borderId="16" xfId="0" applyFont="1" applyFill="1" applyBorder="1" applyAlignment="1">
      <alignment horizontal="center" vertical="center" wrapText="1"/>
    </xf>
    <xf numFmtId="0" fontId="32" fillId="7" borderId="16" xfId="0" applyFont="1" applyFill="1" applyBorder="1" applyAlignment="1">
      <alignment horizontal="center" vertical="center" wrapText="1"/>
    </xf>
    <xf numFmtId="0" fontId="56" fillId="25" borderId="16" xfId="0" applyFont="1" applyFill="1" applyBorder="1" applyAlignment="1">
      <alignment horizontal="center" vertical="center" wrapText="1"/>
    </xf>
    <xf numFmtId="0" fontId="32" fillId="25" borderId="16" xfId="0" applyFont="1" applyFill="1" applyBorder="1" applyAlignment="1">
      <alignment horizontal="center" vertical="center" wrapText="1"/>
    </xf>
    <xf numFmtId="0" fontId="12" fillId="32" borderId="31" xfId="0" applyFont="1" applyFill="1" applyBorder="1" applyAlignment="1">
      <alignment horizontal="left" vertical="center" wrapText="1"/>
    </xf>
    <xf numFmtId="0" fontId="32" fillId="52" borderId="22" xfId="0" applyFont="1" applyFill="1" applyBorder="1" applyAlignment="1">
      <alignment horizontal="left" vertical="center" wrapText="1"/>
    </xf>
    <xf numFmtId="0" fontId="12" fillId="52" borderId="22" xfId="0" applyFont="1" applyFill="1" applyBorder="1" applyAlignment="1">
      <alignment horizontal="left" vertical="center" wrapText="1"/>
    </xf>
    <xf numFmtId="0" fontId="12" fillId="32" borderId="22" xfId="0" applyFont="1" applyFill="1" applyBorder="1" applyAlignment="1">
      <alignment horizontal="left" vertical="center" wrapText="1"/>
    </xf>
    <xf numFmtId="0" fontId="12" fillId="7" borderId="22" xfId="0" applyFont="1" applyFill="1" applyBorder="1" applyAlignment="1">
      <alignment horizontal="left" vertical="center" wrapText="1"/>
    </xf>
    <xf numFmtId="0" fontId="56" fillId="40" borderId="22" xfId="0" applyFont="1" applyFill="1" applyBorder="1" applyAlignment="1">
      <alignment vertical="center" wrapText="1"/>
    </xf>
    <xf numFmtId="0" fontId="32" fillId="25" borderId="22" xfId="0" applyFont="1" applyFill="1" applyBorder="1" applyAlignment="1">
      <alignment vertical="center" wrapText="1"/>
    </xf>
    <xf numFmtId="0" fontId="32" fillId="25" borderId="22" xfId="0" applyFont="1" applyFill="1" applyBorder="1" applyAlignment="1">
      <alignment horizontal="left" vertical="center" wrapText="1"/>
    </xf>
    <xf numFmtId="0" fontId="32" fillId="25" borderId="45" xfId="0" applyFont="1" applyFill="1" applyBorder="1" applyAlignment="1">
      <alignment vertical="center" wrapText="1"/>
    </xf>
    <xf numFmtId="0" fontId="12" fillId="36" borderId="22" xfId="0" applyFont="1" applyFill="1" applyBorder="1" applyAlignment="1">
      <alignment horizontal="left" vertical="center" wrapText="1"/>
    </xf>
    <xf numFmtId="0" fontId="47" fillId="7" borderId="22" xfId="0" applyFont="1" applyFill="1" applyBorder="1" applyAlignment="1">
      <alignment horizontal="left" vertical="center" wrapText="1"/>
    </xf>
    <xf numFmtId="0" fontId="32" fillId="36" borderId="22" xfId="0" applyFont="1" applyFill="1" applyBorder="1" applyAlignment="1">
      <alignment horizontal="left" vertical="center" wrapText="1"/>
    </xf>
    <xf numFmtId="0" fontId="45" fillId="7" borderId="22" xfId="0" applyFont="1" applyFill="1" applyBorder="1" applyAlignment="1">
      <alignment horizontal="left" vertical="center" wrapText="1"/>
    </xf>
    <xf numFmtId="0" fontId="32" fillId="7" borderId="22" xfId="0" applyFont="1" applyFill="1" applyBorder="1" applyAlignment="1">
      <alignment horizontal="left" vertical="center" wrapText="1"/>
    </xf>
    <xf numFmtId="0" fontId="46" fillId="7" borderId="22" xfId="0" applyFont="1" applyFill="1" applyBorder="1" applyAlignment="1">
      <alignment horizontal="left" vertical="center" wrapText="1"/>
    </xf>
    <xf numFmtId="0" fontId="56" fillId="54" borderId="22" xfId="0" applyFont="1" applyFill="1" applyBorder="1" applyAlignment="1">
      <alignment vertical="center" wrapText="1"/>
    </xf>
    <xf numFmtId="0" fontId="32" fillId="25" borderId="31" xfId="0" applyFont="1" applyFill="1" applyBorder="1" applyAlignment="1">
      <alignment vertical="center" wrapText="1"/>
    </xf>
    <xf numFmtId="0" fontId="48" fillId="7" borderId="22" xfId="0" applyFont="1" applyFill="1" applyBorder="1" applyAlignment="1">
      <alignment horizontal="left" vertical="center" wrapText="1"/>
    </xf>
    <xf numFmtId="0" fontId="56" fillId="24" borderId="22" xfId="0" applyFont="1" applyFill="1" applyBorder="1" applyAlignment="1">
      <alignment vertical="center"/>
    </xf>
    <xf numFmtId="0" fontId="12" fillId="6" borderId="22" xfId="0" applyFont="1" applyFill="1" applyBorder="1" applyAlignment="1">
      <alignment horizontal="left" vertical="center" wrapText="1"/>
    </xf>
    <xf numFmtId="0" fontId="56" fillId="24" borderId="31" xfId="0" applyFont="1" applyFill="1" applyBorder="1" applyAlignment="1">
      <alignment vertical="center" wrapText="1"/>
    </xf>
    <xf numFmtId="0" fontId="56" fillId="25" borderId="31" xfId="0" applyFont="1" applyFill="1" applyBorder="1" applyAlignment="1">
      <alignment vertical="center" wrapText="1"/>
    </xf>
    <xf numFmtId="0" fontId="32" fillId="24" borderId="31" xfId="0" applyFont="1" applyFill="1" applyBorder="1" applyAlignment="1">
      <alignment vertical="center" wrapText="1"/>
    </xf>
    <xf numFmtId="0" fontId="32" fillId="24" borderId="9" xfId="0" applyFont="1" applyFill="1" applyBorder="1" applyAlignment="1">
      <alignment vertical="center" wrapText="1"/>
    </xf>
    <xf numFmtId="0" fontId="32" fillId="51" borderId="31" xfId="0" applyFont="1" applyFill="1" applyBorder="1" applyAlignment="1">
      <alignment vertical="center" wrapText="1"/>
    </xf>
    <xf numFmtId="0" fontId="32" fillId="50" borderId="31" xfId="0" applyFont="1" applyFill="1" applyBorder="1" applyAlignment="1">
      <alignment vertical="center" wrapText="1"/>
    </xf>
    <xf numFmtId="0" fontId="32" fillId="51" borderId="9" xfId="0" applyFont="1" applyFill="1" applyBorder="1" applyAlignment="1">
      <alignment vertical="center" wrapText="1"/>
    </xf>
    <xf numFmtId="0" fontId="32" fillId="50" borderId="9" xfId="0" applyFont="1" applyFill="1" applyBorder="1" applyAlignment="1">
      <alignment horizontal="left" vertical="center" wrapText="1"/>
    </xf>
    <xf numFmtId="0" fontId="0" fillId="3" borderId="22" xfId="0" applyFill="1" applyBorder="1" applyAlignment="1">
      <alignment horizontal="left" vertical="center" wrapText="1"/>
    </xf>
    <xf numFmtId="0" fontId="19" fillId="3" borderId="22" xfId="0" applyFont="1" applyFill="1" applyBorder="1" applyAlignment="1">
      <alignment horizontal="left" vertical="center" wrapText="1"/>
    </xf>
    <xf numFmtId="0" fontId="43" fillId="0" borderId="0" xfId="0" applyFont="1" applyAlignment="1">
      <alignment horizontal="center"/>
    </xf>
    <xf numFmtId="0" fontId="9" fillId="12" borderId="7" xfId="0" applyFont="1" applyFill="1" applyBorder="1" applyAlignment="1">
      <alignment horizontal="center" wrapText="1"/>
    </xf>
    <xf numFmtId="0" fontId="27" fillId="12" borderId="9" xfId="0" applyFont="1" applyFill="1" applyBorder="1" applyAlignment="1">
      <alignment horizontal="center" vertical="center"/>
    </xf>
    <xf numFmtId="0" fontId="0" fillId="0" borderId="21" xfId="0" applyBorder="1" applyAlignment="1">
      <alignment horizontal="center" vertical="center"/>
    </xf>
    <xf numFmtId="0" fontId="9" fillId="0" borderId="0" xfId="0" applyFont="1" applyAlignment="1">
      <alignment horizontal="center" vertical="center"/>
    </xf>
    <xf numFmtId="0" fontId="0" fillId="0" borderId="15" xfId="0" applyBorder="1" applyAlignment="1">
      <alignment vertical="center" wrapText="1"/>
    </xf>
    <xf numFmtId="0" fontId="0" fillId="0" borderId="16" xfId="0" applyBorder="1" applyAlignment="1">
      <alignment vertical="center" wrapText="1"/>
    </xf>
    <xf numFmtId="0" fontId="12" fillId="7" borderId="29" xfId="0" quotePrefix="1" applyFont="1" applyFill="1" applyBorder="1" applyAlignment="1">
      <alignment horizontal="left" vertical="center" wrapText="1"/>
    </xf>
    <xf numFmtId="0" fontId="29" fillId="0" borderId="0" xfId="0" applyFont="1" applyAlignment="1">
      <alignment horizontal="center" vertical="center" wrapText="1"/>
    </xf>
    <xf numFmtId="0" fontId="67" fillId="0" borderId="0" xfId="0" applyFont="1" applyAlignment="1">
      <alignment horizontal="center" vertical="center"/>
    </xf>
    <xf numFmtId="0" fontId="29" fillId="12" borderId="0" xfId="0" applyFont="1" applyFill="1" applyAlignment="1">
      <alignment horizontal="center" vertical="center" wrapText="1"/>
    </xf>
    <xf numFmtId="0" fontId="29" fillId="12" borderId="0" xfId="0" applyFont="1" applyFill="1" applyAlignment="1">
      <alignment horizontal="center" vertical="center"/>
    </xf>
    <xf numFmtId="0" fontId="29" fillId="0" borderId="0" xfId="0" applyFont="1" applyAlignment="1">
      <alignment horizontal="center" vertical="center"/>
    </xf>
    <xf numFmtId="0" fontId="0" fillId="12" borderId="9" xfId="0" applyFill="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wrapText="1"/>
    </xf>
    <xf numFmtId="0" fontId="29" fillId="7" borderId="0" xfId="0" applyFont="1" applyFill="1" applyAlignment="1">
      <alignment horizontal="center" vertical="center"/>
    </xf>
    <xf numFmtId="0" fontId="0" fillId="0" borderId="0" xfId="0" applyAlignment="1">
      <alignment horizontal="left" vertical="center" wrapText="1"/>
    </xf>
    <xf numFmtId="0" fontId="21" fillId="0" borderId="0" xfId="0" applyFont="1" applyAlignment="1">
      <alignment horizontal="center" vertical="center" wrapText="1"/>
    </xf>
    <xf numFmtId="0" fontId="0" fillId="7" borderId="0" xfId="0" applyFill="1" applyAlignment="1">
      <alignment horizontal="left" vertical="center" wrapText="1"/>
    </xf>
    <xf numFmtId="1" fontId="3" fillId="11" borderId="17" xfId="0" applyNumberFormat="1" applyFont="1" applyFill="1" applyBorder="1" applyAlignment="1">
      <alignment horizontal="center" vertical="center"/>
    </xf>
    <xf numFmtId="0" fontId="39" fillId="16" borderId="0" xfId="0" applyFont="1" applyFill="1" applyAlignment="1">
      <alignment horizontal="left" vertical="center"/>
    </xf>
    <xf numFmtId="0" fontId="35" fillId="0" borderId="0" xfId="0" applyFont="1" applyAlignment="1">
      <alignment vertical="center"/>
    </xf>
    <xf numFmtId="0" fontId="39" fillId="37" borderId="0" xfId="0" applyFont="1" applyFill="1" applyAlignment="1">
      <alignment horizontal="left" vertical="center"/>
    </xf>
    <xf numFmtId="0" fontId="0" fillId="0" borderId="4" xfId="0" applyBorder="1" applyAlignment="1">
      <alignment horizontal="left" vertical="center"/>
    </xf>
    <xf numFmtId="0" fontId="12" fillId="7" borderId="9" xfId="0" quotePrefix="1" applyFont="1" applyFill="1" applyBorder="1" applyAlignment="1">
      <alignment vertical="center" wrapText="1"/>
    </xf>
    <xf numFmtId="0" fontId="12" fillId="7" borderId="22" xfId="0" quotePrefix="1" applyFont="1" applyFill="1" applyBorder="1" applyAlignment="1">
      <alignment horizontal="left" vertical="center" wrapText="1"/>
    </xf>
    <xf numFmtId="0" fontId="0" fillId="7" borderId="15" xfId="0" applyFill="1" applyBorder="1" applyAlignment="1">
      <alignment horizontal="right" vertical="center" wrapText="1"/>
    </xf>
    <xf numFmtId="0" fontId="12" fillId="7" borderId="29" xfId="0" quotePrefix="1" applyFont="1" applyFill="1" applyBorder="1" applyAlignment="1">
      <alignment horizontal="right" vertical="center" wrapText="1"/>
    </xf>
    <xf numFmtId="0" fontId="0" fillId="7" borderId="3" xfId="0" applyFill="1" applyBorder="1" applyAlignment="1">
      <alignment horizontal="left" vertical="center" wrapText="1"/>
    </xf>
    <xf numFmtId="0" fontId="10" fillId="0" borderId="0" xfId="0" applyFont="1" applyAlignment="1">
      <alignment vertical="center" wrapText="1"/>
    </xf>
    <xf numFmtId="0" fontId="32" fillId="6" borderId="14" xfId="0" applyFont="1" applyFill="1" applyBorder="1" applyAlignment="1">
      <alignment horizontal="center" vertical="center" wrapText="1"/>
    </xf>
    <xf numFmtId="0" fontId="0" fillId="33" borderId="0" xfId="0" applyFill="1" applyAlignment="1">
      <alignment vertical="center"/>
    </xf>
    <xf numFmtId="0" fontId="0" fillId="15" borderId="0" xfId="0" applyFill="1" applyAlignment="1">
      <alignment vertical="center"/>
    </xf>
    <xf numFmtId="0" fontId="3" fillId="0" borderId="0" xfId="0" applyFont="1" applyAlignment="1">
      <alignment wrapText="1"/>
    </xf>
    <xf numFmtId="0" fontId="39" fillId="0" borderId="0" xfId="0" applyFont="1"/>
    <xf numFmtId="0" fontId="0" fillId="9" borderId="0" xfId="0" applyFill="1" applyAlignment="1">
      <alignment vertical="center" wrapText="1"/>
    </xf>
    <xf numFmtId="0" fontId="0" fillId="17" borderId="0" xfId="2" applyNumberFormat="1" applyFont="1" applyFill="1" applyAlignment="1">
      <alignment horizontal="center" vertical="center"/>
    </xf>
    <xf numFmtId="0" fontId="30" fillId="0" borderId="0" xfId="0" applyFont="1" applyAlignment="1">
      <alignment horizontal="center"/>
    </xf>
    <xf numFmtId="0" fontId="0" fillId="0" borderId="0" xfId="0" applyAlignment="1">
      <alignment horizontal="left"/>
    </xf>
    <xf numFmtId="0" fontId="0" fillId="17" borderId="0" xfId="2" applyNumberFormat="1" applyFont="1" applyFill="1" applyAlignment="1">
      <alignment horizontal="left" vertical="center"/>
    </xf>
    <xf numFmtId="0" fontId="7" fillId="17" borderId="0" xfId="0" applyFont="1" applyFill="1" applyAlignment="1">
      <alignment horizontal="left" vertical="center"/>
    </xf>
    <xf numFmtId="0" fontId="7" fillId="16" borderId="0" xfId="0" applyFont="1" applyFill="1" applyAlignment="1">
      <alignment horizontal="left" vertical="center" wrapText="1"/>
    </xf>
    <xf numFmtId="0" fontId="3" fillId="0" borderId="0" xfId="0" applyFont="1" applyAlignment="1">
      <alignment horizontal="left" vertical="center"/>
    </xf>
    <xf numFmtId="0" fontId="0" fillId="0" borderId="36" xfId="0" applyBorder="1" applyAlignment="1">
      <alignment vertical="center"/>
    </xf>
    <xf numFmtId="0" fontId="0" fillId="0" borderId="56" xfId="0" applyBorder="1" applyAlignment="1">
      <alignment vertical="center"/>
    </xf>
    <xf numFmtId="0" fontId="0" fillId="0" borderId="56" xfId="0" applyBorder="1"/>
    <xf numFmtId="9" fontId="0" fillId="17" borderId="0" xfId="2" applyFont="1" applyFill="1" applyBorder="1" applyAlignment="1">
      <alignment horizontal="center" vertical="center"/>
    </xf>
    <xf numFmtId="0" fontId="0" fillId="0" borderId="62" xfId="0" applyBorder="1"/>
    <xf numFmtId="0" fontId="0" fillId="0" borderId="1" xfId="0" applyBorder="1"/>
    <xf numFmtId="0" fontId="0" fillId="0" borderId="63" xfId="0" applyBorder="1"/>
    <xf numFmtId="0" fontId="0" fillId="0" borderId="3" xfId="0" applyBorder="1" applyAlignment="1">
      <alignment horizontal="right" vertical="center" wrapText="1"/>
    </xf>
    <xf numFmtId="9" fontId="30" fillId="0" borderId="16" xfId="2" applyFont="1" applyBorder="1" applyAlignment="1">
      <alignment horizontal="center" vertical="center"/>
    </xf>
    <xf numFmtId="0" fontId="27" fillId="0" borderId="40" xfId="0" applyFont="1" applyBorder="1" applyAlignment="1">
      <alignment horizontal="center" vertical="center" wrapText="1"/>
    </xf>
    <xf numFmtId="0" fontId="27" fillId="0" borderId="35" xfId="0" applyFont="1" applyBorder="1" applyAlignment="1">
      <alignment horizontal="center" vertical="center" wrapText="1"/>
    </xf>
    <xf numFmtId="0" fontId="50" fillId="0" borderId="15" xfId="0" applyFont="1" applyBorder="1" applyAlignment="1">
      <alignment horizontal="center" vertical="center" wrapText="1"/>
    </xf>
    <xf numFmtId="0" fontId="58" fillId="0" borderId="15" xfId="0" applyFont="1" applyBorder="1" applyAlignment="1">
      <alignment horizontal="center" vertical="center"/>
    </xf>
    <xf numFmtId="0" fontId="27" fillId="0" borderId="35" xfId="0" applyFont="1" applyBorder="1" applyAlignment="1">
      <alignment horizontal="center" vertical="center"/>
    </xf>
    <xf numFmtId="0" fontId="49" fillId="0" borderId="15" xfId="0" applyFont="1" applyBorder="1" applyAlignment="1">
      <alignment horizontal="center" vertical="center"/>
    </xf>
    <xf numFmtId="0" fontId="50" fillId="47" borderId="15" xfId="0" applyFont="1" applyFill="1" applyBorder="1" applyAlignment="1">
      <alignment horizontal="center" vertical="center" wrapText="1"/>
    </xf>
    <xf numFmtId="1" fontId="27" fillId="0" borderId="35" xfId="0" applyNumberFormat="1" applyFont="1" applyBorder="1" applyAlignment="1">
      <alignment horizontal="center" vertical="center" wrapText="1"/>
    </xf>
    <xf numFmtId="1" fontId="27" fillId="4" borderId="35" xfId="0" applyNumberFormat="1" applyFont="1" applyFill="1" applyBorder="1" applyAlignment="1">
      <alignment horizontal="center" vertical="center" wrapText="1"/>
    </xf>
    <xf numFmtId="1" fontId="44" fillId="0" borderId="35" xfId="0" applyNumberFormat="1" applyFont="1" applyBorder="1" applyAlignment="1">
      <alignment horizontal="center" vertical="center" wrapText="1"/>
    </xf>
    <xf numFmtId="1" fontId="29" fillId="0" borderId="35" xfId="0" applyNumberFormat="1" applyFont="1" applyBorder="1" applyAlignment="1">
      <alignment horizontal="center" vertical="center"/>
    </xf>
    <xf numFmtId="1" fontId="27" fillId="4" borderId="16" xfId="0" applyNumberFormat="1" applyFont="1" applyFill="1" applyBorder="1" applyAlignment="1">
      <alignment horizontal="center" vertical="center" wrapText="1"/>
    </xf>
    <xf numFmtId="1" fontId="50" fillId="0" borderId="15" xfId="0" applyNumberFormat="1" applyFont="1" applyBorder="1" applyAlignment="1">
      <alignment horizontal="center" vertical="center" wrapText="1"/>
    </xf>
    <xf numFmtId="1" fontId="50" fillId="0" borderId="35" xfId="0" applyNumberFormat="1" applyFont="1" applyBorder="1" applyAlignment="1">
      <alignment horizontal="center" vertical="center" wrapText="1"/>
    </xf>
    <xf numFmtId="0" fontId="50" fillId="0" borderId="40" xfId="0" applyFont="1" applyBorder="1" applyAlignment="1">
      <alignment horizontal="center" vertical="center" wrapText="1"/>
    </xf>
    <xf numFmtId="0" fontId="58" fillId="0" borderId="40" xfId="0" applyFont="1" applyBorder="1" applyAlignment="1">
      <alignment horizontal="center" vertical="center"/>
    </xf>
    <xf numFmtId="9" fontId="53" fillId="0" borderId="46" xfId="2" applyFont="1" applyBorder="1" applyAlignment="1">
      <alignment horizontal="center" vertical="center"/>
    </xf>
    <xf numFmtId="9" fontId="53" fillId="0" borderId="37" xfId="2" applyFont="1" applyBorder="1" applyAlignment="1">
      <alignment horizontal="center" vertical="center" wrapText="1"/>
    </xf>
    <xf numFmtId="9" fontId="30" fillId="0" borderId="37" xfId="2" applyFont="1" applyBorder="1" applyAlignment="1">
      <alignment horizontal="center" vertical="center"/>
    </xf>
    <xf numFmtId="9" fontId="30" fillId="0" borderId="26" xfId="2" applyFont="1" applyBorder="1" applyAlignment="1">
      <alignment horizontal="center" vertical="center"/>
    </xf>
    <xf numFmtId="9" fontId="30" fillId="0" borderId="49" xfId="2" applyFont="1" applyBorder="1" applyAlignment="1">
      <alignment horizontal="center" vertical="center"/>
    </xf>
    <xf numFmtId="9" fontId="53" fillId="0" borderId="37" xfId="2" applyFont="1" applyBorder="1" applyAlignment="1">
      <alignment horizontal="center" vertical="center"/>
    </xf>
    <xf numFmtId="0" fontId="27" fillId="0" borderId="65" xfId="0" applyFont="1" applyBorder="1" applyAlignment="1">
      <alignment horizontal="center" vertical="center" wrapText="1"/>
    </xf>
    <xf numFmtId="0" fontId="32" fillId="32" borderId="8" xfId="0" applyFont="1" applyFill="1" applyBorder="1" applyAlignment="1">
      <alignment horizontal="center" vertical="center" wrapText="1"/>
    </xf>
    <xf numFmtId="1" fontId="50" fillId="0" borderId="40" xfId="0" applyNumberFormat="1" applyFont="1" applyBorder="1" applyAlignment="1">
      <alignment horizontal="center" vertical="center" wrapText="1"/>
    </xf>
    <xf numFmtId="0" fontId="50" fillId="41" borderId="41" xfId="0" applyFont="1" applyFill="1" applyBorder="1" applyAlignment="1">
      <alignment horizontal="left" vertical="center" wrapText="1"/>
    </xf>
    <xf numFmtId="0" fontId="0" fillId="28" borderId="0" xfId="0" applyFill="1" applyAlignment="1">
      <alignment horizontal="center" vertical="center" wrapText="1"/>
    </xf>
    <xf numFmtId="0" fontId="0" fillId="28" borderId="0" xfId="0" applyFill="1" applyAlignment="1">
      <alignment horizontal="left" vertical="center" wrapText="1"/>
    </xf>
    <xf numFmtId="0" fontId="27" fillId="28" borderId="0" xfId="0" applyFont="1" applyFill="1" applyAlignment="1">
      <alignment horizontal="center" vertical="center" wrapText="1"/>
    </xf>
    <xf numFmtId="0" fontId="30" fillId="28" borderId="0" xfId="0" applyFont="1" applyFill="1" applyAlignment="1">
      <alignment horizontal="center" vertical="center"/>
    </xf>
    <xf numFmtId="0" fontId="30" fillId="28" borderId="0" xfId="0" applyFont="1" applyFill="1" applyAlignment="1">
      <alignment horizontal="center" vertical="top"/>
    </xf>
    <xf numFmtId="0" fontId="27" fillId="28" borderId="0" xfId="0" applyFont="1" applyFill="1" applyAlignment="1">
      <alignment horizontal="left" vertical="center"/>
    </xf>
    <xf numFmtId="0" fontId="0" fillId="32" borderId="0" xfId="0" applyFill="1" applyAlignment="1">
      <alignment horizontal="center" vertical="center" wrapText="1"/>
    </xf>
    <xf numFmtId="0" fontId="0" fillId="32" borderId="0" xfId="0" applyFill="1" applyAlignment="1">
      <alignment horizontal="left" vertical="center" wrapText="1"/>
    </xf>
    <xf numFmtId="0" fontId="27" fillId="32" borderId="0" xfId="0" applyFont="1" applyFill="1" applyAlignment="1">
      <alignment horizontal="left" vertical="center"/>
    </xf>
    <xf numFmtId="9" fontId="27" fillId="0" borderId="22" xfId="2" applyFont="1" applyBorder="1" applyAlignment="1">
      <alignment horizontal="center" vertical="center"/>
    </xf>
    <xf numFmtId="9" fontId="64" fillId="0" borderId="46" xfId="2" applyFont="1" applyFill="1" applyBorder="1" applyAlignment="1">
      <alignment horizontal="center" vertical="center"/>
    </xf>
    <xf numFmtId="9" fontId="57" fillId="0" borderId="37" xfId="2" applyFont="1" applyBorder="1" applyAlignment="1">
      <alignment horizontal="center" vertical="center" wrapText="1"/>
    </xf>
    <xf numFmtId="9" fontId="53" fillId="0" borderId="50" xfId="2" applyFont="1" applyBorder="1" applyAlignment="1">
      <alignment horizontal="center" vertical="center" wrapText="1"/>
    </xf>
    <xf numFmtId="9" fontId="64" fillId="0" borderId="47" xfId="2" applyFont="1" applyFill="1" applyBorder="1" applyAlignment="1">
      <alignment horizontal="center" vertical="center"/>
    </xf>
    <xf numFmtId="9" fontId="64" fillId="0" borderId="48" xfId="2" applyFont="1" applyFill="1" applyBorder="1" applyAlignment="1">
      <alignment horizontal="center" vertical="center" textRotation="90"/>
    </xf>
    <xf numFmtId="9" fontId="53" fillId="0" borderId="26" xfId="2" applyFont="1" applyBorder="1" applyAlignment="1">
      <alignment horizontal="center" vertical="center"/>
    </xf>
    <xf numFmtId="9" fontId="53" fillId="0" borderId="49" xfId="2" applyFont="1" applyBorder="1" applyAlignment="1">
      <alignment horizontal="center" vertical="center"/>
    </xf>
    <xf numFmtId="9" fontId="53" fillId="0" borderId="26" xfId="2" applyFont="1" applyBorder="1" applyAlignment="1">
      <alignment horizontal="center" vertical="center" wrapText="1"/>
    </xf>
    <xf numFmtId="9" fontId="53" fillId="0" borderId="49" xfId="2" applyFont="1" applyBorder="1" applyAlignment="1">
      <alignment horizontal="center" vertical="center" wrapText="1"/>
    </xf>
    <xf numFmtId="9" fontId="57" fillId="0" borderId="26" xfId="2" applyFont="1" applyBorder="1" applyAlignment="1">
      <alignment horizontal="center" vertical="center" wrapText="1"/>
    </xf>
    <xf numFmtId="9" fontId="30" fillId="0" borderId="37" xfId="2" applyFont="1" applyFill="1" applyBorder="1" applyAlignment="1">
      <alignment horizontal="center" vertical="center"/>
    </xf>
    <xf numFmtId="9" fontId="30" fillId="0" borderId="26" xfId="2" applyFont="1" applyFill="1" applyBorder="1" applyAlignment="1">
      <alignment horizontal="center" vertical="center"/>
    </xf>
    <xf numFmtId="9" fontId="30" fillId="0" borderId="49" xfId="2" applyFont="1" applyFill="1" applyBorder="1" applyAlignment="1">
      <alignment horizontal="center" vertical="center"/>
    </xf>
    <xf numFmtId="9" fontId="53" fillId="0" borderId="47" xfId="2" applyFont="1" applyBorder="1" applyAlignment="1">
      <alignment horizontal="center"/>
    </xf>
    <xf numFmtId="0" fontId="30" fillId="38" borderId="22" xfId="0" applyFont="1" applyFill="1" applyBorder="1" applyAlignment="1">
      <alignment horizontal="center" vertical="center"/>
    </xf>
    <xf numFmtId="0" fontId="30" fillId="38" borderId="27" xfId="0" applyFont="1" applyFill="1" applyBorder="1" applyAlignment="1">
      <alignment horizontal="center" vertical="center"/>
    </xf>
    <xf numFmtId="0" fontId="12" fillId="7" borderId="25" xfId="0" applyFont="1" applyFill="1" applyBorder="1" applyAlignment="1">
      <alignment horizontal="left" vertical="center" wrapText="1"/>
    </xf>
    <xf numFmtId="0" fontId="23" fillId="7" borderId="28" xfId="0" applyFont="1" applyFill="1" applyBorder="1" applyAlignment="1">
      <alignment horizontal="center" vertical="center" wrapText="1"/>
    </xf>
    <xf numFmtId="0" fontId="23" fillId="7" borderId="7" xfId="0" applyFont="1" applyFill="1" applyBorder="1" applyAlignment="1">
      <alignment horizontal="center" vertical="center" wrapText="1"/>
    </xf>
    <xf numFmtId="1" fontId="50" fillId="0" borderId="65" xfId="0" applyNumberFormat="1" applyFont="1" applyBorder="1" applyAlignment="1">
      <alignment horizontal="center" vertical="center" wrapText="1"/>
    </xf>
    <xf numFmtId="9" fontId="30" fillId="0" borderId="69" xfId="2" applyFont="1" applyBorder="1" applyAlignment="1">
      <alignment horizontal="center" vertical="center"/>
    </xf>
    <xf numFmtId="9" fontId="30" fillId="0" borderId="70" xfId="2" applyFont="1" applyBorder="1" applyAlignment="1">
      <alignment horizontal="center" vertical="center"/>
    </xf>
    <xf numFmtId="9" fontId="30" fillId="0" borderId="71" xfId="2" applyFont="1" applyBorder="1" applyAlignment="1">
      <alignment horizontal="center" vertical="center"/>
    </xf>
    <xf numFmtId="0" fontId="52" fillId="36" borderId="9" xfId="0" applyFont="1" applyFill="1" applyBorder="1" applyAlignment="1">
      <alignment horizontal="center" vertical="center" wrapText="1"/>
    </xf>
    <xf numFmtId="0" fontId="12" fillId="36" borderId="31" xfId="0" applyFont="1" applyFill="1" applyBorder="1" applyAlignment="1">
      <alignment horizontal="left" vertical="center" wrapText="1"/>
    </xf>
    <xf numFmtId="0" fontId="0" fillId="4" borderId="15" xfId="0" applyFill="1" applyBorder="1" applyAlignment="1">
      <alignment horizontal="center" vertical="center" wrapText="1"/>
    </xf>
    <xf numFmtId="0" fontId="0" fillId="4" borderId="8" xfId="0" applyFill="1" applyBorder="1" applyAlignment="1">
      <alignment horizontal="center" vertical="center" wrapText="1"/>
    </xf>
    <xf numFmtId="1" fontId="27" fillId="4" borderId="40" xfId="0" applyNumberFormat="1" applyFont="1" applyFill="1" applyBorder="1" applyAlignment="1">
      <alignment horizontal="center" vertical="center" wrapText="1"/>
    </xf>
    <xf numFmtId="0" fontId="27" fillId="27" borderId="41" xfId="0" applyFont="1" applyFill="1" applyBorder="1" applyAlignment="1">
      <alignment horizontal="left" vertical="center"/>
    </xf>
    <xf numFmtId="9" fontId="30" fillId="28" borderId="0" xfId="2" applyFont="1" applyFill="1" applyBorder="1" applyAlignment="1">
      <alignment horizontal="center" vertical="center"/>
    </xf>
    <xf numFmtId="9" fontId="30" fillId="28" borderId="0" xfId="2" applyFont="1" applyFill="1" applyBorder="1" applyAlignment="1">
      <alignment horizontal="center"/>
    </xf>
    <xf numFmtId="0" fontId="30" fillId="28" borderId="0" xfId="0" applyFont="1" applyFill="1" applyAlignment="1">
      <alignment horizontal="center"/>
    </xf>
    <xf numFmtId="9" fontId="30" fillId="0" borderId="28" xfId="2" applyFont="1" applyBorder="1" applyAlignment="1">
      <alignment horizontal="center" vertical="center"/>
    </xf>
    <xf numFmtId="0" fontId="27" fillId="39" borderId="68" xfId="0" applyFont="1" applyFill="1" applyBorder="1" applyAlignment="1">
      <alignment horizontal="left" vertical="center"/>
    </xf>
    <xf numFmtId="0" fontId="0" fillId="17" borderId="31" xfId="0" applyFill="1" applyBorder="1" applyAlignment="1">
      <alignment horizontal="left" vertical="center" wrapText="1"/>
    </xf>
    <xf numFmtId="0" fontId="0" fillId="17" borderId="15" xfId="0" applyFill="1" applyBorder="1" applyAlignment="1">
      <alignment horizontal="center" vertical="center" wrapText="1"/>
    </xf>
    <xf numFmtId="0" fontId="0" fillId="17" borderId="8" xfId="0" applyFill="1" applyBorder="1" applyAlignment="1">
      <alignment horizontal="center" vertical="center" wrapText="1"/>
    </xf>
    <xf numFmtId="0" fontId="27" fillId="17" borderId="40" xfId="0" applyFont="1" applyFill="1" applyBorder="1" applyAlignment="1">
      <alignment horizontal="center" vertical="center" wrapText="1"/>
    </xf>
    <xf numFmtId="0" fontId="27" fillId="17" borderId="41" xfId="0" applyFont="1" applyFill="1" applyBorder="1" applyAlignment="1">
      <alignment horizontal="left" vertical="center"/>
    </xf>
    <xf numFmtId="9" fontId="27" fillId="0" borderId="16" xfId="2" applyFont="1" applyBorder="1" applyAlignment="1">
      <alignment horizontal="center" vertical="center"/>
    </xf>
    <xf numFmtId="0" fontId="19" fillId="3" borderId="25" xfId="0" applyFont="1" applyFill="1" applyBorder="1" applyAlignment="1">
      <alignment horizontal="left" vertical="center" wrapText="1"/>
    </xf>
    <xf numFmtId="1" fontId="29" fillId="0" borderId="65" xfId="0" applyNumberFormat="1" applyFont="1" applyBorder="1" applyAlignment="1">
      <alignment horizontal="center" vertical="center"/>
    </xf>
    <xf numFmtId="9" fontId="27" fillId="0" borderId="65" xfId="2" applyFont="1" applyBorder="1" applyAlignment="1">
      <alignment horizontal="center" vertical="center"/>
    </xf>
    <xf numFmtId="9" fontId="27" fillId="0" borderId="25" xfId="2" applyFont="1" applyBorder="1" applyAlignment="1">
      <alignment horizontal="center" vertical="center"/>
    </xf>
    <xf numFmtId="0" fontId="27" fillId="14" borderId="68" xfId="0" applyFont="1" applyFill="1" applyBorder="1" applyAlignment="1">
      <alignment horizontal="left" vertical="center"/>
    </xf>
    <xf numFmtId="0" fontId="0" fillId="36" borderId="0" xfId="0" applyFill="1" applyAlignment="1">
      <alignment vertical="center"/>
    </xf>
    <xf numFmtId="0" fontId="12" fillId="36" borderId="25" xfId="0" quotePrefix="1" applyFont="1" applyFill="1" applyBorder="1" applyAlignment="1">
      <alignment horizontal="left" vertical="center" wrapText="1"/>
    </xf>
    <xf numFmtId="0" fontId="62" fillId="24" borderId="14" xfId="0" applyFont="1" applyFill="1" applyBorder="1" applyAlignment="1">
      <alignment horizontal="center" vertical="center" wrapText="1"/>
    </xf>
    <xf numFmtId="0" fontId="62" fillId="24" borderId="9" xfId="0" applyFont="1" applyFill="1" applyBorder="1" applyAlignment="1">
      <alignment vertical="center"/>
    </xf>
    <xf numFmtId="0" fontId="62" fillId="24" borderId="10" xfId="0" applyFont="1" applyFill="1" applyBorder="1" applyAlignment="1">
      <alignment vertical="center" wrapText="1"/>
    </xf>
    <xf numFmtId="0" fontId="62" fillId="24" borderId="8" xfId="0" applyFont="1" applyFill="1" applyBorder="1" applyAlignment="1">
      <alignment vertical="center" wrapText="1"/>
    </xf>
    <xf numFmtId="0" fontId="63" fillId="0" borderId="15" xfId="0" applyFont="1" applyBorder="1" applyAlignment="1">
      <alignment horizontal="center" vertical="center" wrapText="1"/>
    </xf>
    <xf numFmtId="0" fontId="0" fillId="36" borderId="0" xfId="0" applyFill="1" applyAlignment="1">
      <alignment horizontal="center" vertical="center" wrapText="1"/>
    </xf>
    <xf numFmtId="0" fontId="30" fillId="28" borderId="36" xfId="0" applyFont="1" applyFill="1" applyBorder="1" applyAlignment="1">
      <alignment horizontal="center" vertical="center"/>
    </xf>
    <xf numFmtId="0" fontId="30" fillId="17" borderId="46" xfId="0" applyFont="1" applyFill="1" applyBorder="1" applyAlignment="1">
      <alignment horizontal="center" vertical="center"/>
    </xf>
    <xf numFmtId="0" fontId="30" fillId="17" borderId="47" xfId="0" applyFont="1" applyFill="1" applyBorder="1" applyAlignment="1">
      <alignment horizontal="center"/>
    </xf>
    <xf numFmtId="0" fontId="32" fillId="40" borderId="20" xfId="0" applyFont="1" applyFill="1" applyBorder="1" applyAlignment="1">
      <alignment horizontal="center" vertical="center" wrapText="1"/>
    </xf>
    <xf numFmtId="0" fontId="19" fillId="28" borderId="0" xfId="0" applyFont="1" applyFill="1" applyAlignment="1">
      <alignment horizontal="left" vertical="center" wrapText="1"/>
    </xf>
    <xf numFmtId="0" fontId="23" fillId="28" borderId="0" xfId="0" applyFont="1" applyFill="1" applyAlignment="1">
      <alignment horizontal="center" vertical="center" wrapText="1"/>
    </xf>
    <xf numFmtId="0" fontId="29" fillId="28" borderId="0" xfId="0" applyFont="1" applyFill="1" applyAlignment="1">
      <alignment horizontal="center" vertical="center"/>
    </xf>
    <xf numFmtId="9" fontId="27" fillId="28" borderId="0" xfId="2" applyFont="1" applyFill="1" applyBorder="1" applyAlignment="1">
      <alignment horizontal="center" vertical="center"/>
    </xf>
    <xf numFmtId="9" fontId="27" fillId="28" borderId="0" xfId="2" applyFont="1" applyFill="1" applyBorder="1" applyAlignment="1">
      <alignment horizontal="center" vertical="center" textRotation="90"/>
    </xf>
    <xf numFmtId="0" fontId="0" fillId="52" borderId="70" xfId="0" applyFill="1" applyBorder="1" applyAlignment="1">
      <alignment horizontal="center" vertical="center" wrapText="1"/>
    </xf>
    <xf numFmtId="0" fontId="32" fillId="32" borderId="7" xfId="0" applyFont="1" applyFill="1" applyBorder="1" applyAlignment="1">
      <alignment horizontal="center" vertical="center" wrapText="1"/>
    </xf>
    <xf numFmtId="0" fontId="50" fillId="44" borderId="0" xfId="0" applyFont="1" applyFill="1" applyAlignment="1">
      <alignment horizontal="center" vertical="center" wrapText="1"/>
    </xf>
    <xf numFmtId="0" fontId="50" fillId="42" borderId="6" xfId="0" applyFont="1" applyFill="1" applyBorder="1" applyAlignment="1">
      <alignment horizontal="left" vertical="center"/>
    </xf>
    <xf numFmtId="1" fontId="29" fillId="0" borderId="40" xfId="0" applyNumberFormat="1" applyFont="1" applyBorder="1" applyAlignment="1">
      <alignment horizontal="center" vertical="center"/>
    </xf>
    <xf numFmtId="9" fontId="53" fillId="0" borderId="47" xfId="2" applyFont="1" applyBorder="1" applyAlignment="1">
      <alignment horizontal="center" wrapText="1"/>
    </xf>
    <xf numFmtId="9" fontId="53" fillId="0" borderId="51" xfId="2" applyFont="1" applyBorder="1" applyAlignment="1">
      <alignment horizontal="center" vertical="center"/>
    </xf>
    <xf numFmtId="9" fontId="30" fillId="0" borderId="75" xfId="2" applyFont="1" applyBorder="1" applyAlignment="1">
      <alignment horizontal="center" vertical="center"/>
    </xf>
    <xf numFmtId="9" fontId="27" fillId="0" borderId="76" xfId="2" applyFont="1" applyBorder="1" applyAlignment="1">
      <alignment horizontal="center" vertical="center"/>
    </xf>
    <xf numFmtId="9" fontId="27" fillId="0" borderId="77" xfId="2" applyFont="1" applyBorder="1" applyAlignment="1">
      <alignment horizontal="center" vertical="center"/>
    </xf>
    <xf numFmtId="9" fontId="7" fillId="15" borderId="0" xfId="0" applyNumberFormat="1" applyFont="1" applyFill="1" applyAlignment="1">
      <alignment horizontal="center"/>
    </xf>
    <xf numFmtId="9" fontId="7" fillId="14" borderId="0" xfId="0" applyNumberFormat="1" applyFont="1" applyFill="1" applyAlignment="1">
      <alignment horizontal="center"/>
    </xf>
    <xf numFmtId="9" fontId="7" fillId="4" borderId="0" xfId="0" applyNumberFormat="1" applyFont="1" applyFill="1" applyAlignment="1">
      <alignment horizontal="center"/>
    </xf>
    <xf numFmtId="0" fontId="26" fillId="0" borderId="0" xfId="0" applyFont="1" applyAlignment="1">
      <alignment horizontal="center"/>
    </xf>
    <xf numFmtId="0" fontId="4" fillId="0" borderId="0" xfId="0" applyFont="1"/>
    <xf numFmtId="9" fontId="0" fillId="0" borderId="0" xfId="2" applyFont="1" applyFill="1" applyAlignment="1">
      <alignment horizontal="center"/>
    </xf>
    <xf numFmtId="0" fontId="22" fillId="0" borderId="0" xfId="0" applyFont="1" applyAlignment="1">
      <alignment horizontal="center"/>
    </xf>
    <xf numFmtId="0" fontId="40" fillId="0" borderId="0" xfId="0" applyFont="1" applyAlignment="1">
      <alignment horizontal="center" vertical="center"/>
    </xf>
    <xf numFmtId="1" fontId="40" fillId="0" borderId="0" xfId="0" applyNumberFormat="1" applyFont="1" applyAlignment="1">
      <alignment horizontal="center" vertical="center"/>
    </xf>
    <xf numFmtId="0" fontId="72" fillId="36" borderId="0" xfId="0" applyFont="1" applyFill="1" applyAlignment="1">
      <alignment horizontal="center" vertical="center" wrapText="1"/>
    </xf>
    <xf numFmtId="0" fontId="15" fillId="0" borderId="0" xfId="0" applyFont="1" applyAlignment="1">
      <alignment vertical="top"/>
    </xf>
    <xf numFmtId="0" fontId="6" fillId="0" borderId="0" xfId="0" applyFont="1" applyAlignment="1">
      <alignment horizontal="center" wrapText="1"/>
    </xf>
    <xf numFmtId="0" fontId="37" fillId="0" borderId="0" xfId="0" applyFont="1"/>
    <xf numFmtId="0" fontId="37" fillId="0" borderId="0" xfId="0" applyFont="1" applyAlignment="1">
      <alignment horizontal="center" vertical="center"/>
    </xf>
    <xf numFmtId="0" fontId="37" fillId="0" borderId="0" xfId="0" quotePrefix="1" applyFont="1" applyAlignment="1">
      <alignment horizontal="center" vertical="center"/>
    </xf>
    <xf numFmtId="0" fontId="37" fillId="0" borderId="0" xfId="0" applyFont="1" applyAlignment="1">
      <alignment horizontal="center"/>
    </xf>
    <xf numFmtId="0" fontId="37" fillId="0" borderId="0" xfId="0" applyFont="1" applyAlignment="1">
      <alignment horizontal="center" vertical="top"/>
    </xf>
    <xf numFmtId="0" fontId="61" fillId="0" borderId="0" xfId="0" applyFont="1" applyAlignment="1">
      <alignment horizontal="center" vertical="center" textRotation="90"/>
    </xf>
    <xf numFmtId="0" fontId="37" fillId="0" borderId="0" xfId="0" applyFont="1" applyAlignment="1">
      <alignment horizontal="center" vertical="center" textRotation="90"/>
    </xf>
    <xf numFmtId="0" fontId="59" fillId="0" borderId="0" xfId="0" applyFont="1" applyAlignment="1">
      <alignment horizontal="center" textRotation="90"/>
    </xf>
    <xf numFmtId="0" fontId="19" fillId="0" borderId="0" xfId="0" applyFont="1" applyAlignment="1">
      <alignment horizontal="center" vertical="center"/>
    </xf>
    <xf numFmtId="164" fontId="22" fillId="0" borderId="0" xfId="1" applyNumberFormat="1" applyFont="1" applyAlignment="1">
      <alignment horizontal="center" vertical="center"/>
    </xf>
    <xf numFmtId="164" fontId="22" fillId="0" borderId="0" xfId="1" applyNumberFormat="1" applyFont="1" applyAlignment="1">
      <alignment horizontal="center"/>
    </xf>
    <xf numFmtId="164" fontId="61" fillId="0" borderId="0" xfId="1" applyNumberFormat="1" applyFont="1" applyAlignment="1">
      <alignment horizontal="center" vertical="center" textRotation="90"/>
    </xf>
    <xf numFmtId="0" fontId="59" fillId="0" borderId="0" xfId="0" applyFont="1" applyAlignment="1">
      <alignment horizontal="left" vertical="center"/>
    </xf>
    <xf numFmtId="0" fontId="38" fillId="0" borderId="0" xfId="0" applyFont="1" applyAlignment="1">
      <alignment horizontal="left"/>
    </xf>
    <xf numFmtId="0" fontId="74" fillId="0" borderId="0" xfId="0" applyFont="1"/>
    <xf numFmtId="0" fontId="4" fillId="34" borderId="10" xfId="0" applyFont="1" applyFill="1" applyBorder="1" applyAlignment="1">
      <alignment horizontal="left" vertical="center" wrapText="1"/>
    </xf>
    <xf numFmtId="167" fontId="22" fillId="0" borderId="0" xfId="1" applyNumberFormat="1" applyFont="1" applyAlignment="1">
      <alignment horizontal="center"/>
    </xf>
    <xf numFmtId="167" fontId="22" fillId="0" borderId="0" xfId="1" applyNumberFormat="1" applyFont="1" applyBorder="1" applyAlignment="1">
      <alignment horizontal="center" vertical="center"/>
    </xf>
    <xf numFmtId="167" fontId="22" fillId="0" borderId="0" xfId="1" applyNumberFormat="1" applyFont="1" applyAlignment="1">
      <alignment horizontal="center" vertical="center"/>
    </xf>
    <xf numFmtId="167" fontId="22" fillId="0" borderId="0" xfId="1" applyNumberFormat="1" applyFont="1" applyAlignment="1">
      <alignment vertical="center"/>
    </xf>
    <xf numFmtId="1" fontId="3" fillId="0" borderId="0" xfId="0" applyNumberFormat="1" applyFont="1" applyAlignment="1">
      <alignment horizontal="center" vertical="center"/>
    </xf>
    <xf numFmtId="1" fontId="0" fillId="36" borderId="0" xfId="0" applyNumberFormat="1" applyFill="1" applyAlignment="1">
      <alignment horizontal="center" vertical="center" wrapText="1"/>
    </xf>
    <xf numFmtId="0" fontId="0" fillId="36" borderId="0" xfId="0" applyFill="1" applyAlignment="1">
      <alignment horizontal="center" vertical="center"/>
    </xf>
    <xf numFmtId="0" fontId="36" fillId="2" borderId="0" xfId="0" applyFont="1" applyFill="1" applyAlignment="1">
      <alignment horizontal="left" vertical="center"/>
    </xf>
    <xf numFmtId="1" fontId="0" fillId="0" borderId="0" xfId="0" applyNumberFormat="1" applyAlignment="1">
      <alignment horizontal="left" vertical="center"/>
    </xf>
    <xf numFmtId="0" fontId="14" fillId="0" borderId="0" xfId="0" applyFont="1" applyAlignment="1">
      <alignment horizontal="left" vertical="center" wrapText="1"/>
    </xf>
    <xf numFmtId="0" fontId="14" fillId="0" borderId="0" xfId="0" applyFont="1" applyAlignment="1">
      <alignment horizontal="right" vertical="center"/>
    </xf>
    <xf numFmtId="0" fontId="4" fillId="14" borderId="0" xfId="0" applyFont="1" applyFill="1" applyAlignment="1">
      <alignment horizontal="left" vertical="center"/>
    </xf>
    <xf numFmtId="0" fontId="14" fillId="0" borderId="0" xfId="0" applyFont="1" applyAlignment="1">
      <alignment horizontal="right" vertical="center" wrapText="1"/>
    </xf>
    <xf numFmtId="0" fontId="27" fillId="0" borderId="0" xfId="0" applyFont="1" applyAlignment="1">
      <alignment horizontal="right" vertical="center" wrapText="1"/>
    </xf>
    <xf numFmtId="1" fontId="7" fillId="0" borderId="0" xfId="0" applyNumberFormat="1" applyFont="1" applyAlignment="1">
      <alignment horizontal="center" vertical="center"/>
    </xf>
    <xf numFmtId="1" fontId="0" fillId="14" borderId="0" xfId="0" applyNumberFormat="1" applyFill="1" applyAlignment="1">
      <alignment horizontal="center" vertical="center"/>
    </xf>
    <xf numFmtId="1" fontId="2" fillId="17" borderId="0" xfId="0" applyNumberFormat="1" applyFont="1" applyFill="1" applyAlignment="1">
      <alignment horizontal="center" vertical="center"/>
    </xf>
    <xf numFmtId="1" fontId="51" fillId="17" borderId="0" xfId="0" applyNumberFormat="1" applyFont="1" applyFill="1" applyAlignment="1">
      <alignment horizontal="center" vertical="center" wrapText="1"/>
    </xf>
    <xf numFmtId="1" fontId="0" fillId="33" borderId="0" xfId="0" applyNumberFormat="1" applyFill="1" applyAlignment="1">
      <alignment horizontal="center" vertical="center"/>
    </xf>
    <xf numFmtId="1" fontId="75" fillId="26" borderId="0" xfId="0" applyNumberFormat="1" applyFont="1" applyFill="1" applyAlignment="1">
      <alignment horizontal="center" vertical="center" wrapText="1"/>
    </xf>
    <xf numFmtId="1" fontId="0" fillId="20" borderId="0" xfId="0" applyNumberFormat="1" applyFill="1" applyAlignment="1">
      <alignment horizontal="center" vertical="center"/>
    </xf>
    <xf numFmtId="0" fontId="20" fillId="0" borderId="0" xfId="0" applyFont="1" applyAlignment="1">
      <alignment horizontal="center" vertical="center" wrapText="1"/>
    </xf>
    <xf numFmtId="0" fontId="20" fillId="0" borderId="0" xfId="0" applyFont="1" applyAlignment="1" applyProtection="1">
      <alignment vertical="center" wrapText="1"/>
      <protection locked="0"/>
    </xf>
    <xf numFmtId="0" fontId="31" fillId="0" borderId="0" xfId="0" applyFont="1" applyAlignment="1">
      <alignment horizontal="left" vertical="center" wrapText="1"/>
    </xf>
    <xf numFmtId="0" fontId="7" fillId="0" borderId="0" xfId="0" applyFont="1" applyAlignment="1">
      <alignment vertical="center"/>
    </xf>
    <xf numFmtId="0" fontId="0" fillId="57" borderId="0" xfId="0" applyFill="1"/>
    <xf numFmtId="0" fontId="0" fillId="58" borderId="0" xfId="0" applyFill="1"/>
    <xf numFmtId="0" fontId="0" fillId="59" borderId="0" xfId="0" applyFill="1"/>
    <xf numFmtId="0" fontId="76" fillId="0" borderId="0" xfId="0" applyFont="1"/>
    <xf numFmtId="0" fontId="27" fillId="12" borderId="0" xfId="0" applyFont="1" applyFill="1" applyAlignment="1">
      <alignment horizontal="center" vertical="center" wrapText="1"/>
    </xf>
    <xf numFmtId="0" fontId="0" fillId="12" borderId="0" xfId="0" applyFill="1" applyAlignment="1">
      <alignment horizontal="left" vertical="center"/>
    </xf>
    <xf numFmtId="0" fontId="77" fillId="0" borderId="0" xfId="0" applyFont="1" applyAlignment="1">
      <alignment horizontal="left" vertical="top"/>
    </xf>
    <xf numFmtId="0" fontId="27" fillId="0" borderId="0" xfId="0" applyFont="1" applyAlignment="1">
      <alignment horizontal="center" vertical="center" wrapText="1"/>
    </xf>
    <xf numFmtId="0" fontId="0" fillId="22" borderId="3" xfId="0" applyFill="1" applyBorder="1" applyAlignment="1">
      <alignment vertical="center" wrapText="1"/>
    </xf>
    <xf numFmtId="0" fontId="0" fillId="0" borderId="3" xfId="0" applyBorder="1" applyAlignment="1">
      <alignment horizontal="left" vertical="center" wrapText="1"/>
    </xf>
    <xf numFmtId="0" fontId="0" fillId="9" borderId="0" xfId="0" applyFill="1" applyAlignment="1">
      <alignment horizontal="center"/>
    </xf>
    <xf numFmtId="0" fontId="78" fillId="0" borderId="0" xfId="0" applyFont="1" applyAlignment="1">
      <alignment horizontal="center"/>
    </xf>
    <xf numFmtId="1" fontId="3" fillId="60" borderId="17" xfId="0" applyNumberFormat="1" applyFont="1" applyFill="1" applyBorder="1" applyAlignment="1" applyProtection="1">
      <alignment horizontal="center" vertical="center"/>
      <protection locked="0"/>
    </xf>
    <xf numFmtId="1" fontId="3" fillId="60" borderId="17" xfId="0" applyNumberFormat="1" applyFont="1" applyFill="1" applyBorder="1" applyAlignment="1">
      <alignment horizontal="center" vertical="center"/>
    </xf>
    <xf numFmtId="9" fontId="13" fillId="0" borderId="0" xfId="2" applyFont="1"/>
    <xf numFmtId="0" fontId="14" fillId="0" borderId="0" xfId="0" applyFont="1" applyAlignment="1">
      <alignment horizontal="center"/>
    </xf>
    <xf numFmtId="166" fontId="14" fillId="0" borderId="0" xfId="2" applyNumberFormat="1" applyFont="1" applyFill="1" applyAlignment="1">
      <alignment horizontal="center"/>
    </xf>
    <xf numFmtId="0" fontId="0" fillId="3" borderId="0" xfId="0" applyFill="1" applyAlignment="1">
      <alignment horizontal="center" vertical="center"/>
    </xf>
    <xf numFmtId="0" fontId="0" fillId="3" borderId="0" xfId="0" applyFill="1" applyAlignment="1">
      <alignment vertical="center"/>
    </xf>
    <xf numFmtId="0" fontId="0" fillId="3" borderId="0" xfId="0" applyFill="1" applyAlignment="1">
      <alignment horizontal="left" vertical="center"/>
    </xf>
    <xf numFmtId="0" fontId="0" fillId="61" borderId="0" xfId="0" applyFill="1"/>
    <xf numFmtId="0" fontId="12" fillId="32" borderId="7" xfId="0" quotePrefix="1" applyFont="1" applyFill="1" applyBorder="1" applyAlignment="1">
      <alignment horizontal="left" vertical="center" wrapText="1"/>
    </xf>
    <xf numFmtId="0" fontId="0" fillId="32" borderId="0" xfId="0" quotePrefix="1" applyFill="1" applyAlignment="1">
      <alignment vertical="top" wrapText="1"/>
    </xf>
    <xf numFmtId="0" fontId="0" fillId="35" borderId="60" xfId="0" quotePrefix="1" applyFill="1" applyBorder="1" applyAlignment="1">
      <alignment horizontal="left" vertical="center" wrapText="1"/>
    </xf>
    <xf numFmtId="0" fontId="0" fillId="35" borderId="22" xfId="0" quotePrefix="1" applyFill="1" applyBorder="1" applyAlignment="1">
      <alignment horizontal="left" vertical="center" wrapText="1"/>
    </xf>
    <xf numFmtId="0" fontId="0" fillId="7" borderId="61" xfId="0" quotePrefix="1" applyFill="1" applyBorder="1" applyAlignment="1">
      <alignment horizontal="left" vertical="center" wrapText="1"/>
    </xf>
    <xf numFmtId="0" fontId="0" fillId="35" borderId="31" xfId="0" quotePrefix="1" applyFill="1" applyBorder="1" applyAlignment="1">
      <alignment horizontal="left" vertical="center" wrapText="1"/>
    </xf>
    <xf numFmtId="0" fontId="0" fillId="7" borderId="0" xfId="0" applyFill="1" applyAlignment="1">
      <alignment vertical="top" wrapText="1"/>
    </xf>
    <xf numFmtId="0" fontId="0" fillId="32" borderId="0" xfId="0" applyFill="1" applyAlignment="1">
      <alignment vertical="top" wrapText="1"/>
    </xf>
    <xf numFmtId="0" fontId="42" fillId="0" borderId="0" xfId="0" applyFont="1" applyAlignment="1">
      <alignment horizontal="center" vertical="center" wrapText="1"/>
    </xf>
    <xf numFmtId="0" fontId="30" fillId="0" borderId="26" xfId="0" applyFont="1" applyBorder="1" applyAlignment="1">
      <alignment horizontal="center" vertical="center" textRotation="45"/>
    </xf>
    <xf numFmtId="0" fontId="27" fillId="0" borderId="0" xfId="0" applyFont="1" applyAlignment="1">
      <alignment vertical="center" textRotation="45" wrapText="1"/>
    </xf>
    <xf numFmtId="0" fontId="26" fillId="0" borderId="33" xfId="0" applyFont="1" applyBorder="1" applyAlignment="1">
      <alignment horizontal="left" vertical="center" wrapText="1"/>
    </xf>
    <xf numFmtId="0" fontId="0" fillId="0" borderId="34" xfId="0" applyBorder="1" applyAlignment="1">
      <alignment horizontal="center" vertical="center" wrapText="1"/>
    </xf>
    <xf numFmtId="0" fontId="27" fillId="0" borderId="64" xfId="0" applyFont="1" applyBorder="1" applyAlignment="1">
      <alignment horizontal="center" vertical="center" wrapText="1"/>
    </xf>
    <xf numFmtId="0" fontId="27" fillId="0" borderId="53" xfId="0" applyFont="1" applyBorder="1" applyAlignment="1">
      <alignment horizontal="center" vertical="center" wrapText="1"/>
    </xf>
    <xf numFmtId="0" fontId="43" fillId="0" borderId="75" xfId="0" applyFont="1" applyBorder="1" applyAlignment="1">
      <alignment horizontal="center" vertical="center"/>
    </xf>
    <xf numFmtId="0" fontId="43" fillId="0" borderId="76" xfId="0" applyFont="1" applyBorder="1" applyAlignment="1">
      <alignment horizontal="center" vertical="center"/>
    </xf>
    <xf numFmtId="0" fontId="43" fillId="0" borderId="52" xfId="0" applyFont="1" applyBorder="1" applyAlignment="1">
      <alignment horizontal="center" vertical="center"/>
    </xf>
    <xf numFmtId="0" fontId="27" fillId="0" borderId="13" xfId="0" applyFont="1" applyBorder="1" applyAlignment="1">
      <alignment horizontal="left" vertical="center" textRotation="90"/>
    </xf>
    <xf numFmtId="0" fontId="12" fillId="0" borderId="0" xfId="0" applyFont="1" applyAlignment="1">
      <alignment horizontal="center" vertical="center" wrapText="1"/>
    </xf>
    <xf numFmtId="0" fontId="30" fillId="0" borderId="70" xfId="0" applyFont="1" applyBorder="1" applyAlignment="1">
      <alignment horizontal="center" vertical="center" textRotation="45"/>
    </xf>
    <xf numFmtId="0" fontId="80" fillId="0" borderId="0" xfId="0" applyFont="1" applyAlignment="1">
      <alignment horizontal="left" vertical="center" wrapText="1"/>
    </xf>
    <xf numFmtId="0" fontId="27" fillId="12" borderId="0" xfId="0" applyFont="1" applyFill="1" applyAlignment="1">
      <alignment horizontal="right" vertical="center"/>
    </xf>
    <xf numFmtId="0" fontId="30" fillId="0" borderId="70" xfId="0" applyFont="1" applyBorder="1" applyAlignment="1">
      <alignment horizontal="center" vertical="center"/>
    </xf>
    <xf numFmtId="0" fontId="81" fillId="0" borderId="0" xfId="0" applyFont="1"/>
    <xf numFmtId="9" fontId="0" fillId="0" borderId="0" xfId="2" applyFont="1" applyAlignment="1">
      <alignment vertical="center"/>
    </xf>
    <xf numFmtId="0" fontId="6" fillId="0" borderId="0" xfId="0" applyFont="1" applyAlignment="1">
      <alignment horizontal="center" vertical="center"/>
    </xf>
    <xf numFmtId="0" fontId="0" fillId="35" borderId="0" xfId="0" applyFill="1" applyAlignment="1">
      <alignment horizontal="center" vertical="center" wrapText="1"/>
    </xf>
    <xf numFmtId="0" fontId="0" fillId="52" borderId="0" xfId="0" applyFill="1" applyAlignment="1">
      <alignment horizontal="center" vertical="center" wrapText="1"/>
    </xf>
    <xf numFmtId="0" fontId="0" fillId="7" borderId="0" xfId="0" applyFill="1" applyAlignment="1">
      <alignment horizontal="center" vertical="center" wrapText="1"/>
    </xf>
    <xf numFmtId="0" fontId="32" fillId="40" borderId="0" xfId="0" applyFont="1" applyFill="1" applyAlignment="1">
      <alignment horizontal="center" vertical="center" wrapText="1"/>
    </xf>
    <xf numFmtId="0" fontId="32" fillId="51" borderId="0" xfId="0" applyFont="1" applyFill="1" applyAlignment="1">
      <alignment horizontal="center" vertical="center" wrapText="1"/>
    </xf>
    <xf numFmtId="0" fontId="32" fillId="25" borderId="0" xfId="0" applyFont="1" applyFill="1" applyAlignment="1">
      <alignment horizontal="center" vertical="center" wrapText="1"/>
    </xf>
    <xf numFmtId="0" fontId="32" fillId="54" borderId="0" xfId="0" applyFont="1" applyFill="1" applyAlignment="1">
      <alignment horizontal="center" vertical="center" wrapText="1"/>
    </xf>
    <xf numFmtId="0" fontId="62" fillId="24" borderId="10" xfId="0" applyFont="1" applyFill="1" applyBorder="1" applyAlignment="1">
      <alignment horizontal="center" vertical="center" wrapText="1"/>
    </xf>
    <xf numFmtId="0" fontId="32" fillId="24" borderId="0" xfId="0" applyFont="1" applyFill="1" applyAlignment="1">
      <alignment horizontal="center" vertical="center" wrapText="1"/>
    </xf>
    <xf numFmtId="0" fontId="0" fillId="6" borderId="0" xfId="0" applyFill="1" applyAlignment="1">
      <alignment horizontal="center" vertical="center" wrapText="1"/>
    </xf>
    <xf numFmtId="0" fontId="0" fillId="3" borderId="0" xfId="0" applyFill="1" applyAlignment="1">
      <alignment horizontal="center" vertical="center" wrapText="1"/>
    </xf>
    <xf numFmtId="0" fontId="32" fillId="51" borderId="8" xfId="0" quotePrefix="1" applyFont="1" applyFill="1" applyBorder="1" applyAlignment="1">
      <alignment vertical="center" wrapText="1"/>
    </xf>
    <xf numFmtId="0" fontId="0" fillId="7" borderId="22" xfId="0" applyFill="1" applyBorder="1" applyAlignment="1">
      <alignment horizontal="left" vertical="top" wrapText="1"/>
    </xf>
    <xf numFmtId="0" fontId="0" fillId="7" borderId="25" xfId="0" quotePrefix="1" applyFill="1" applyBorder="1" applyAlignment="1">
      <alignment horizontal="left" vertical="center" wrapText="1"/>
    </xf>
    <xf numFmtId="0" fontId="39" fillId="36" borderId="0" xfId="0" applyFont="1" applyFill="1" applyAlignment="1">
      <alignment horizontal="left" vertical="center"/>
    </xf>
    <xf numFmtId="0" fontId="15" fillId="34" borderId="0" xfId="0" applyFont="1" applyFill="1" applyAlignment="1">
      <alignment horizontal="left" vertical="center"/>
    </xf>
    <xf numFmtId="0" fontId="39" fillId="62" borderId="0" xfId="0" applyFont="1" applyFill="1" applyAlignment="1">
      <alignment horizontal="left" vertical="center"/>
    </xf>
    <xf numFmtId="1" fontId="3" fillId="11" borderId="0" xfId="0" applyNumberFormat="1" applyFont="1" applyFill="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1" fontId="0" fillId="0" borderId="0" xfId="0" applyNumberFormat="1" applyAlignment="1">
      <alignment vertical="center"/>
    </xf>
    <xf numFmtId="0" fontId="85" fillId="0" borderId="0" xfId="0" applyFont="1"/>
    <xf numFmtId="0" fontId="15" fillId="0" borderId="0" xfId="0" quotePrefix="1" applyFont="1"/>
    <xf numFmtId="1" fontId="0" fillId="7" borderId="0" xfId="0" applyNumberFormat="1" applyFill="1" applyAlignment="1">
      <alignment horizontal="left" vertical="center" wrapText="1"/>
    </xf>
    <xf numFmtId="0" fontId="27" fillId="0" borderId="0" xfId="0" applyFont="1" applyAlignment="1">
      <alignment horizontal="left" vertical="center"/>
    </xf>
    <xf numFmtId="0" fontId="19" fillId="0" borderId="0" xfId="0" applyFont="1" applyAlignment="1">
      <alignment horizontal="left" vertical="center" wrapText="1"/>
    </xf>
    <xf numFmtId="0" fontId="23" fillId="0" borderId="0" xfId="0" applyFont="1" applyAlignment="1">
      <alignment horizontal="center" vertical="center" wrapText="1"/>
    </xf>
    <xf numFmtId="0" fontId="27" fillId="0" borderId="0" xfId="0" applyFont="1" applyAlignment="1">
      <alignment horizontal="center" vertical="center" textRotation="90"/>
    </xf>
    <xf numFmtId="0" fontId="19" fillId="32" borderId="0" xfId="0" applyFont="1" applyFill="1" applyAlignment="1">
      <alignment horizontal="left" vertical="center" wrapText="1"/>
    </xf>
    <xf numFmtId="0" fontId="23" fillId="32" borderId="0" xfId="0" applyFont="1" applyFill="1" applyAlignment="1">
      <alignment horizontal="left" vertical="center" wrapText="1"/>
    </xf>
    <xf numFmtId="0" fontId="0" fillId="17" borderId="0" xfId="0" applyFill="1" applyAlignment="1">
      <alignment horizontal="left" vertical="center" wrapText="1"/>
    </xf>
    <xf numFmtId="0" fontId="10" fillId="7" borderId="0" xfId="0" applyFont="1" applyFill="1" applyAlignment="1">
      <alignment horizontal="left" vertical="center" wrapText="1"/>
    </xf>
    <xf numFmtId="0" fontId="0" fillId="36" borderId="0" xfId="0" applyFill="1" applyAlignment="1">
      <alignment horizontal="left" vertical="center" wrapText="1"/>
    </xf>
    <xf numFmtId="0" fontId="79" fillId="7" borderId="0" xfId="0" applyFont="1" applyFill="1" applyAlignment="1">
      <alignment horizontal="left" vertical="center" wrapText="1"/>
    </xf>
    <xf numFmtId="0" fontId="62" fillId="24" borderId="10" xfId="0" applyFont="1" applyFill="1" applyBorder="1" applyAlignment="1">
      <alignment horizontal="left" vertical="center"/>
    </xf>
    <xf numFmtId="0" fontId="32" fillId="32" borderId="0" xfId="0" applyFont="1" applyFill="1" applyAlignment="1">
      <alignment horizontal="left" vertical="center" wrapText="1"/>
    </xf>
    <xf numFmtId="0" fontId="0" fillId="13" borderId="0" xfId="0" applyFill="1" applyAlignment="1">
      <alignment horizontal="left" vertical="center" wrapText="1"/>
    </xf>
    <xf numFmtId="0" fontId="27" fillId="35"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42" fillId="0" borderId="0" xfId="0" applyFont="1" applyAlignment="1">
      <alignment horizontal="center" vertical="center"/>
    </xf>
    <xf numFmtId="0" fontId="27" fillId="19" borderId="38" xfId="0" applyFont="1" applyFill="1" applyBorder="1" applyAlignment="1">
      <alignment horizontal="center" vertical="center" wrapText="1"/>
    </xf>
    <xf numFmtId="0" fontId="42" fillId="0" borderId="0" xfId="0" applyFont="1" applyAlignment="1">
      <alignment horizontal="left" vertical="top" wrapText="1"/>
    </xf>
    <xf numFmtId="0" fontId="0" fillId="0" borderId="0" xfId="0" applyAlignment="1">
      <alignment horizontal="left" vertical="top" wrapText="1"/>
    </xf>
    <xf numFmtId="0" fontId="27" fillId="32" borderId="0" xfId="0" applyFont="1" applyFill="1" applyAlignment="1">
      <alignment horizontal="left" vertical="top" wrapText="1"/>
    </xf>
    <xf numFmtId="0" fontId="27" fillId="0" borderId="0" xfId="0" applyFont="1" applyAlignment="1">
      <alignment horizontal="left" vertical="top" wrapText="1"/>
    </xf>
    <xf numFmtId="0" fontId="27" fillId="9" borderId="0" xfId="0" applyFont="1" applyFill="1" applyAlignment="1">
      <alignment horizontal="center" vertical="center" wrapText="1"/>
    </xf>
    <xf numFmtId="0" fontId="27" fillId="19" borderId="0" xfId="0" applyFont="1" applyFill="1" applyAlignment="1">
      <alignment horizontal="center" vertical="center" wrapText="1"/>
    </xf>
    <xf numFmtId="0" fontId="29" fillId="10" borderId="0" xfId="0" applyFont="1" applyFill="1" applyAlignment="1">
      <alignment horizontal="center" vertical="center" wrapText="1"/>
    </xf>
    <xf numFmtId="0" fontId="27" fillId="7" borderId="38" xfId="0" applyFont="1" applyFill="1" applyBorder="1" applyAlignment="1">
      <alignment horizontal="center" vertical="center" wrapText="1"/>
    </xf>
    <xf numFmtId="0" fontId="27" fillId="7" borderId="67" xfId="0"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62" fillId="6" borderId="14" xfId="0" applyFont="1" applyFill="1" applyBorder="1" applyAlignment="1">
      <alignment horizontal="center" vertical="center" wrapText="1"/>
    </xf>
    <xf numFmtId="0" fontId="27" fillId="6" borderId="0" xfId="0" applyFont="1" applyFill="1" applyAlignment="1">
      <alignment horizontal="center" vertical="center" wrapText="1"/>
    </xf>
    <xf numFmtId="0" fontId="32" fillId="51" borderId="8" xfId="0" applyFont="1" applyFill="1" applyBorder="1" applyAlignment="1">
      <alignment horizontal="center" vertical="center" wrapText="1"/>
    </xf>
    <xf numFmtId="0" fontId="0" fillId="27" borderId="0" xfId="0" applyFill="1" applyAlignment="1">
      <alignment horizontal="center" vertical="center"/>
    </xf>
    <xf numFmtId="0" fontId="0" fillId="0" borderId="9" xfId="0" applyBorder="1" applyAlignment="1">
      <alignment horizontal="center" vertical="center" wrapText="1"/>
    </xf>
    <xf numFmtId="0" fontId="27" fillId="35" borderId="16" xfId="0" applyFont="1" applyFill="1" applyBorder="1" applyAlignment="1">
      <alignment horizontal="center" vertical="center" wrapText="1"/>
    </xf>
    <xf numFmtId="0" fontId="27" fillId="35"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28"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9" fillId="19" borderId="0" xfId="0" applyFont="1" applyFill="1" applyAlignment="1">
      <alignment horizontal="center" vertical="center" wrapText="1"/>
    </xf>
    <xf numFmtId="0" fontId="29" fillId="9" borderId="0" xfId="0" applyFont="1" applyFill="1" applyAlignment="1">
      <alignment horizontal="center" vertical="center" wrapText="1"/>
    </xf>
    <xf numFmtId="0" fontId="56" fillId="25" borderId="0" xfId="0" applyFont="1" applyFill="1" applyAlignment="1">
      <alignment horizontal="center" vertical="center" wrapText="1"/>
    </xf>
    <xf numFmtId="0" fontId="62" fillId="6" borderId="0" xfId="0" applyFont="1" applyFill="1" applyAlignment="1">
      <alignment horizontal="center" vertical="center" wrapText="1"/>
    </xf>
    <xf numFmtId="0" fontId="32" fillId="32" borderId="0" xfId="0" applyFont="1" applyFill="1" applyAlignment="1">
      <alignment horizontal="center" vertical="center" wrapText="1"/>
    </xf>
    <xf numFmtId="0" fontId="27" fillId="20" borderId="0" xfId="0" applyFont="1" applyFill="1" applyAlignment="1">
      <alignment horizontal="center" vertical="center" wrapText="1"/>
    </xf>
    <xf numFmtId="0" fontId="29" fillId="36" borderId="74" xfId="0" applyFont="1" applyFill="1" applyBorder="1" applyAlignment="1">
      <alignment horizontal="center" vertical="center" wrapText="1"/>
    </xf>
    <xf numFmtId="0" fontId="27" fillId="36" borderId="23" xfId="0" applyFont="1" applyFill="1" applyBorder="1" applyAlignment="1">
      <alignment horizontal="center" vertical="center" wrapText="1"/>
    </xf>
    <xf numFmtId="0" fontId="29" fillId="19" borderId="23" xfId="0" applyFont="1" applyFill="1" applyBorder="1" applyAlignment="1">
      <alignment horizontal="center" vertical="center" wrapText="1"/>
    </xf>
    <xf numFmtId="0" fontId="29" fillId="10" borderId="23" xfId="0" applyFont="1" applyFill="1" applyBorder="1" applyAlignment="1">
      <alignment horizontal="center" vertical="center" wrapText="1"/>
    </xf>
    <xf numFmtId="0" fontId="29" fillId="19" borderId="23" xfId="0" applyFont="1" applyFill="1" applyBorder="1" applyAlignment="1" applyProtection="1">
      <alignment horizontal="center" vertical="center" wrapText="1"/>
      <protection locked="0"/>
    </xf>
    <xf numFmtId="0" fontId="29" fillId="9" borderId="23" xfId="0" applyFont="1" applyFill="1" applyBorder="1" applyAlignment="1">
      <alignment horizontal="center" vertical="center" wrapText="1"/>
    </xf>
    <xf numFmtId="0" fontId="27" fillId="10" borderId="23" xfId="0" applyFont="1" applyFill="1" applyBorder="1" applyAlignment="1">
      <alignment horizontal="center" vertical="center" wrapText="1"/>
    </xf>
    <xf numFmtId="0" fontId="27" fillId="19" borderId="23" xfId="0"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0" borderId="0" xfId="0" applyFont="1" applyAlignment="1">
      <alignment horizontal="left" vertical="top"/>
    </xf>
    <xf numFmtId="0" fontId="27" fillId="35" borderId="0" xfId="0" applyFont="1" applyFill="1" applyAlignment="1">
      <alignment horizontal="center" vertical="center" wrapText="1"/>
    </xf>
    <xf numFmtId="0" fontId="0" fillId="35" borderId="0" xfId="0" applyFill="1" applyAlignment="1">
      <alignment horizontal="left" vertical="center" wrapText="1"/>
    </xf>
    <xf numFmtId="0" fontId="0" fillId="35" borderId="0" xfId="0" quotePrefix="1" applyFill="1" applyAlignment="1">
      <alignment horizontal="left" vertical="center" wrapText="1"/>
    </xf>
    <xf numFmtId="0" fontId="0" fillId="0" borderId="0" xfId="0" quotePrefix="1" applyAlignment="1">
      <alignment horizontal="left" vertical="center" wrapText="1"/>
    </xf>
    <xf numFmtId="0" fontId="27" fillId="0" borderId="28" xfId="0" applyFont="1" applyBorder="1" applyAlignment="1">
      <alignment horizontal="center" vertical="center" wrapText="1"/>
    </xf>
    <xf numFmtId="1" fontId="29" fillId="0" borderId="0" xfId="0" applyNumberFormat="1" applyFont="1" applyAlignment="1">
      <alignment horizontal="center" vertical="center"/>
    </xf>
    <xf numFmtId="9" fontId="27" fillId="0" borderId="36" xfId="2" applyFont="1" applyFill="1" applyBorder="1" applyAlignment="1">
      <alignment horizontal="center" vertical="center"/>
    </xf>
    <xf numFmtId="1" fontId="70" fillId="0" borderId="0" xfId="0" applyNumberFormat="1" applyFont="1" applyAlignment="1">
      <alignment horizontal="center" vertical="center"/>
    </xf>
    <xf numFmtId="9" fontId="27" fillId="0" borderId="62" xfId="2" applyFont="1" applyFill="1" applyBorder="1" applyAlignment="1">
      <alignment horizontal="center" vertical="center"/>
    </xf>
    <xf numFmtId="0" fontId="27" fillId="0" borderId="1" xfId="0" applyFont="1" applyBorder="1" applyAlignment="1">
      <alignment horizontal="center" vertical="center" textRotation="90"/>
    </xf>
    <xf numFmtId="1" fontId="0" fillId="0" borderId="0" xfId="0" applyNumberFormat="1" applyAlignment="1">
      <alignment vertical="center" wrapText="1"/>
    </xf>
    <xf numFmtId="0" fontId="8" fillId="0" borderId="0" xfId="0" applyFont="1" applyAlignment="1">
      <alignment horizontal="right"/>
    </xf>
    <xf numFmtId="0" fontId="0" fillId="27" borderId="0" xfId="0" applyFill="1" applyAlignment="1">
      <alignment horizontal="center"/>
    </xf>
    <xf numFmtId="164" fontId="0" fillId="35" borderId="0" xfId="1" applyNumberFormat="1" applyFont="1" applyFill="1" applyAlignment="1">
      <alignment horizontal="center" vertical="center"/>
    </xf>
    <xf numFmtId="164" fontId="0" fillId="0" borderId="0" xfId="1" applyNumberFormat="1" applyFont="1" applyFill="1" applyAlignment="1">
      <alignment horizontal="center" vertical="center"/>
    </xf>
    <xf numFmtId="164" fontId="0" fillId="35" borderId="0" xfId="1" applyNumberFormat="1" applyFont="1" applyFill="1" applyAlignment="1">
      <alignment horizontal="center" vertical="center" wrapText="1"/>
    </xf>
    <xf numFmtId="164" fontId="0" fillId="0" borderId="0" xfId="1" applyNumberFormat="1" applyFont="1" applyFill="1" applyAlignment="1">
      <alignment horizontal="center" vertical="center" wrapText="1"/>
    </xf>
    <xf numFmtId="164" fontId="0" fillId="0" borderId="0" xfId="1" applyNumberFormat="1" applyFont="1" applyFill="1" applyAlignment="1">
      <alignment horizontal="left" vertical="center"/>
    </xf>
    <xf numFmtId="0" fontId="2" fillId="27" borderId="0" xfId="0" applyFont="1" applyFill="1" applyAlignment="1">
      <alignment horizontal="center" vertical="center"/>
    </xf>
    <xf numFmtId="0" fontId="2" fillId="27" borderId="0" xfId="0" applyFont="1" applyFill="1" applyAlignment="1">
      <alignment horizontal="center"/>
    </xf>
    <xf numFmtId="0" fontId="0" fillId="35" borderId="0" xfId="0" applyFill="1" applyAlignment="1">
      <alignment vertical="center"/>
    </xf>
    <xf numFmtId="164" fontId="0" fillId="35" borderId="0" xfId="1" applyNumberFormat="1" applyFont="1" applyFill="1" applyAlignment="1">
      <alignment horizontal="center"/>
    </xf>
    <xf numFmtId="164" fontId="0" fillId="0" borderId="0" xfId="1" applyNumberFormat="1" applyFont="1" applyFill="1" applyAlignment="1">
      <alignment horizontal="center"/>
    </xf>
    <xf numFmtId="0" fontId="0" fillId="0" borderId="0" xfId="0" applyAlignment="1">
      <alignment vertical="center" textRotation="45"/>
    </xf>
    <xf numFmtId="0" fontId="16" fillId="0" borderId="0" xfId="0" applyFont="1"/>
    <xf numFmtId="0" fontId="85" fillId="0" borderId="0" xfId="0" applyFont="1" applyAlignment="1">
      <alignment horizontal="right"/>
    </xf>
    <xf numFmtId="0" fontId="88" fillId="0" borderId="0" xfId="0" applyFont="1" applyAlignment="1">
      <alignment horizontal="center" vertical="center" wrapText="1"/>
    </xf>
    <xf numFmtId="0" fontId="27" fillId="22" borderId="0" xfId="0" applyFont="1" applyFill="1" applyAlignment="1">
      <alignment horizontal="center" vertical="center" wrapText="1"/>
    </xf>
    <xf numFmtId="9" fontId="53" fillId="0" borderId="37" xfId="2" applyFont="1" applyFill="1" applyBorder="1" applyAlignment="1">
      <alignment horizontal="center" vertical="center" wrapText="1"/>
    </xf>
    <xf numFmtId="9" fontId="53" fillId="0" borderId="26" xfId="2" applyFont="1" applyFill="1" applyBorder="1" applyAlignment="1">
      <alignment horizontal="center" vertical="center"/>
    </xf>
    <xf numFmtId="0" fontId="0" fillId="52" borderId="25" xfId="0" applyFill="1" applyBorder="1" applyAlignment="1">
      <alignment horizontal="left" vertical="center" wrapText="1"/>
    </xf>
    <xf numFmtId="0" fontId="0" fillId="52" borderId="28" xfId="0" applyFill="1" applyBorder="1" applyAlignment="1">
      <alignment horizontal="center" vertical="center"/>
    </xf>
    <xf numFmtId="0" fontId="12" fillId="52" borderId="31" xfId="0" applyFont="1" applyFill="1" applyBorder="1" applyAlignment="1">
      <alignment horizontal="left" vertical="center" wrapText="1"/>
    </xf>
    <xf numFmtId="0" fontId="0" fillId="52" borderId="15" xfId="0" applyFill="1" applyBorder="1" applyAlignment="1">
      <alignment horizontal="center" vertical="center"/>
    </xf>
    <xf numFmtId="0" fontId="0" fillId="17" borderId="0" xfId="2" applyNumberFormat="1" applyFont="1" applyFill="1" applyBorder="1" applyAlignment="1">
      <alignment horizontal="center" vertical="center"/>
    </xf>
    <xf numFmtId="0" fontId="27" fillId="0" borderId="0" xfId="0" applyFont="1" applyAlignment="1">
      <alignment horizontal="left" vertical="center" wrapText="1"/>
    </xf>
    <xf numFmtId="0" fontId="50" fillId="0" borderId="0" xfId="0" applyFont="1" applyAlignment="1">
      <alignment horizontal="left" vertical="center" wrapText="1"/>
    </xf>
    <xf numFmtId="0" fontId="50" fillId="45" borderId="0" xfId="0" applyFont="1" applyFill="1" applyAlignment="1">
      <alignment horizontal="left" vertical="center" wrapText="1"/>
    </xf>
    <xf numFmtId="0" fontId="24" fillId="0" borderId="0" xfId="0" applyFont="1"/>
    <xf numFmtId="0" fontId="88" fillId="0" borderId="0" xfId="0" applyFont="1" applyAlignment="1">
      <alignment horizontal="center" vertical="center"/>
    </xf>
    <xf numFmtId="0" fontId="27" fillId="39" borderId="0" xfId="0" applyFont="1" applyFill="1" applyAlignment="1">
      <alignment horizontal="left" vertical="center" wrapText="1"/>
    </xf>
    <xf numFmtId="0" fontId="27" fillId="8" borderId="0" xfId="0" applyFont="1" applyFill="1" applyAlignment="1">
      <alignment horizontal="left" vertical="center" wrapText="1"/>
    </xf>
    <xf numFmtId="0" fontId="7" fillId="0" borderId="0" xfId="0" applyFont="1" applyAlignment="1">
      <alignment vertical="center" wrapText="1"/>
    </xf>
    <xf numFmtId="0" fontId="32" fillId="0" borderId="0" xfId="0" applyFont="1" applyAlignment="1">
      <alignment horizontal="center" vertical="center" wrapText="1"/>
    </xf>
    <xf numFmtId="0" fontId="0" fillId="0" borderId="54" xfId="0" applyBorder="1" applyAlignment="1">
      <alignment horizontal="center" vertical="center" wrapText="1"/>
    </xf>
    <xf numFmtId="0" fontId="0" fillId="36" borderId="78" xfId="0" applyFill="1" applyBorder="1" applyAlignment="1">
      <alignment horizontal="center" vertical="center" wrapText="1"/>
    </xf>
    <xf numFmtId="0" fontId="0" fillId="36" borderId="54" xfId="0" applyFill="1" applyBorder="1" applyAlignment="1">
      <alignment horizontal="center" vertical="center" wrapText="1"/>
    </xf>
    <xf numFmtId="0" fontId="27" fillId="0" borderId="1" xfId="0" applyFont="1" applyBorder="1" applyAlignment="1">
      <alignment horizontal="left" vertical="center" wrapText="1"/>
    </xf>
    <xf numFmtId="0" fontId="0" fillId="0" borderId="1" xfId="0" applyBorder="1" applyAlignment="1">
      <alignment horizontal="center" vertical="center" wrapText="1"/>
    </xf>
    <xf numFmtId="0" fontId="0" fillId="36" borderId="78" xfId="0" applyFill="1" applyBorder="1" applyAlignment="1">
      <alignment horizontal="left" vertical="center" wrapText="1"/>
    </xf>
    <xf numFmtId="0" fontId="27" fillId="0" borderId="78" xfId="0" applyFont="1" applyBorder="1" applyAlignment="1">
      <alignment horizontal="left" vertical="center" wrapText="1"/>
    </xf>
    <xf numFmtId="0" fontId="0" fillId="0" borderId="78" xfId="0" applyBorder="1"/>
    <xf numFmtId="0" fontId="0" fillId="0" borderId="78" xfId="0" applyBorder="1" applyAlignment="1">
      <alignment horizontal="center" vertical="center" wrapText="1"/>
    </xf>
    <xf numFmtId="0" fontId="93" fillId="0" borderId="0" xfId="0" applyFont="1" applyAlignment="1">
      <alignment horizontal="center"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0" fillId="0" borderId="53" xfId="0" applyBorder="1" applyAlignment="1">
      <alignment vertical="center" wrapText="1"/>
    </xf>
    <xf numFmtId="0" fontId="0" fillId="36" borderId="54" xfId="0" applyFill="1" applyBorder="1" applyAlignment="1">
      <alignment horizontal="left" vertical="center" wrapText="1"/>
    </xf>
    <xf numFmtId="0" fontId="27" fillId="27" borderId="54" xfId="0" applyFont="1" applyFill="1" applyBorder="1" applyAlignment="1">
      <alignment horizontal="left" vertical="center" wrapText="1"/>
    </xf>
    <xf numFmtId="0" fontId="0" fillId="0" borderId="54" xfId="0" applyBorder="1"/>
    <xf numFmtId="0" fontId="0" fillId="0" borderId="62" xfId="0" applyBorder="1" applyAlignment="1">
      <alignment vertical="center" wrapText="1"/>
    </xf>
    <xf numFmtId="0" fontId="0" fillId="7" borderId="1" xfId="0" applyFill="1" applyBorder="1" applyAlignment="1">
      <alignment horizontal="left" vertical="center" wrapText="1"/>
    </xf>
    <xf numFmtId="0" fontId="0" fillId="0" borderId="64" xfId="0" applyBorder="1" applyAlignment="1">
      <alignment vertical="center" wrapText="1"/>
    </xf>
    <xf numFmtId="0" fontId="27" fillId="6" borderId="78" xfId="0" applyFont="1" applyFill="1" applyBorder="1" applyAlignment="1">
      <alignment horizontal="left" vertical="center" wrapText="1"/>
    </xf>
    <xf numFmtId="0" fontId="0" fillId="7" borderId="78" xfId="0" applyFill="1" applyBorder="1" applyAlignment="1">
      <alignment horizontal="center" vertical="center" wrapText="1"/>
    </xf>
    <xf numFmtId="0" fontId="32" fillId="40" borderId="78" xfId="0" applyFont="1" applyFill="1" applyBorder="1" applyAlignment="1">
      <alignment horizontal="center" vertical="center" wrapText="1"/>
    </xf>
    <xf numFmtId="0" fontId="0" fillId="32" borderId="78" xfId="0" applyFill="1" applyBorder="1" applyAlignment="1">
      <alignment horizontal="left" vertical="center" wrapText="1"/>
    </xf>
    <xf numFmtId="0" fontId="27" fillId="5" borderId="54" xfId="0" applyFont="1" applyFill="1" applyBorder="1" applyAlignment="1">
      <alignment horizontal="left" vertical="center" wrapText="1"/>
    </xf>
    <xf numFmtId="0" fontId="0" fillId="32" borderId="54" xfId="0" applyFill="1" applyBorder="1" applyAlignment="1">
      <alignment horizontal="left" vertical="center" wrapText="1"/>
    </xf>
    <xf numFmtId="0" fontId="50" fillId="42" borderId="55" xfId="0" applyFont="1" applyFill="1" applyBorder="1" applyAlignment="1">
      <alignment horizontal="left" vertical="center" wrapText="1"/>
    </xf>
    <xf numFmtId="0" fontId="12" fillId="0" borderId="1" xfId="0" applyFont="1" applyBorder="1" applyAlignment="1">
      <alignment horizontal="center" vertical="center" wrapText="1"/>
    </xf>
    <xf numFmtId="0" fontId="50" fillId="0" borderId="63" xfId="0" applyFont="1" applyBorder="1" applyAlignment="1">
      <alignment horizontal="left" vertical="center" wrapText="1"/>
    </xf>
    <xf numFmtId="0" fontId="27" fillId="5" borderId="78" xfId="0" applyFont="1" applyFill="1" applyBorder="1" applyAlignment="1">
      <alignment horizontal="left" vertical="center" wrapText="1"/>
    </xf>
    <xf numFmtId="0" fontId="50" fillId="23" borderId="59" xfId="0" applyFont="1" applyFill="1" applyBorder="1" applyAlignment="1">
      <alignment horizontal="left" vertical="center" wrapText="1"/>
    </xf>
    <xf numFmtId="0" fontId="27" fillId="39" borderId="54" xfId="0" applyFont="1" applyFill="1" applyBorder="1" applyAlignment="1">
      <alignment horizontal="left" vertical="center" wrapText="1"/>
    </xf>
    <xf numFmtId="0" fontId="50" fillId="43" borderId="55" xfId="0" applyFont="1" applyFill="1" applyBorder="1" applyAlignment="1">
      <alignment horizontal="left" vertical="center" wrapText="1"/>
    </xf>
    <xf numFmtId="0" fontId="27" fillId="8" borderId="78" xfId="0" applyFont="1" applyFill="1" applyBorder="1" applyAlignment="1">
      <alignment horizontal="left" vertical="center" wrapText="1"/>
    </xf>
    <xf numFmtId="0" fontId="27" fillId="32" borderId="78" xfId="0" applyFont="1" applyFill="1" applyBorder="1" applyAlignment="1">
      <alignment horizontal="left" vertical="center" wrapText="1"/>
    </xf>
    <xf numFmtId="0" fontId="27" fillId="14" borderId="78" xfId="0" applyFont="1" applyFill="1" applyBorder="1" applyAlignment="1">
      <alignment horizontal="left" vertical="center" wrapText="1"/>
    </xf>
    <xf numFmtId="0" fontId="27" fillId="32" borderId="59" xfId="0" applyFont="1" applyFill="1" applyBorder="1" applyAlignment="1">
      <alignment horizontal="left" vertical="center" wrapText="1"/>
    </xf>
    <xf numFmtId="0" fontId="0" fillId="7" borderId="1" xfId="0" applyFill="1" applyBorder="1" applyAlignment="1">
      <alignment horizontal="center" vertical="center" wrapText="1"/>
    </xf>
    <xf numFmtId="0" fontId="27" fillId="6" borderId="1" xfId="0" applyFont="1" applyFill="1" applyBorder="1" applyAlignment="1">
      <alignment horizontal="left" vertical="center" wrapText="1"/>
    </xf>
    <xf numFmtId="0" fontId="27" fillId="0" borderId="54" xfId="0" applyFont="1" applyBorder="1" applyAlignment="1">
      <alignment horizontal="left" vertical="center" wrapText="1"/>
    </xf>
    <xf numFmtId="0" fontId="27" fillId="32" borderId="1" xfId="0" applyFont="1" applyFill="1" applyBorder="1" applyAlignment="1">
      <alignment horizontal="left" vertical="center" wrapText="1"/>
    </xf>
    <xf numFmtId="0" fontId="0" fillId="0" borderId="78" xfId="0" applyBorder="1" applyAlignment="1">
      <alignment vertical="center" wrapText="1"/>
    </xf>
    <xf numFmtId="0" fontId="27" fillId="39" borderId="1" xfId="0" applyFont="1" applyFill="1" applyBorder="1" applyAlignment="1">
      <alignment horizontal="left" vertical="center" wrapText="1"/>
    </xf>
    <xf numFmtId="0" fontId="0" fillId="7" borderId="54" xfId="0" applyFill="1" applyBorder="1" applyAlignment="1">
      <alignment horizontal="center" vertical="center" wrapText="1"/>
    </xf>
    <xf numFmtId="0" fontId="27" fillId="39" borderId="78" xfId="0" applyFont="1" applyFill="1" applyBorder="1" applyAlignment="1">
      <alignment horizontal="left" vertical="center" wrapText="1"/>
    </xf>
    <xf numFmtId="164" fontId="0" fillId="6" borderId="0" xfId="1" applyNumberFormat="1" applyFont="1" applyFill="1" applyAlignment="1">
      <alignment horizontal="center" vertical="center"/>
    </xf>
    <xf numFmtId="0" fontId="27" fillId="6" borderId="54" xfId="0" applyFont="1" applyFill="1" applyBorder="1" applyAlignment="1">
      <alignment horizontal="left" vertical="center" wrapText="1"/>
    </xf>
    <xf numFmtId="0" fontId="50" fillId="41" borderId="16" xfId="0" applyFont="1" applyFill="1" applyBorder="1" applyAlignment="1">
      <alignment horizontal="left" vertical="center" wrapText="1"/>
    </xf>
    <xf numFmtId="0" fontId="50" fillId="42" borderId="15" xfId="0" applyFont="1" applyFill="1" applyBorder="1" applyAlignment="1">
      <alignment horizontal="left" vertical="center"/>
    </xf>
    <xf numFmtId="0" fontId="50" fillId="43" borderId="15" xfId="0" applyFont="1" applyFill="1" applyBorder="1" applyAlignment="1">
      <alignment horizontal="left" vertical="center"/>
    </xf>
    <xf numFmtId="0" fontId="50" fillId="23" borderId="15" xfId="0" applyFont="1" applyFill="1" applyBorder="1" applyAlignment="1">
      <alignment horizontal="left" vertical="center"/>
    </xf>
    <xf numFmtId="0" fontId="50" fillId="23" borderId="16" xfId="0" applyFont="1" applyFill="1" applyBorder="1" applyAlignment="1">
      <alignment horizontal="left" vertical="center"/>
    </xf>
    <xf numFmtId="0" fontId="50" fillId="40" borderId="15" xfId="0" applyFont="1" applyFill="1" applyBorder="1" applyAlignment="1">
      <alignment horizontal="left" vertical="center"/>
    </xf>
    <xf numFmtId="0" fontId="27" fillId="32" borderId="28" xfId="0" applyFont="1" applyFill="1" applyBorder="1" applyAlignment="1">
      <alignment horizontal="left" vertical="center"/>
    </xf>
    <xf numFmtId="0" fontId="65" fillId="45" borderId="15" xfId="0" applyFont="1" applyFill="1" applyBorder="1" applyAlignment="1">
      <alignment horizontal="left" vertical="center"/>
    </xf>
    <xf numFmtId="0" fontId="50" fillId="45" borderId="16" xfId="0" applyFont="1" applyFill="1" applyBorder="1" applyAlignment="1">
      <alignment horizontal="left" vertical="center"/>
    </xf>
    <xf numFmtId="0" fontId="27" fillId="27" borderId="16" xfId="0" applyFont="1" applyFill="1" applyBorder="1" applyAlignment="1">
      <alignment horizontal="left" vertical="center"/>
    </xf>
    <xf numFmtId="0" fontId="50" fillId="45" borderId="15" xfId="0" applyFont="1" applyFill="1" applyBorder="1" applyAlignment="1">
      <alignment horizontal="left" vertical="center"/>
    </xf>
    <xf numFmtId="0" fontId="50" fillId="24" borderId="15" xfId="0" applyFont="1" applyFill="1" applyBorder="1" applyAlignment="1">
      <alignment horizontal="left" vertical="center"/>
    </xf>
    <xf numFmtId="0" fontId="27" fillId="32" borderId="16" xfId="0" applyFont="1" applyFill="1" applyBorder="1" applyAlignment="1">
      <alignment horizontal="left" vertical="center"/>
    </xf>
    <xf numFmtId="0" fontId="50" fillId="46" borderId="15" xfId="0" applyFont="1" applyFill="1" applyBorder="1" applyAlignment="1">
      <alignment horizontal="left" vertical="center"/>
    </xf>
    <xf numFmtId="0" fontId="50" fillId="41" borderId="55" xfId="0" applyFont="1" applyFill="1" applyBorder="1" applyAlignment="1">
      <alignment horizontal="left" vertical="center" wrapText="1"/>
    </xf>
    <xf numFmtId="0" fontId="50" fillId="23" borderId="55" xfId="0" applyFont="1" applyFill="1" applyBorder="1" applyAlignment="1">
      <alignment horizontal="left" vertical="center" wrapText="1"/>
    </xf>
    <xf numFmtId="0" fontId="50" fillId="43" borderId="59" xfId="0" applyFont="1" applyFill="1" applyBorder="1" applyAlignment="1">
      <alignment horizontal="left" vertical="center" wrapText="1"/>
    </xf>
    <xf numFmtId="0" fontId="27" fillId="32" borderId="54" xfId="0" applyFont="1" applyFill="1" applyBorder="1" applyAlignment="1">
      <alignment horizontal="left" vertical="center" wrapText="1"/>
    </xf>
    <xf numFmtId="0" fontId="50" fillId="40" borderId="55" xfId="0" applyFont="1" applyFill="1" applyBorder="1" applyAlignment="1">
      <alignment horizontal="left" vertical="center" wrapText="1"/>
    </xf>
    <xf numFmtId="0" fontId="27" fillId="14" borderId="54" xfId="0" applyFont="1" applyFill="1" applyBorder="1" applyAlignment="1">
      <alignment horizontal="left" vertical="center" wrapText="1"/>
    </xf>
    <xf numFmtId="0" fontId="27" fillId="32" borderId="55" xfId="0" applyFont="1" applyFill="1" applyBorder="1" applyAlignment="1">
      <alignment horizontal="left" vertical="center" wrapText="1"/>
    </xf>
    <xf numFmtId="0" fontId="12" fillId="5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52" borderId="54" xfId="0" applyFill="1" applyBorder="1" applyAlignment="1">
      <alignment horizontal="center" vertical="center" wrapText="1"/>
    </xf>
    <xf numFmtId="0" fontId="27" fillId="32" borderId="63" xfId="0" applyFont="1" applyFill="1" applyBorder="1" applyAlignment="1">
      <alignment horizontal="left" vertical="center" wrapText="1"/>
    </xf>
    <xf numFmtId="0" fontId="0" fillId="0" borderId="36" xfId="0" applyBorder="1" applyAlignment="1">
      <alignment vertical="center" wrapText="1"/>
    </xf>
    <xf numFmtId="0" fontId="93" fillId="0" borderId="0" xfId="0" applyFont="1"/>
    <xf numFmtId="0" fontId="50" fillId="41" borderId="78" xfId="0" applyFont="1" applyFill="1" applyBorder="1" applyAlignment="1">
      <alignment horizontal="left" vertical="center" wrapText="1"/>
    </xf>
    <xf numFmtId="0" fontId="50" fillId="41" borderId="59" xfId="0" applyFont="1" applyFill="1" applyBorder="1" applyAlignment="1">
      <alignment horizontal="left" vertical="center" wrapText="1"/>
    </xf>
    <xf numFmtId="0" fontId="50" fillId="40" borderId="59" xfId="0" applyFont="1" applyFill="1" applyBorder="1" applyAlignment="1">
      <alignment horizontal="left" vertical="center" wrapText="1"/>
    </xf>
    <xf numFmtId="0" fontId="0" fillId="52" borderId="78" xfId="0" applyFill="1" applyBorder="1" applyAlignment="1">
      <alignment horizontal="center" vertical="center"/>
    </xf>
    <xf numFmtId="0" fontId="27" fillId="8" borderId="54" xfId="0" applyFont="1" applyFill="1" applyBorder="1" applyAlignment="1">
      <alignment horizontal="left" vertical="center" wrapText="1"/>
    </xf>
    <xf numFmtId="0" fontId="27" fillId="8" borderId="1" xfId="0" applyFont="1" applyFill="1" applyBorder="1" applyAlignment="1">
      <alignment horizontal="left" vertical="center" wrapText="1"/>
    </xf>
    <xf numFmtId="0" fontId="32" fillId="54" borderId="1" xfId="0" applyFont="1" applyFill="1" applyBorder="1" applyAlignment="1">
      <alignment horizontal="center" vertical="center" wrapText="1"/>
    </xf>
    <xf numFmtId="0" fontId="0" fillId="18" borderId="0" xfId="0" applyFill="1" applyAlignment="1">
      <alignment vertical="center"/>
    </xf>
    <xf numFmtId="0" fontId="0" fillId="36" borderId="1" xfId="0" applyFill="1" applyBorder="1" applyAlignment="1">
      <alignment horizontal="center" vertical="center" wrapText="1"/>
    </xf>
    <xf numFmtId="0" fontId="27" fillId="14" borderId="1" xfId="0" applyFont="1" applyFill="1" applyBorder="1" applyAlignment="1">
      <alignment horizontal="left" vertical="center" wrapText="1"/>
    </xf>
    <xf numFmtId="0" fontId="0" fillId="0" borderId="54" xfId="0" applyBorder="1" applyAlignment="1">
      <alignment vertical="center" wrapText="1"/>
    </xf>
    <xf numFmtId="0" fontId="49" fillId="49" borderId="63" xfId="0" applyFont="1" applyFill="1" applyBorder="1" applyAlignment="1">
      <alignment horizontal="left" vertical="center" wrapText="1"/>
    </xf>
    <xf numFmtId="0" fontId="0" fillId="0" borderId="62" xfId="0" applyBorder="1" applyAlignment="1">
      <alignment horizontal="left" vertical="center" wrapText="1"/>
    </xf>
    <xf numFmtId="0" fontId="27" fillId="0" borderId="63" xfId="0" applyFont="1" applyBorder="1" applyAlignment="1">
      <alignment horizontal="left" vertical="center" wrapText="1"/>
    </xf>
    <xf numFmtId="0" fontId="33" fillId="0" borderId="0" xfId="0" applyFont="1" applyAlignment="1">
      <alignment horizontal="center" vertical="center" wrapText="1"/>
    </xf>
    <xf numFmtId="0" fontId="33" fillId="0" borderId="0" xfId="0" applyFont="1" applyAlignment="1">
      <alignment horizontal="center"/>
    </xf>
    <xf numFmtId="0" fontId="97" fillId="0" borderId="0" xfId="0" applyFont="1" applyAlignment="1">
      <alignment horizontal="center" vertical="center" wrapText="1"/>
    </xf>
    <xf numFmtId="0" fontId="41" fillId="7" borderId="0" xfId="0" applyFont="1" applyFill="1" applyAlignment="1">
      <alignment horizontal="left" vertical="center" wrapText="1"/>
    </xf>
    <xf numFmtId="0" fontId="27" fillId="27" borderId="15" xfId="0" applyFont="1" applyFill="1" applyBorder="1" applyAlignment="1">
      <alignment horizontal="left" vertical="center"/>
    </xf>
    <xf numFmtId="0" fontId="27" fillId="6" borderId="16" xfId="0" applyFont="1" applyFill="1" applyBorder="1" applyAlignment="1">
      <alignment horizontal="left" vertical="center"/>
    </xf>
    <xf numFmtId="0" fontId="27" fillId="9" borderId="16" xfId="0" applyFont="1" applyFill="1" applyBorder="1" applyAlignment="1">
      <alignment horizontal="left" vertical="center"/>
    </xf>
    <xf numFmtId="0" fontId="27" fillId="5" borderId="16" xfId="0" applyFont="1" applyFill="1" applyBorder="1" applyAlignment="1">
      <alignment horizontal="left" vertical="center"/>
    </xf>
    <xf numFmtId="0" fontId="27" fillId="39" borderId="16" xfId="0" applyFont="1" applyFill="1" applyBorder="1" applyAlignment="1">
      <alignment horizontal="left" vertical="center"/>
    </xf>
    <xf numFmtId="0" fontId="27" fillId="8" borderId="16" xfId="0" applyFont="1" applyFill="1" applyBorder="1" applyAlignment="1">
      <alignment horizontal="left" vertical="center"/>
    </xf>
    <xf numFmtId="0" fontId="27" fillId="14" borderId="16" xfId="0" applyFont="1" applyFill="1" applyBorder="1" applyAlignment="1">
      <alignment horizontal="left" vertical="center"/>
    </xf>
    <xf numFmtId="0" fontId="27" fillId="38" borderId="28" xfId="0" applyFont="1" applyFill="1" applyBorder="1" applyAlignment="1">
      <alignment horizontal="left" vertical="center"/>
    </xf>
    <xf numFmtId="0" fontId="41" fillId="0" borderId="0" xfId="0" applyFont="1" applyAlignment="1">
      <alignment horizontal="left" vertical="center" wrapText="1"/>
    </xf>
    <xf numFmtId="0" fontId="0" fillId="16" borderId="0" xfId="0" applyFill="1" applyAlignment="1">
      <alignment vertical="center"/>
    </xf>
    <xf numFmtId="0" fontId="0" fillId="16" borderId="0" xfId="0" applyFill="1" applyAlignment="1">
      <alignment vertical="center" wrapText="1"/>
    </xf>
    <xf numFmtId="0" fontId="32" fillId="24" borderId="0" xfId="0" applyFont="1" applyFill="1" applyAlignment="1">
      <alignment horizontal="left" vertical="center" wrapText="1"/>
    </xf>
    <xf numFmtId="0" fontId="32" fillId="51" borderId="0" xfId="0" applyFont="1" applyFill="1" applyAlignment="1">
      <alignment vertical="center" wrapText="1"/>
    </xf>
    <xf numFmtId="0" fontId="0" fillId="7" borderId="0" xfId="0" applyFill="1" applyAlignment="1">
      <alignment vertical="center" wrapText="1"/>
    </xf>
    <xf numFmtId="0" fontId="32" fillId="50" borderId="0" xfId="0" applyFont="1" applyFill="1" applyAlignment="1">
      <alignment vertical="center" wrapText="1"/>
    </xf>
    <xf numFmtId="0" fontId="0" fillId="6" borderId="0" xfId="0" applyFill="1" applyAlignment="1">
      <alignment vertical="center" wrapText="1"/>
    </xf>
    <xf numFmtId="0" fontId="32" fillId="6" borderId="0" xfId="0" applyFont="1" applyFill="1" applyAlignment="1">
      <alignment horizontal="left" vertical="center" wrapText="1"/>
    </xf>
    <xf numFmtId="0" fontId="32" fillId="25" borderId="0" xfId="0" applyFont="1" applyFill="1" applyAlignment="1">
      <alignment horizontal="left" vertical="center" wrapText="1"/>
    </xf>
    <xf numFmtId="164" fontId="0" fillId="7" borderId="0" xfId="1" applyNumberFormat="1" applyFont="1" applyFill="1" applyAlignment="1">
      <alignment horizontal="center" vertical="center"/>
    </xf>
    <xf numFmtId="164" fontId="0" fillId="9" borderId="0" xfId="1" applyNumberFormat="1" applyFont="1" applyFill="1" applyAlignment="1">
      <alignment horizontal="center" vertical="center"/>
    </xf>
    <xf numFmtId="164" fontId="0" fillId="19" borderId="0" xfId="1" applyNumberFormat="1" applyFont="1" applyFill="1" applyAlignment="1">
      <alignment horizontal="center" vertical="center"/>
    </xf>
    <xf numFmtId="164" fontId="0" fillId="29" borderId="0" xfId="1" applyNumberFormat="1" applyFont="1" applyFill="1" applyAlignment="1">
      <alignment horizontal="center" vertical="center"/>
    </xf>
    <xf numFmtId="164" fontId="0" fillId="56" borderId="0" xfId="1" applyNumberFormat="1" applyFont="1" applyFill="1" applyAlignment="1">
      <alignment horizontal="center" vertical="center"/>
    </xf>
    <xf numFmtId="164" fontId="3" fillId="2" borderId="0" xfId="1" applyNumberFormat="1" applyFont="1" applyFill="1" applyAlignment="1">
      <alignment horizontal="center" vertical="center"/>
    </xf>
    <xf numFmtId="164" fontId="3" fillId="2" borderId="0" xfId="1" applyNumberFormat="1" applyFont="1" applyFill="1" applyAlignment="1">
      <alignment horizontal="center" vertical="center" wrapText="1"/>
    </xf>
    <xf numFmtId="164" fontId="0" fillId="9" borderId="0" xfId="1" applyNumberFormat="1" applyFont="1" applyFill="1" applyAlignment="1">
      <alignment horizontal="center" vertical="center" wrapText="1"/>
    </xf>
    <xf numFmtId="164" fontId="0" fillId="19" borderId="0" xfId="1" applyNumberFormat="1" applyFont="1" applyFill="1" applyAlignment="1">
      <alignment horizontal="center" vertical="center" wrapText="1"/>
    </xf>
    <xf numFmtId="164" fontId="0" fillId="7" borderId="0" xfId="1" applyNumberFormat="1" applyFont="1" applyFill="1" applyAlignment="1">
      <alignment horizontal="center" vertical="center" wrapText="1"/>
    </xf>
    <xf numFmtId="0" fontId="0" fillId="36" borderId="0" xfId="0" applyFill="1" applyAlignment="1">
      <alignment vertical="center" wrapText="1"/>
    </xf>
    <xf numFmtId="0" fontId="18" fillId="16" borderId="0" xfId="0" applyFont="1" applyFill="1" applyAlignment="1">
      <alignment horizontal="center" vertical="center"/>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95" fillId="0" borderId="63" xfId="0" applyFont="1" applyBorder="1" applyAlignment="1">
      <alignment horizontal="left" vertical="center" wrapText="1"/>
    </xf>
    <xf numFmtId="0" fontId="0" fillId="27" borderId="0" xfId="0" applyFill="1" applyAlignment="1">
      <alignment horizontal="right"/>
    </xf>
    <xf numFmtId="0" fontId="0" fillId="16" borderId="0" xfId="0" applyFill="1" applyAlignment="1">
      <alignment horizontal="center" vertical="center" wrapText="1"/>
    </xf>
    <xf numFmtId="1" fontId="0" fillId="16" borderId="0" xfId="0" applyNumberFormat="1" applyFill="1" applyAlignment="1">
      <alignment horizontal="center" vertical="center" wrapText="1"/>
    </xf>
    <xf numFmtId="0" fontId="0" fillId="36" borderId="0" xfId="2" applyNumberFormat="1" applyFont="1" applyFill="1" applyAlignment="1">
      <alignment horizontal="center" vertical="center" wrapText="1"/>
    </xf>
    <xf numFmtId="0" fontId="0" fillId="36" borderId="79" xfId="0" applyFill="1" applyBorder="1" applyAlignment="1">
      <alignment vertical="center"/>
    </xf>
    <xf numFmtId="0" fontId="0" fillId="0" borderId="21" xfId="0" applyBorder="1" applyAlignment="1">
      <alignment vertical="center" wrapText="1"/>
    </xf>
    <xf numFmtId="0" fontId="0" fillId="8" borderId="21" xfId="0" applyFill="1" applyBorder="1" applyAlignment="1">
      <alignment vertical="center" wrapText="1"/>
    </xf>
    <xf numFmtId="1" fontId="0" fillId="16" borderId="21" xfId="0" applyNumberFormat="1" applyFill="1" applyBorder="1" applyAlignment="1">
      <alignment horizontal="center" vertical="center"/>
    </xf>
    <xf numFmtId="0" fontId="0" fillId="16" borderId="21" xfId="0" applyFill="1" applyBorder="1" applyAlignment="1">
      <alignment horizontal="center" vertical="center"/>
    </xf>
    <xf numFmtId="0" fontId="0" fillId="16" borderId="44" xfId="0" applyFill="1" applyBorder="1" applyAlignment="1" applyProtection="1">
      <alignment horizontal="center" vertical="center"/>
      <protection locked="0"/>
    </xf>
    <xf numFmtId="0" fontId="0" fillId="8" borderId="18" xfId="0" applyFill="1" applyBorder="1" applyAlignment="1">
      <alignment vertical="center"/>
    </xf>
    <xf numFmtId="0" fontId="0" fillId="0" borderId="11" xfId="0" applyBorder="1" applyAlignment="1">
      <alignment vertical="center" wrapText="1"/>
    </xf>
    <xf numFmtId="0" fontId="0" fillId="8" borderId="11" xfId="0" applyFill="1" applyBorder="1" applyAlignment="1">
      <alignment vertical="center" wrapText="1"/>
    </xf>
    <xf numFmtId="1" fontId="0" fillId="16" borderId="11" xfId="0" applyNumberFormat="1" applyFill="1" applyBorder="1" applyAlignment="1">
      <alignment horizontal="center" vertical="center"/>
    </xf>
    <xf numFmtId="0" fontId="0" fillId="16" borderId="11" xfId="0" applyFill="1" applyBorder="1" applyAlignment="1">
      <alignment horizontal="center" vertical="center"/>
    </xf>
    <xf numFmtId="0" fontId="0" fillId="16" borderId="13" xfId="0" applyFill="1" applyBorder="1" applyAlignment="1" applyProtection="1">
      <alignment horizontal="center" vertical="center"/>
      <protection locked="0"/>
    </xf>
    <xf numFmtId="0" fontId="0" fillId="66" borderId="64" xfId="0" applyFill="1" applyBorder="1" applyAlignment="1">
      <alignment vertical="center" wrapText="1"/>
    </xf>
    <xf numFmtId="0" fontId="0" fillId="66" borderId="78" xfId="0" applyFill="1" applyBorder="1" applyAlignment="1">
      <alignment vertical="center" wrapText="1"/>
    </xf>
    <xf numFmtId="1" fontId="0" fillId="66" borderId="78" xfId="0" applyNumberFormat="1" applyFill="1" applyBorder="1" applyAlignment="1">
      <alignment horizontal="center" vertical="center"/>
    </xf>
    <xf numFmtId="0" fontId="0" fillId="66" borderId="78" xfId="0" applyFill="1" applyBorder="1" applyAlignment="1">
      <alignment horizontal="center" vertical="center"/>
    </xf>
    <xf numFmtId="0" fontId="0" fillId="66" borderId="59" xfId="0" applyFill="1" applyBorder="1" applyAlignment="1" applyProtection="1">
      <alignment horizontal="center" vertical="center"/>
      <protection locked="0"/>
    </xf>
    <xf numFmtId="0" fontId="0" fillId="15" borderId="64" xfId="0" applyFill="1" applyBorder="1" applyAlignment="1">
      <alignment vertical="center"/>
    </xf>
    <xf numFmtId="0" fontId="0" fillId="15" borderId="78" xfId="0" applyFill="1" applyBorder="1" applyAlignment="1">
      <alignment vertical="center" wrapText="1"/>
    </xf>
    <xf numFmtId="1" fontId="0" fillId="15" borderId="78" xfId="0" applyNumberFormat="1" applyFill="1" applyBorder="1" applyAlignment="1">
      <alignment horizontal="center" vertical="center"/>
    </xf>
    <xf numFmtId="0" fontId="0" fillId="15" borderId="78" xfId="0" applyFill="1" applyBorder="1" applyAlignment="1">
      <alignment horizontal="center" vertical="center"/>
    </xf>
    <xf numFmtId="0" fontId="0" fillId="15" borderId="59" xfId="0" applyFill="1" applyBorder="1" applyAlignment="1" applyProtection="1">
      <alignment horizontal="center" vertical="center"/>
      <protection locked="0"/>
    </xf>
    <xf numFmtId="0" fontId="15" fillId="0" borderId="0" xfId="0" applyFont="1" applyAlignment="1">
      <alignment horizontal="center"/>
    </xf>
    <xf numFmtId="0" fontId="18" fillId="0" borderId="0" xfId="0" applyFont="1" applyAlignment="1">
      <alignment horizontal="center" vertical="center" wrapText="1"/>
    </xf>
    <xf numFmtId="0" fontId="4" fillId="0" borderId="0" xfId="0" applyFont="1" applyAlignment="1">
      <alignment vertical="center" wrapText="1"/>
    </xf>
    <xf numFmtId="0" fontId="4" fillId="32" borderId="0" xfId="0" applyFont="1" applyFill="1" applyAlignment="1">
      <alignment vertical="center" wrapText="1"/>
    </xf>
    <xf numFmtId="0" fontId="7" fillId="0" borderId="0" xfId="0" applyFont="1" applyAlignment="1">
      <alignment horizontal="center" wrapText="1"/>
    </xf>
    <xf numFmtId="0" fontId="24" fillId="27" borderId="0" xfId="0" applyFont="1" applyFill="1"/>
    <xf numFmtId="0" fontId="18" fillId="0" borderId="0" xfId="0" applyFont="1" applyAlignment="1">
      <alignment horizontal="left"/>
    </xf>
    <xf numFmtId="0" fontId="36" fillId="0" borderId="0" xfId="0" applyFont="1" applyAlignment="1">
      <alignment vertical="center"/>
    </xf>
    <xf numFmtId="0" fontId="4" fillId="0" borderId="15" xfId="0" applyFont="1" applyBorder="1" applyAlignment="1">
      <alignment vertical="center" wrapText="1"/>
    </xf>
    <xf numFmtId="0" fontId="27" fillId="0" borderId="15" xfId="0" applyFont="1" applyBorder="1" applyAlignment="1">
      <alignment horizontal="right" vertical="center"/>
    </xf>
    <xf numFmtId="1" fontId="0" fillId="12" borderId="15" xfId="0" applyNumberFormat="1" applyFill="1" applyBorder="1" applyAlignment="1">
      <alignment horizontal="left" vertical="center"/>
    </xf>
    <xf numFmtId="0" fontId="14" fillId="0" borderId="15" xfId="0" applyFont="1" applyBorder="1" applyAlignment="1">
      <alignment vertical="center" wrapText="1"/>
    </xf>
    <xf numFmtId="0" fontId="14" fillId="0" borderId="15" xfId="0" applyFont="1" applyBorder="1" applyAlignment="1">
      <alignment horizontal="right" vertical="center" wrapText="1"/>
    </xf>
    <xf numFmtId="0" fontId="27" fillId="0" borderId="15" xfId="0" applyFont="1" applyBorder="1" applyAlignment="1">
      <alignment horizontal="right" vertical="center" wrapText="1"/>
    </xf>
    <xf numFmtId="0" fontId="4" fillId="0" borderId="16" xfId="0" applyFont="1" applyBorder="1" applyAlignment="1">
      <alignment vertical="center" wrapText="1"/>
    </xf>
    <xf numFmtId="0" fontId="27" fillId="0" borderId="16" xfId="0" applyFont="1" applyBorder="1" applyAlignment="1">
      <alignment horizontal="right" vertical="center"/>
    </xf>
    <xf numFmtId="1" fontId="0" fillId="12" borderId="16" xfId="0" applyNumberFormat="1" applyFill="1" applyBorder="1" applyAlignment="1">
      <alignment horizontal="left" vertical="center"/>
    </xf>
    <xf numFmtId="0" fontId="14" fillId="0" borderId="16" xfId="0" applyFont="1" applyBorder="1" applyAlignment="1">
      <alignment vertical="center" wrapText="1"/>
    </xf>
    <xf numFmtId="0" fontId="14" fillId="0" borderId="16" xfId="0" applyFont="1" applyBorder="1" applyAlignment="1">
      <alignment horizontal="right" vertical="center" wrapText="1"/>
    </xf>
    <xf numFmtId="0" fontId="27" fillId="0" borderId="16" xfId="0" applyFont="1" applyBorder="1" applyAlignment="1">
      <alignment horizontal="right" vertical="center" wrapText="1"/>
    </xf>
    <xf numFmtId="0" fontId="15" fillId="36" borderId="0" xfId="0" applyFont="1" applyFill="1"/>
    <xf numFmtId="0" fontId="15" fillId="37" borderId="0" xfId="0" quotePrefix="1" applyFont="1" applyFill="1"/>
    <xf numFmtId="0" fontId="15" fillId="37" borderId="0" xfId="0" applyFont="1" applyFill="1"/>
    <xf numFmtId="0" fontId="15" fillId="37" borderId="0" xfId="0" applyFont="1" applyFill="1" applyAlignment="1">
      <alignment horizontal="center" vertical="center"/>
    </xf>
    <xf numFmtId="0" fontId="15" fillId="36" borderId="0" xfId="0" applyFont="1" applyFill="1" applyAlignment="1">
      <alignment horizontal="center" vertical="center"/>
    </xf>
    <xf numFmtId="164" fontId="14" fillId="0" borderId="26" xfId="0" applyNumberFormat="1" applyFont="1" applyBorder="1" applyAlignment="1">
      <alignment horizontal="center" vertical="center" wrapText="1"/>
    </xf>
    <xf numFmtId="164" fontId="98" fillId="0" borderId="26" xfId="0" applyNumberFormat="1" applyFont="1" applyBorder="1" applyAlignment="1">
      <alignment horizontal="center" vertical="center" wrapText="1"/>
    </xf>
    <xf numFmtId="0" fontId="6" fillId="0" borderId="0" xfId="0" applyFont="1" applyAlignment="1">
      <alignment horizontal="center"/>
    </xf>
    <xf numFmtId="0" fontId="15" fillId="0" borderId="0" xfId="0" applyFont="1" applyAlignment="1">
      <alignment vertical="center"/>
    </xf>
    <xf numFmtId="0" fontId="39"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left" vertical="center" wrapText="1"/>
    </xf>
    <xf numFmtId="164" fontId="14" fillId="0" borderId="29" xfId="0" applyNumberFormat="1" applyFont="1" applyBorder="1" applyAlignment="1">
      <alignment horizontal="center" vertical="center" wrapText="1"/>
    </xf>
    <xf numFmtId="0" fontId="6" fillId="0" borderId="0" xfId="0" applyFont="1" applyAlignment="1">
      <alignment vertical="center" wrapText="1"/>
    </xf>
    <xf numFmtId="0" fontId="5" fillId="17" borderId="0" xfId="0" applyFont="1" applyFill="1" applyAlignment="1">
      <alignment horizontal="left" vertical="center"/>
    </xf>
    <xf numFmtId="0" fontId="6" fillId="17" borderId="0" xfId="0" applyFont="1" applyFill="1" applyAlignment="1">
      <alignment horizontal="center" vertical="center"/>
    </xf>
    <xf numFmtId="0" fontId="33" fillId="0" borderId="0" xfId="0" applyFont="1" applyAlignment="1">
      <alignment horizontal="center" vertical="center"/>
    </xf>
    <xf numFmtId="0" fontId="33" fillId="16" borderId="0" xfId="0" applyFont="1" applyFill="1" applyAlignment="1">
      <alignment horizontal="center" vertical="center" wrapText="1"/>
    </xf>
    <xf numFmtId="1" fontId="6" fillId="16" borderId="0" xfId="0" applyNumberFormat="1" applyFont="1" applyFill="1" applyAlignment="1">
      <alignment horizontal="center" vertical="center"/>
    </xf>
    <xf numFmtId="1" fontId="6" fillId="17" borderId="0" xfId="0" applyNumberFormat="1" applyFont="1" applyFill="1" applyAlignment="1">
      <alignment horizontal="center" vertical="center"/>
    </xf>
    <xf numFmtId="0" fontId="6" fillId="0" borderId="0" xfId="2" applyNumberFormat="1" applyFont="1" applyFill="1" applyAlignment="1">
      <alignment horizontal="left" vertical="center" wrapText="1"/>
    </xf>
    <xf numFmtId="1" fontId="6" fillId="0" borderId="0" xfId="0" applyNumberFormat="1" applyFont="1" applyAlignment="1">
      <alignment horizontal="center" vertical="center"/>
    </xf>
    <xf numFmtId="164" fontId="15" fillId="0" borderId="0" xfId="0" applyNumberFormat="1" applyFont="1" applyAlignment="1">
      <alignment horizontal="center" vertical="center"/>
    </xf>
    <xf numFmtId="0" fontId="50" fillId="42" borderId="59" xfId="0" applyFont="1" applyFill="1" applyBorder="1" applyAlignment="1">
      <alignment horizontal="left" vertical="center" wrapText="1"/>
    </xf>
    <xf numFmtId="0" fontId="0" fillId="0" borderId="64" xfId="0" applyBorder="1" applyAlignment="1">
      <alignment horizontal="left" vertical="center" wrapText="1"/>
    </xf>
    <xf numFmtId="0" fontId="7" fillId="65" borderId="0" xfId="0" applyFont="1" applyFill="1" applyAlignment="1">
      <alignment horizontal="center" vertical="center"/>
    </xf>
    <xf numFmtId="0" fontId="0" fillId="65" borderId="0" xfId="0" applyFill="1" applyAlignment="1">
      <alignment horizontal="center" vertical="center"/>
    </xf>
    <xf numFmtId="0" fontId="0" fillId="64" borderId="0" xfId="0" applyFill="1"/>
    <xf numFmtId="0" fontId="3" fillId="64" borderId="0" xfId="0" applyFont="1" applyFill="1" applyAlignment="1">
      <alignment vertical="center" wrapText="1"/>
    </xf>
    <xf numFmtId="0" fontId="3" fillId="0" borderId="0" xfId="0" applyFont="1" applyAlignment="1">
      <alignment vertical="center" wrapText="1"/>
    </xf>
    <xf numFmtId="0" fontId="0" fillId="64" borderId="0" xfId="0" applyFill="1" applyAlignment="1">
      <alignment horizontal="center" vertical="center" wrapText="1"/>
    </xf>
    <xf numFmtId="0" fontId="0" fillId="64" borderId="0" xfId="0" applyFill="1" applyAlignment="1">
      <alignment wrapText="1"/>
    </xf>
    <xf numFmtId="0" fontId="12" fillId="53" borderId="54" xfId="0" applyFont="1" applyFill="1" applyBorder="1" applyAlignment="1">
      <alignment horizontal="center" vertical="center" wrapText="1"/>
    </xf>
    <xf numFmtId="0" fontId="8"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99" fillId="0" borderId="0" xfId="0" applyFont="1"/>
    <xf numFmtId="0" fontId="14" fillId="0" borderId="0" xfId="0" applyFont="1" applyAlignment="1">
      <alignment vertical="center"/>
    </xf>
    <xf numFmtId="0" fontId="4" fillId="0" borderId="0" xfId="0" applyFont="1" applyAlignment="1">
      <alignment horizontal="center" vertical="center"/>
    </xf>
    <xf numFmtId="0" fontId="28" fillId="0" borderId="0" xfId="0" applyFont="1"/>
    <xf numFmtId="0" fontId="0" fillId="0" borderId="16" xfId="0" applyBorder="1"/>
    <xf numFmtId="0" fontId="74" fillId="0" borderId="16" xfId="0" applyFont="1" applyBorder="1"/>
    <xf numFmtId="0" fontId="14" fillId="0" borderId="16" xfId="0" applyFont="1" applyBorder="1"/>
    <xf numFmtId="0" fontId="30" fillId="0" borderId="16" xfId="0" applyFont="1" applyBorder="1" applyAlignment="1">
      <alignment horizontal="right"/>
    </xf>
    <xf numFmtId="0" fontId="28" fillId="0" borderId="16" xfId="0" applyFont="1" applyBorder="1" applyAlignment="1">
      <alignment horizontal="left"/>
    </xf>
    <xf numFmtId="0" fontId="28" fillId="0" borderId="16" xfId="0" applyFont="1" applyBorder="1"/>
    <xf numFmtId="0" fontId="28" fillId="0" borderId="16" xfId="0" applyFont="1" applyBorder="1" applyAlignment="1">
      <alignment horizontal="right"/>
    </xf>
    <xf numFmtId="0" fontId="99" fillId="0" borderId="0" xfId="0" applyFont="1" applyAlignment="1">
      <alignment horizontal="left"/>
    </xf>
    <xf numFmtId="0" fontId="99" fillId="0" borderId="0" xfId="0" applyFont="1" applyAlignment="1">
      <alignment vertical="top"/>
    </xf>
    <xf numFmtId="0" fontId="100" fillId="16" borderId="0" xfId="0" applyFont="1" applyFill="1" applyAlignment="1">
      <alignment horizontal="center" vertical="center" wrapText="1"/>
    </xf>
    <xf numFmtId="0" fontId="101" fillId="16" borderId="0" xfId="0" applyFont="1" applyFill="1" applyAlignment="1">
      <alignment horizontal="center" vertical="center" wrapText="1"/>
    </xf>
    <xf numFmtId="0" fontId="102" fillId="0" borderId="0" xfId="0" applyFont="1"/>
    <xf numFmtId="1" fontId="15" fillId="0" borderId="0" xfId="0" applyNumberFormat="1" applyFont="1" applyAlignment="1">
      <alignment horizontal="center"/>
    </xf>
    <xf numFmtId="164" fontId="15" fillId="0" borderId="0" xfId="1" applyNumberFormat="1" applyFont="1" applyAlignment="1"/>
    <xf numFmtId="1" fontId="0" fillId="6" borderId="0" xfId="0" applyNumberFormat="1" applyFill="1" applyAlignment="1">
      <alignment horizontal="center" vertical="center" wrapText="1"/>
    </xf>
    <xf numFmtId="1" fontId="0" fillId="7" borderId="0" xfId="0" applyNumberFormat="1" applyFill="1" applyAlignment="1">
      <alignment horizontal="center" vertical="center" wrapText="1"/>
    </xf>
    <xf numFmtId="1" fontId="0" fillId="17" borderId="0" xfId="0" applyNumberFormat="1" applyFill="1" applyAlignment="1">
      <alignment horizontal="center" vertical="center" wrapText="1"/>
    </xf>
    <xf numFmtId="1" fontId="0" fillId="16" borderId="0" xfId="0" applyNumberFormat="1" applyFill="1" applyAlignment="1">
      <alignment vertical="center" wrapText="1"/>
    </xf>
    <xf numFmtId="1" fontId="0" fillId="36" borderId="0" xfId="0" applyNumberFormat="1" applyFill="1" applyAlignment="1">
      <alignment horizontal="left" vertical="center" wrapText="1"/>
    </xf>
    <xf numFmtId="0" fontId="27" fillId="0" borderId="0" xfId="0" applyFont="1" applyAlignment="1">
      <alignment horizontal="center" vertical="center" textRotation="45" wrapText="1"/>
    </xf>
    <xf numFmtId="0" fontId="0" fillId="27" borderId="0" xfId="0" applyFill="1" applyAlignment="1">
      <alignment vertical="center" wrapText="1"/>
    </xf>
    <xf numFmtId="0" fontId="0" fillId="7" borderId="0" xfId="0" applyFill="1" applyAlignment="1">
      <alignment horizontal="center" vertical="top" wrapText="1"/>
    </xf>
    <xf numFmtId="0" fontId="0" fillId="65" borderId="0" xfId="0" applyFill="1" applyAlignment="1">
      <alignment horizontal="center" vertical="top" wrapText="1"/>
    </xf>
    <xf numFmtId="0" fontId="0" fillId="6" borderId="0" xfId="0" applyFill="1" applyAlignment="1">
      <alignment horizontal="center" vertical="top" wrapText="1"/>
    </xf>
    <xf numFmtId="0" fontId="0" fillId="18" borderId="0" xfId="0" applyFill="1" applyAlignment="1">
      <alignment vertical="center" wrapText="1"/>
    </xf>
    <xf numFmtId="0" fontId="7" fillId="12" borderId="80" xfId="0" applyFont="1" applyFill="1" applyBorder="1" applyAlignment="1">
      <alignment horizontal="center" vertical="center" wrapText="1"/>
    </xf>
    <xf numFmtId="0" fontId="32" fillId="40" borderId="43" xfId="0" applyFont="1" applyFill="1" applyBorder="1" applyAlignment="1">
      <alignment horizontal="center" vertical="center" wrapText="1"/>
    </xf>
    <xf numFmtId="0" fontId="0" fillId="52" borderId="27" xfId="0" applyFill="1" applyBorder="1" applyAlignment="1">
      <alignment horizontal="center" vertical="center" wrapText="1"/>
    </xf>
    <xf numFmtId="0" fontId="12" fillId="53" borderId="27" xfId="0" applyFont="1" applyFill="1" applyBorder="1" applyAlignment="1">
      <alignment horizontal="center" vertical="center" wrapText="1"/>
    </xf>
    <xf numFmtId="0" fontId="32" fillId="51" borderId="27" xfId="0" applyFont="1" applyFill="1" applyBorder="1" applyAlignment="1">
      <alignment horizontal="center" vertical="center" wrapText="1"/>
    </xf>
    <xf numFmtId="0" fontId="32" fillId="40" borderId="27" xfId="0" applyFont="1" applyFill="1" applyBorder="1" applyAlignment="1">
      <alignment horizontal="center" vertical="center" wrapText="1"/>
    </xf>
    <xf numFmtId="0" fontId="0" fillId="52" borderId="27" xfId="0" applyFill="1" applyBorder="1" applyAlignment="1">
      <alignment horizontal="center" vertical="center"/>
    </xf>
    <xf numFmtId="0" fontId="32" fillId="25" borderId="27" xfId="0" applyFont="1" applyFill="1" applyBorder="1" applyAlignment="1">
      <alignment horizontal="center" vertical="center" wrapText="1"/>
    </xf>
    <xf numFmtId="0" fontId="0" fillId="7" borderId="66" xfId="0" applyFill="1" applyBorder="1" applyAlignment="1">
      <alignment horizontal="center" vertical="center" wrapText="1"/>
    </xf>
    <xf numFmtId="0" fontId="0" fillId="32" borderId="66" xfId="0" applyFill="1" applyBorder="1" applyAlignment="1">
      <alignment horizontal="center" vertical="center" wrapText="1"/>
    </xf>
    <xf numFmtId="0" fontId="2" fillId="3" borderId="7" xfId="0" applyFont="1" applyFill="1" applyBorder="1" applyAlignment="1">
      <alignment horizontal="center" vertical="center" wrapText="1"/>
    </xf>
    <xf numFmtId="0" fontId="15" fillId="0" borderId="0" xfId="0" applyFont="1" applyAlignment="1">
      <alignment horizontal="center" vertical="center"/>
    </xf>
    <xf numFmtId="0" fontId="27" fillId="4" borderId="16" xfId="0" applyFont="1" applyFill="1" applyBorder="1" applyAlignment="1">
      <alignment horizontal="left" vertical="center" wrapText="1"/>
    </xf>
    <xf numFmtId="0" fontId="27" fillId="17" borderId="36" xfId="0" applyFont="1" applyFill="1" applyBorder="1" applyAlignment="1">
      <alignment horizontal="center" vertical="center" wrapText="1"/>
    </xf>
    <xf numFmtId="0" fontId="27" fillId="4" borderId="81" xfId="0" applyFont="1" applyFill="1" applyBorder="1" applyAlignment="1">
      <alignment horizontal="center" vertical="center" wrapText="1"/>
    </xf>
    <xf numFmtId="0" fontId="27" fillId="0" borderId="32" xfId="0" applyFont="1" applyBorder="1" applyAlignment="1">
      <alignment horizontal="center" vertical="center" wrapText="1"/>
    </xf>
    <xf numFmtId="0" fontId="27" fillId="0" borderId="83" xfId="0" applyFont="1" applyBorder="1" applyAlignment="1">
      <alignment horizontal="center" vertical="center" wrapText="1"/>
    </xf>
    <xf numFmtId="0" fontId="27" fillId="0" borderId="82" xfId="0" applyFont="1" applyBorder="1" applyAlignment="1">
      <alignment horizontal="center" vertical="center" wrapText="1"/>
    </xf>
    <xf numFmtId="0" fontId="27" fillId="0" borderId="84" xfId="0" applyFont="1" applyBorder="1" applyAlignment="1">
      <alignment horizontal="center" vertical="center" wrapText="1"/>
    </xf>
    <xf numFmtId="0" fontId="27" fillId="0" borderId="85" xfId="0" applyFont="1" applyBorder="1" applyAlignment="1">
      <alignment horizontal="center" vertical="center" wrapText="1"/>
    </xf>
    <xf numFmtId="0" fontId="29" fillId="36" borderId="15" xfId="0" applyFont="1" applyFill="1" applyBorder="1" applyAlignment="1">
      <alignment horizontal="center" vertical="center" wrapText="1"/>
    </xf>
    <xf numFmtId="0" fontId="29" fillId="9" borderId="16" xfId="0" applyFont="1" applyFill="1" applyBorder="1" applyAlignment="1">
      <alignment horizontal="center" vertical="center" wrapText="1"/>
    </xf>
    <xf numFmtId="0" fontId="28" fillId="0" borderId="85" xfId="0" applyFont="1" applyBorder="1" applyAlignment="1">
      <alignment horizontal="center" vertical="center" wrapText="1"/>
    </xf>
    <xf numFmtId="0" fontId="27" fillId="0" borderId="86" xfId="0" applyFont="1" applyBorder="1" applyAlignment="1">
      <alignment horizontal="center" vertical="center" wrapText="1"/>
    </xf>
    <xf numFmtId="0" fontId="63" fillId="0" borderId="81"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32" xfId="0" applyFont="1" applyBorder="1" applyAlignment="1">
      <alignment horizontal="center" vertical="center" wrapText="1"/>
    </xf>
    <xf numFmtId="0" fontId="50" fillId="0" borderId="86" xfId="0" applyFont="1" applyBorder="1" applyAlignment="1">
      <alignment horizontal="center" vertical="center" wrapText="1"/>
    </xf>
    <xf numFmtId="0" fontId="2" fillId="0" borderId="78"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2" xfId="0" applyFont="1" applyBorder="1" applyAlignment="1">
      <alignment horizontal="center" vertical="center" wrapText="1"/>
    </xf>
    <xf numFmtId="0" fontId="103" fillId="0" borderId="0" xfId="0" applyFont="1" applyAlignment="1">
      <alignment vertical="center" textRotation="45"/>
    </xf>
    <xf numFmtId="0" fontId="0" fillId="0" borderId="0" xfId="0" applyAlignment="1" applyProtection="1">
      <alignment horizontal="center" vertical="center"/>
      <protection locked="0"/>
    </xf>
    <xf numFmtId="9" fontId="0" fillId="0" borderId="0" xfId="2" applyFont="1" applyFill="1" applyBorder="1" applyAlignment="1">
      <alignment horizontal="center" vertical="center"/>
    </xf>
    <xf numFmtId="9" fontId="0" fillId="0" borderId="0" xfId="2" applyFont="1" applyFill="1" applyBorder="1" applyAlignment="1">
      <alignment horizontal="center" vertical="center" wrapText="1"/>
    </xf>
    <xf numFmtId="0" fontId="0" fillId="9" borderId="0" xfId="0" applyFill="1"/>
    <xf numFmtId="0" fontId="0" fillId="21" borderId="0" xfId="0" applyFill="1" applyAlignment="1">
      <alignment horizontal="left" vertical="center"/>
    </xf>
    <xf numFmtId="0" fontId="0" fillId="21" borderId="0" xfId="0" applyFill="1" applyAlignment="1">
      <alignment vertical="center"/>
    </xf>
    <xf numFmtId="0" fontId="0" fillId="4" borderId="0" xfId="0" applyFill="1" applyAlignment="1">
      <alignment horizontal="left" vertical="center"/>
    </xf>
    <xf numFmtId="0" fontId="0" fillId="4" borderId="0" xfId="0" applyFill="1" applyAlignment="1">
      <alignment horizontal="left" vertical="top" wrapText="1"/>
    </xf>
    <xf numFmtId="164" fontId="15" fillId="27" borderId="0" xfId="0" applyNumberFormat="1" applyFont="1" applyFill="1" applyAlignment="1">
      <alignment horizontal="center" vertical="center"/>
    </xf>
    <xf numFmtId="164" fontId="15" fillId="6" borderId="0" xfId="0" applyNumberFormat="1" applyFont="1" applyFill="1" applyAlignment="1">
      <alignment horizontal="center" vertical="center"/>
    </xf>
    <xf numFmtId="0" fontId="24" fillId="0" borderId="0" xfId="0" applyFont="1" applyAlignment="1">
      <alignment vertical="center"/>
    </xf>
    <xf numFmtId="0" fontId="24" fillId="0" borderId="0" xfId="0" applyFont="1" applyAlignment="1">
      <alignment horizontal="center" vertical="center"/>
    </xf>
    <xf numFmtId="0" fontId="7" fillId="6" borderId="0" xfId="0" applyFont="1" applyFill="1" applyAlignment="1">
      <alignment horizontal="center" vertical="center"/>
    </xf>
    <xf numFmtId="0" fontId="10" fillId="0" borderId="0" xfId="0" applyFont="1" applyAlignment="1">
      <alignment horizontal="center" vertical="center"/>
    </xf>
    <xf numFmtId="0" fontId="28" fillId="0" borderId="0" xfId="0" applyFont="1" applyAlignment="1">
      <alignment horizontal="center" vertical="center" wrapText="1"/>
    </xf>
    <xf numFmtId="0" fontId="3" fillId="21" borderId="0" xfId="0" applyFont="1" applyFill="1" applyAlignment="1">
      <alignment horizontal="center" vertical="center" wrapText="1"/>
    </xf>
    <xf numFmtId="0" fontId="10" fillId="0" borderId="0" xfId="0" applyFont="1" applyAlignment="1">
      <alignment horizontal="center" vertical="center" wrapText="1"/>
    </xf>
    <xf numFmtId="0" fontId="28" fillId="0" borderId="0" xfId="0" applyFont="1" applyAlignment="1">
      <alignment horizontal="center" vertical="center"/>
    </xf>
    <xf numFmtId="0" fontId="104" fillId="0" borderId="0" xfId="0" applyFont="1" applyAlignment="1">
      <alignment horizontal="center" wrapText="1"/>
    </xf>
    <xf numFmtId="0" fontId="15" fillId="0" borderId="0" xfId="0" applyFont="1" applyAlignment="1">
      <alignment horizontal="center" vertical="center" wrapText="1"/>
    </xf>
    <xf numFmtId="0" fontId="15" fillId="36" borderId="0" xfId="0" applyFont="1" applyFill="1" applyAlignment="1">
      <alignment vertical="center"/>
    </xf>
    <xf numFmtId="164" fontId="15" fillId="0" borderId="0" xfId="0" applyNumberFormat="1" applyFont="1" applyAlignment="1">
      <alignment vertical="center"/>
    </xf>
    <xf numFmtId="164" fontId="6" fillId="0" borderId="0" xfId="0" applyNumberFormat="1" applyFont="1" applyAlignment="1">
      <alignment vertical="center"/>
    </xf>
    <xf numFmtId="164" fontId="0" fillId="0" borderId="0" xfId="0" applyNumberFormat="1" applyAlignment="1">
      <alignment vertical="center"/>
    </xf>
    <xf numFmtId="0" fontId="42" fillId="0" borderId="0" xfId="0" applyFont="1" applyAlignment="1">
      <alignment horizontal="center" textRotation="90"/>
    </xf>
    <xf numFmtId="0" fontId="0" fillId="4" borderId="0" xfId="0" applyFill="1"/>
    <xf numFmtId="0" fontId="0" fillId="4" borderId="0" xfId="0" applyFill="1" applyAlignment="1">
      <alignment horizontal="center"/>
    </xf>
    <xf numFmtId="0" fontId="0" fillId="4" borderId="18" xfId="0" applyFill="1" applyBorder="1" applyAlignment="1">
      <alignment horizontal="center" vertical="center"/>
    </xf>
    <xf numFmtId="0" fontId="0" fillId="4" borderId="13" xfId="0" applyFill="1" applyBorder="1" applyAlignment="1">
      <alignment horizontal="center" vertical="center"/>
    </xf>
    <xf numFmtId="0" fontId="0" fillId="4" borderId="19" xfId="0" applyFill="1" applyBorder="1" applyAlignment="1">
      <alignment horizontal="center" vertical="center"/>
    </xf>
    <xf numFmtId="0" fontId="0" fillId="4" borderId="6" xfId="0" applyFill="1" applyBorder="1" applyAlignment="1">
      <alignment horizontal="center" vertical="center"/>
    </xf>
    <xf numFmtId="0" fontId="0" fillId="66" borderId="19" xfId="0" applyFill="1" applyBorder="1" applyAlignment="1">
      <alignment horizontal="center" vertical="center"/>
    </xf>
    <xf numFmtId="0" fontId="0" fillId="66" borderId="6" xfId="0" applyFill="1" applyBorder="1" applyAlignment="1">
      <alignment horizontal="center" vertical="center"/>
    </xf>
    <xf numFmtId="0" fontId="0" fillId="10" borderId="0" xfId="0" applyFill="1" applyAlignment="1">
      <alignment vertical="center"/>
    </xf>
    <xf numFmtId="0" fontId="0" fillId="10" borderId="0" xfId="0" applyFill="1" applyAlignment="1">
      <alignment horizontal="left" vertical="center" wrapText="1"/>
    </xf>
    <xf numFmtId="0" fontId="0" fillId="10" borderId="0" xfId="0" applyFill="1" applyAlignment="1">
      <alignment horizontal="center" vertical="center" wrapText="1"/>
    </xf>
    <xf numFmtId="1" fontId="0" fillId="10" borderId="0" xfId="0" applyNumberFormat="1" applyFill="1" applyAlignment="1">
      <alignment horizontal="center" vertical="center" wrapText="1"/>
    </xf>
    <xf numFmtId="0" fontId="0" fillId="10" borderId="0" xfId="0" applyFill="1" applyAlignment="1">
      <alignment horizontal="center" vertical="center"/>
    </xf>
    <xf numFmtId="0" fontId="0" fillId="10" borderId="0" xfId="0" applyFill="1" applyAlignment="1" applyProtection="1">
      <alignment horizontal="center" vertical="center"/>
      <protection locked="0"/>
    </xf>
    <xf numFmtId="0" fontId="0" fillId="16" borderId="79" xfId="0" applyFill="1" applyBorder="1" applyAlignment="1">
      <alignment horizontal="center" wrapText="1"/>
    </xf>
    <xf numFmtId="0" fontId="0" fillId="16" borderId="44" xfId="0" applyFill="1" applyBorder="1" applyAlignment="1">
      <alignment horizontal="center" wrapText="1"/>
    </xf>
    <xf numFmtId="0" fontId="14" fillId="10" borderId="0" xfId="0" applyFont="1" applyFill="1" applyAlignment="1">
      <alignment horizontal="left" vertical="center" wrapText="1"/>
    </xf>
    <xf numFmtId="1" fontId="0" fillId="10" borderId="0" xfId="0" applyNumberFormat="1" applyFill="1" applyAlignment="1">
      <alignment horizontal="center" vertical="center"/>
    </xf>
    <xf numFmtId="0" fontId="24" fillId="6" borderId="0" xfId="0" applyFont="1" applyFill="1" applyAlignment="1">
      <alignment horizontal="center" wrapText="1"/>
    </xf>
    <xf numFmtId="0" fontId="0" fillId="6" borderId="0" xfId="0" applyFill="1" applyAlignment="1">
      <alignment horizontal="center"/>
    </xf>
    <xf numFmtId="0" fontId="7" fillId="6" borderId="0" xfId="0" applyFont="1" applyFill="1"/>
    <xf numFmtId="0" fontId="0" fillId="6" borderId="0" xfId="0" applyFill="1" applyAlignment="1">
      <alignment horizontal="right"/>
    </xf>
    <xf numFmtId="0" fontId="10" fillId="0" borderId="0" xfId="0" applyFont="1" applyAlignment="1">
      <alignment wrapText="1"/>
    </xf>
    <xf numFmtId="0" fontId="108" fillId="0" borderId="0" xfId="0" applyFont="1" applyAlignment="1">
      <alignment vertical="center"/>
    </xf>
    <xf numFmtId="0" fontId="0" fillId="0" borderId="0" xfId="0" applyAlignment="1">
      <alignment vertical="top" wrapText="1"/>
    </xf>
    <xf numFmtId="0" fontId="24" fillId="0" borderId="0" xfId="0" quotePrefix="1" applyFont="1"/>
    <xf numFmtId="0" fontId="109" fillId="0" borderId="0" xfId="0" applyFont="1"/>
    <xf numFmtId="0" fontId="2" fillId="8" borderId="0" xfId="0" applyFont="1" applyFill="1" applyAlignment="1">
      <alignment horizontal="left" vertical="center" wrapText="1"/>
    </xf>
    <xf numFmtId="0" fontId="0" fillId="10" borderId="0" xfId="0" applyFill="1" applyAlignment="1">
      <alignment vertical="center" wrapText="1"/>
    </xf>
    <xf numFmtId="0" fontId="27" fillId="32" borderId="0" xfId="0" applyFont="1" applyFill="1" applyAlignment="1">
      <alignment horizontal="center" vertical="center" wrapText="1"/>
    </xf>
    <xf numFmtId="0" fontId="30" fillId="0" borderId="0" xfId="0" applyFont="1" applyAlignment="1">
      <alignment horizontal="center" vertical="center"/>
    </xf>
    <xf numFmtId="0" fontId="110" fillId="0" borderId="0" xfId="0" applyFont="1" applyAlignment="1">
      <alignment horizontal="center" vertical="center"/>
    </xf>
    <xf numFmtId="0" fontId="111" fillId="0" borderId="0" xfId="0" applyFont="1" applyAlignment="1">
      <alignment horizontal="center" vertical="center"/>
    </xf>
    <xf numFmtId="0" fontId="111" fillId="0" borderId="0" xfId="0" applyFont="1" applyAlignment="1">
      <alignment horizontal="center"/>
    </xf>
    <xf numFmtId="0" fontId="0" fillId="0" borderId="0" xfId="0" applyAlignment="1">
      <alignment horizontal="center" vertical="top" wrapText="1"/>
    </xf>
    <xf numFmtId="0" fontId="3" fillId="35" borderId="0" xfId="0" applyFont="1" applyFill="1" applyAlignment="1">
      <alignment horizontal="center" vertical="center" wrapText="1"/>
    </xf>
    <xf numFmtId="0" fontId="0" fillId="17" borderId="0" xfId="0" applyFill="1" applyAlignment="1">
      <alignment vertical="center" wrapText="1"/>
    </xf>
    <xf numFmtId="0" fontId="29" fillId="0" borderId="0" xfId="0" applyFont="1" applyAlignment="1">
      <alignment horizontal="center" vertical="center" textRotation="90"/>
    </xf>
    <xf numFmtId="0" fontId="27" fillId="0" borderId="0" xfId="0" applyFont="1" applyAlignment="1">
      <alignment vertical="center" wrapText="1"/>
    </xf>
    <xf numFmtId="0" fontId="6" fillId="0" borderId="0" xfId="0" applyFont="1" applyAlignment="1">
      <alignment vertical="center" textRotation="90"/>
    </xf>
    <xf numFmtId="0" fontId="89" fillId="21" borderId="0" xfId="0" applyFont="1" applyFill="1" applyAlignment="1">
      <alignment horizontal="center" vertical="center" wrapText="1"/>
    </xf>
    <xf numFmtId="0" fontId="3" fillId="21" borderId="0" xfId="0" applyFont="1" applyFill="1"/>
    <xf numFmtId="0" fontId="105" fillId="7" borderId="0" xfId="0" applyFont="1" applyFill="1" applyAlignment="1">
      <alignment horizontal="left" vertical="center" wrapText="1"/>
    </xf>
    <xf numFmtId="0" fontId="105" fillId="51" borderId="0" xfId="0" applyFont="1" applyFill="1" applyAlignment="1">
      <alignment horizontal="center" vertical="center" wrapText="1"/>
    </xf>
    <xf numFmtId="0" fontId="12" fillId="32" borderId="74" xfId="0" applyFont="1" applyFill="1" applyBorder="1" applyAlignment="1">
      <alignment horizontal="left" vertical="center" wrapText="1"/>
    </xf>
    <xf numFmtId="0" fontId="12" fillId="32" borderId="41" xfId="0" applyFont="1" applyFill="1" applyBorder="1" applyAlignment="1">
      <alignment horizontal="left" vertical="center" wrapText="1"/>
    </xf>
    <xf numFmtId="0" fontId="27" fillId="12" borderId="0" xfId="0" applyFont="1" applyFill="1" applyAlignment="1">
      <alignment horizontal="left" vertical="center" wrapText="1"/>
    </xf>
    <xf numFmtId="0" fontId="0" fillId="0" borderId="4" xfId="0" applyBorder="1" applyAlignment="1">
      <alignment vertical="center"/>
    </xf>
    <xf numFmtId="0" fontId="0" fillId="32" borderId="0" xfId="0" applyFill="1" applyAlignment="1">
      <alignment horizontal="left" vertical="top" wrapText="1"/>
    </xf>
    <xf numFmtId="0" fontId="12" fillId="53" borderId="0" xfId="0" applyFont="1" applyFill="1" applyAlignment="1">
      <alignment horizontal="left" vertical="center" wrapText="1"/>
    </xf>
    <xf numFmtId="0" fontId="32" fillId="51" borderId="0" xfId="0" applyFont="1" applyFill="1" applyAlignment="1">
      <alignment horizontal="left" vertical="center" wrapText="1"/>
    </xf>
    <xf numFmtId="0" fontId="32" fillId="40" borderId="0" xfId="0" applyFont="1" applyFill="1" applyAlignment="1">
      <alignment horizontal="left" vertical="center" wrapText="1"/>
    </xf>
    <xf numFmtId="0" fontId="0" fillId="52" borderId="0" xfId="0" applyFill="1" applyAlignment="1">
      <alignment horizontal="left" vertical="center" wrapText="1"/>
    </xf>
    <xf numFmtId="164" fontId="22" fillId="0" borderId="0" xfId="1" applyNumberFormat="1" applyFont="1" applyFill="1" applyAlignment="1">
      <alignment horizontal="center" vertical="center"/>
    </xf>
    <xf numFmtId="164" fontId="22" fillId="0" borderId="0" xfId="1" applyNumberFormat="1" applyFont="1" applyFill="1" applyBorder="1" applyAlignment="1">
      <alignment horizontal="center"/>
    </xf>
    <xf numFmtId="0" fontId="10" fillId="7" borderId="0" xfId="0" applyFont="1" applyFill="1" applyAlignment="1">
      <alignment vertical="center" wrapText="1"/>
    </xf>
    <xf numFmtId="0" fontId="89" fillId="9" borderId="0" xfId="0" applyFont="1" applyFill="1" applyAlignment="1">
      <alignment horizontal="center" vertical="center" wrapText="1"/>
    </xf>
    <xf numFmtId="0" fontId="0" fillId="51" borderId="31" xfId="0" applyFill="1" applyBorder="1" applyAlignment="1">
      <alignment vertical="center" wrapText="1"/>
    </xf>
    <xf numFmtId="0" fontId="12" fillId="51" borderId="13" xfId="0" applyFont="1" applyFill="1" applyBorder="1" applyAlignment="1">
      <alignment horizontal="center" vertical="center" wrapText="1"/>
    </xf>
    <xf numFmtId="0" fontId="23" fillId="7" borderId="0" xfId="0" applyFont="1" applyFill="1" applyAlignment="1">
      <alignment horizontal="left" vertical="center" wrapText="1"/>
    </xf>
    <xf numFmtId="0" fontId="23" fillId="7" borderId="0" xfId="0" applyFont="1" applyFill="1" applyAlignment="1">
      <alignment vertical="center" wrapText="1"/>
    </xf>
    <xf numFmtId="0" fontId="12" fillId="51" borderId="0" xfId="0" applyFont="1" applyFill="1" applyAlignment="1">
      <alignment vertical="center" wrapText="1"/>
    </xf>
    <xf numFmtId="0" fontId="32" fillId="54" borderId="0" xfId="0" applyFont="1" applyFill="1" applyAlignment="1">
      <alignment vertical="center" wrapText="1"/>
    </xf>
    <xf numFmtId="0" fontId="19" fillId="36" borderId="0" xfId="0" applyFont="1" applyFill="1" applyAlignment="1">
      <alignment vertical="center" wrapText="1"/>
    </xf>
    <xf numFmtId="164" fontId="22" fillId="0" borderId="0" xfId="1" applyNumberFormat="1" applyFont="1" applyFill="1" applyAlignment="1">
      <alignment horizontal="center"/>
    </xf>
    <xf numFmtId="0" fontId="0" fillId="36" borderId="21" xfId="0" applyFill="1" applyBorder="1" applyAlignment="1">
      <alignment horizontal="center" vertical="center" wrapText="1"/>
    </xf>
    <xf numFmtId="0" fontId="19" fillId="36" borderId="21" xfId="0" applyFont="1" applyFill="1" applyBorder="1" applyAlignment="1">
      <alignment vertical="center" wrapText="1"/>
    </xf>
    <xf numFmtId="0" fontId="0" fillId="36" borderId="21" xfId="0" applyFill="1" applyBorder="1" applyAlignment="1">
      <alignment vertical="center" wrapText="1"/>
    </xf>
    <xf numFmtId="0" fontId="71" fillId="36" borderId="21" xfId="0" applyFont="1" applyFill="1" applyBorder="1" applyAlignment="1">
      <alignment horizontal="left" vertical="center" wrapText="1"/>
    </xf>
    <xf numFmtId="0" fontId="72" fillId="36" borderId="21" xfId="0" applyFont="1" applyFill="1" applyBorder="1" applyAlignment="1">
      <alignment horizontal="center" vertical="center" wrapText="1"/>
    </xf>
    <xf numFmtId="0" fontId="72" fillId="36" borderId="21" xfId="0" applyFont="1" applyFill="1" applyBorder="1" applyAlignment="1">
      <alignment horizontal="center" vertical="center"/>
    </xf>
    <xf numFmtId="1" fontId="72" fillId="36" borderId="21" xfId="0" applyNumberFormat="1" applyFont="1" applyFill="1" applyBorder="1" applyAlignment="1">
      <alignment horizontal="center" vertical="center"/>
    </xf>
    <xf numFmtId="9" fontId="15" fillId="36" borderId="87" xfId="2" applyFont="1" applyFill="1" applyBorder="1" applyAlignment="1">
      <alignment horizontal="center" vertical="center" wrapText="1"/>
    </xf>
    <xf numFmtId="0" fontId="15" fillId="36" borderId="21" xfId="0" applyFont="1" applyFill="1" applyBorder="1" applyAlignment="1">
      <alignment horizontal="center" vertical="center" wrapText="1"/>
    </xf>
    <xf numFmtId="0" fontId="27" fillId="36" borderId="21" xfId="0" applyFont="1" applyFill="1" applyBorder="1" applyAlignment="1">
      <alignment horizontal="left" vertical="center"/>
    </xf>
    <xf numFmtId="0" fontId="0" fillId="28" borderId="19" xfId="0" applyFill="1" applyBorder="1" applyAlignment="1">
      <alignment horizontal="center" vertical="center" wrapText="1"/>
    </xf>
    <xf numFmtId="0" fontId="32" fillId="28" borderId="31" xfId="0" applyFont="1" applyFill="1" applyBorder="1" applyAlignment="1">
      <alignment horizontal="left" vertical="center" wrapText="1"/>
    </xf>
    <xf numFmtId="0" fontId="23" fillId="28" borderId="15" xfId="0" applyFont="1" applyFill="1" applyBorder="1" applyAlignment="1">
      <alignment horizontal="center" vertical="center" wrapText="1"/>
    </xf>
    <xf numFmtId="0" fontId="23" fillId="28" borderId="8" xfId="0" applyFont="1" applyFill="1" applyBorder="1" applyAlignment="1">
      <alignment horizontal="center" vertical="center" wrapText="1"/>
    </xf>
    <xf numFmtId="0" fontId="29" fillId="28" borderId="74" xfId="0" applyFont="1" applyFill="1" applyBorder="1" applyAlignment="1">
      <alignment horizontal="center" vertical="center" wrapText="1"/>
    </xf>
    <xf numFmtId="0" fontId="29" fillId="28" borderId="0" xfId="0" applyFont="1" applyFill="1" applyAlignment="1">
      <alignment horizontal="center" vertical="center" wrapText="1"/>
    </xf>
    <xf numFmtId="1" fontId="44" fillId="28" borderId="40" xfId="0" applyNumberFormat="1" applyFont="1" applyFill="1" applyBorder="1" applyAlignment="1">
      <alignment horizontal="center" vertical="center" wrapText="1"/>
    </xf>
    <xf numFmtId="9" fontId="30" fillId="28" borderId="72" xfId="2" applyFont="1" applyFill="1" applyBorder="1" applyAlignment="1">
      <alignment horizontal="center" vertical="center"/>
    </xf>
    <xf numFmtId="9" fontId="30" fillId="28" borderId="42" xfId="2" applyFont="1" applyFill="1" applyBorder="1" applyAlignment="1">
      <alignment horizontal="center" vertical="center"/>
    </xf>
    <xf numFmtId="9" fontId="30" fillId="28" borderId="73" xfId="2" applyFont="1" applyFill="1" applyBorder="1" applyAlignment="1">
      <alignment horizontal="center" vertical="center"/>
    </xf>
    <xf numFmtId="0" fontId="23" fillId="24" borderId="0" xfId="0" applyFont="1" applyFill="1" applyAlignment="1">
      <alignment horizontal="left" vertical="center" wrapText="1"/>
    </xf>
    <xf numFmtId="0" fontId="23" fillId="6" borderId="0" xfId="0" applyFont="1" applyFill="1" applyAlignment="1">
      <alignment horizontal="left" vertical="center" wrapText="1"/>
    </xf>
    <xf numFmtId="0" fontId="23" fillId="25" borderId="0" xfId="0" applyFont="1" applyFill="1" applyAlignment="1">
      <alignment horizontal="left" vertical="center" wrapText="1"/>
    </xf>
    <xf numFmtId="0" fontId="0" fillId="35" borderId="15" xfId="0" quotePrefix="1" applyFill="1" applyBorder="1" applyAlignment="1">
      <alignment horizontal="left" vertical="center" wrapText="1"/>
    </xf>
    <xf numFmtId="0" fontId="0" fillId="35" borderId="16" xfId="0" quotePrefix="1" applyFill="1" applyBorder="1" applyAlignment="1">
      <alignment horizontal="left" vertical="center" wrapText="1"/>
    </xf>
    <xf numFmtId="0" fontId="27" fillId="35" borderId="16" xfId="0" applyFont="1" applyFill="1" applyBorder="1" applyAlignment="1">
      <alignment horizontal="left" vertical="center" wrapText="1"/>
    </xf>
    <xf numFmtId="0" fontId="0" fillId="7" borderId="16" xfId="0" applyFill="1" applyBorder="1" applyAlignment="1">
      <alignment horizontal="left" vertical="center" wrapText="1"/>
    </xf>
    <xf numFmtId="0" fontId="0" fillId="7" borderId="16" xfId="0" quotePrefix="1" applyFill="1" applyBorder="1" applyAlignment="1">
      <alignment horizontal="left" vertical="top" wrapText="1"/>
    </xf>
    <xf numFmtId="0" fontId="0" fillId="7" borderId="16" xfId="0" applyFill="1" applyBorder="1" applyAlignment="1">
      <alignment horizontal="left" vertical="top" wrapText="1"/>
    </xf>
    <xf numFmtId="0" fontId="0" fillId="7" borderId="28" xfId="0" quotePrefix="1" applyFill="1" applyBorder="1" applyAlignment="1">
      <alignment horizontal="left" vertical="center" wrapText="1"/>
    </xf>
    <xf numFmtId="0" fontId="0" fillId="17" borderId="15" xfId="0" applyFill="1" applyBorder="1" applyAlignment="1">
      <alignment horizontal="left" vertical="center" wrapText="1"/>
    </xf>
    <xf numFmtId="0" fontId="0" fillId="17" borderId="16" xfId="0" applyFill="1" applyBorder="1" applyAlignment="1">
      <alignment horizontal="left" vertical="center" wrapText="1"/>
    </xf>
    <xf numFmtId="0" fontId="10" fillId="7" borderId="16" xfId="0" applyFont="1" applyFill="1" applyBorder="1" applyAlignment="1">
      <alignment horizontal="left" vertical="center" wrapText="1"/>
    </xf>
    <xf numFmtId="0" fontId="12" fillId="32" borderId="15" xfId="0" applyFont="1" applyFill="1" applyBorder="1" applyAlignment="1">
      <alignment horizontal="left" vertical="center" wrapText="1"/>
    </xf>
    <xf numFmtId="0" fontId="32" fillId="52" borderId="16" xfId="0" applyFont="1" applyFill="1" applyBorder="1" applyAlignment="1">
      <alignment horizontal="left" vertical="center" wrapText="1"/>
    </xf>
    <xf numFmtId="0" fontId="12" fillId="32" borderId="16" xfId="0" applyFont="1" applyFill="1" applyBorder="1" applyAlignment="1">
      <alignment horizontal="left" vertical="center" wrapText="1"/>
    </xf>
    <xf numFmtId="0" fontId="12" fillId="7" borderId="16" xfId="0" quotePrefix="1" applyFont="1" applyFill="1" applyBorder="1" applyAlignment="1">
      <alignment horizontal="left" vertical="center" wrapText="1"/>
    </xf>
    <xf numFmtId="0" fontId="0" fillId="52" borderId="28" xfId="0" applyFill="1" applyBorder="1" applyAlignment="1">
      <alignment horizontal="left" vertical="center" wrapText="1"/>
    </xf>
    <xf numFmtId="0" fontId="12" fillId="52" borderId="15" xfId="0" applyFont="1" applyFill="1" applyBorder="1" applyAlignment="1">
      <alignment horizontal="left" vertical="center" wrapText="1"/>
    </xf>
    <xf numFmtId="0" fontId="56" fillId="40" borderId="16" xfId="0" applyFont="1" applyFill="1" applyBorder="1" applyAlignment="1">
      <alignment vertical="center" wrapText="1"/>
    </xf>
    <xf numFmtId="0" fontId="32" fillId="25" borderId="16" xfId="0" applyFont="1" applyFill="1" applyBorder="1" applyAlignment="1">
      <alignment vertical="center" wrapText="1"/>
    </xf>
    <xf numFmtId="0" fontId="32" fillId="25" borderId="16" xfId="0" applyFont="1" applyFill="1" applyBorder="1" applyAlignment="1">
      <alignment horizontal="left" vertical="center" wrapText="1"/>
    </xf>
    <xf numFmtId="0" fontId="12" fillId="52" borderId="16" xfId="0" applyFont="1" applyFill="1" applyBorder="1" applyAlignment="1">
      <alignment horizontal="left" vertical="center" wrapText="1"/>
    </xf>
    <xf numFmtId="0" fontId="12" fillId="7" borderId="28" xfId="0" applyFont="1" applyFill="1" applyBorder="1" applyAlignment="1">
      <alignment horizontal="left" vertical="center" wrapText="1"/>
    </xf>
    <xf numFmtId="0" fontId="12" fillId="36" borderId="15" xfId="0" applyFont="1" applyFill="1" applyBorder="1" applyAlignment="1">
      <alignment horizontal="left" vertical="center" wrapText="1"/>
    </xf>
    <xf numFmtId="0" fontId="12" fillId="36" borderId="16" xfId="0" applyFont="1" applyFill="1" applyBorder="1" applyAlignment="1">
      <alignment horizontal="left" vertical="center" wrapText="1"/>
    </xf>
    <xf numFmtId="0" fontId="12" fillId="7" borderId="16" xfId="0" applyFont="1" applyFill="1" applyBorder="1" applyAlignment="1">
      <alignment horizontal="left" vertical="center" wrapText="1"/>
    </xf>
    <xf numFmtId="0" fontId="47" fillId="7" borderId="16" xfId="0" applyFont="1" applyFill="1" applyBorder="1" applyAlignment="1">
      <alignment horizontal="left" vertical="center" wrapText="1"/>
    </xf>
    <xf numFmtId="0" fontId="32" fillId="36" borderId="16" xfId="0" applyFont="1" applyFill="1" applyBorder="1" applyAlignment="1">
      <alignment horizontal="left" vertical="center" wrapText="1"/>
    </xf>
    <xf numFmtId="0" fontId="45" fillId="7" borderId="16"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46" fillId="7" borderId="16" xfId="0" applyFont="1" applyFill="1" applyBorder="1" applyAlignment="1">
      <alignment horizontal="left" vertical="center" wrapText="1"/>
    </xf>
    <xf numFmtId="0" fontId="12" fillId="7" borderId="0" xfId="0" quotePrefix="1" applyFont="1" applyFill="1" applyAlignment="1">
      <alignment vertical="center" wrapText="1"/>
    </xf>
    <xf numFmtId="0" fontId="56" fillId="54" borderId="16" xfId="0" applyFont="1" applyFill="1" applyBorder="1" applyAlignment="1">
      <alignment vertical="center" wrapText="1"/>
    </xf>
    <xf numFmtId="0" fontId="0" fillId="51" borderId="15" xfId="0" applyFill="1" applyBorder="1" applyAlignment="1">
      <alignment vertical="center" wrapText="1"/>
    </xf>
    <xf numFmtId="0" fontId="48" fillId="7" borderId="16" xfId="0" applyFont="1" applyFill="1" applyBorder="1" applyAlignment="1">
      <alignment horizontal="left" vertical="center" wrapText="1"/>
    </xf>
    <xf numFmtId="0" fontId="12" fillId="36" borderId="0" xfId="0" applyFont="1" applyFill="1" applyAlignment="1">
      <alignment horizontal="left" vertical="center" wrapText="1"/>
    </xf>
    <xf numFmtId="0" fontId="12" fillId="36" borderId="0" xfId="0" quotePrefix="1" applyFont="1" applyFill="1" applyAlignment="1">
      <alignment horizontal="left" vertical="center" wrapText="1"/>
    </xf>
    <xf numFmtId="0" fontId="32" fillId="28" borderId="15" xfId="0" applyFont="1" applyFill="1" applyBorder="1" applyAlignment="1">
      <alignment horizontal="left" vertical="center" wrapText="1"/>
    </xf>
    <xf numFmtId="0" fontId="62" fillId="24" borderId="0" xfId="0" applyFont="1" applyFill="1" applyAlignment="1">
      <alignment vertical="center"/>
    </xf>
    <xf numFmtId="0" fontId="56" fillId="24" borderId="16" xfId="0" applyFont="1" applyFill="1" applyBorder="1" applyAlignment="1">
      <alignment vertical="center"/>
    </xf>
    <xf numFmtId="0" fontId="12" fillId="6" borderId="16" xfId="0" applyFont="1" applyFill="1" applyBorder="1" applyAlignment="1">
      <alignment horizontal="left" vertical="center" wrapText="1"/>
    </xf>
    <xf numFmtId="0" fontId="32" fillId="25" borderId="15" xfId="0" applyFont="1" applyFill="1" applyBorder="1" applyAlignment="1">
      <alignment vertical="center" wrapText="1"/>
    </xf>
    <xf numFmtId="0" fontId="56" fillId="24" borderId="15" xfId="0" applyFont="1" applyFill="1" applyBorder="1" applyAlignment="1">
      <alignment vertical="center" wrapText="1"/>
    </xf>
    <xf numFmtId="0" fontId="56" fillId="25" borderId="15" xfId="0" applyFont="1" applyFill="1" applyBorder="1" applyAlignment="1">
      <alignment vertical="center" wrapText="1"/>
    </xf>
    <xf numFmtId="0" fontId="32" fillId="24" borderId="15" xfId="0" applyFont="1" applyFill="1" applyBorder="1" applyAlignment="1">
      <alignment vertical="center" wrapText="1"/>
    </xf>
    <xf numFmtId="0" fontId="32" fillId="51" borderId="15" xfId="0" applyFont="1" applyFill="1" applyBorder="1" applyAlignment="1">
      <alignment vertical="center" wrapText="1"/>
    </xf>
    <xf numFmtId="0" fontId="32" fillId="50" borderId="15" xfId="0" applyFont="1" applyFill="1" applyBorder="1" applyAlignment="1">
      <alignment vertical="center" wrapText="1"/>
    </xf>
    <xf numFmtId="0" fontId="32" fillId="50" borderId="0" xfId="0" applyFont="1" applyFill="1" applyAlignment="1">
      <alignment horizontal="left" vertical="center" wrapText="1"/>
    </xf>
    <xf numFmtId="0" fontId="32" fillId="51" borderId="0" xfId="0" quotePrefix="1" applyFont="1" applyFill="1" applyAlignment="1">
      <alignment vertical="center" wrapText="1"/>
    </xf>
    <xf numFmtId="0" fontId="12" fillId="32" borderId="19" xfId="0" quotePrefix="1" applyFont="1" applyFill="1" applyBorder="1" applyAlignment="1">
      <alignment horizontal="left" vertical="center" wrapText="1"/>
    </xf>
    <xf numFmtId="0" fontId="0" fillId="3" borderId="16" xfId="0" applyFill="1" applyBorder="1" applyAlignment="1">
      <alignment horizontal="left" vertical="center" wrapText="1"/>
    </xf>
    <xf numFmtId="0" fontId="19" fillId="3" borderId="16"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0" fillId="35" borderId="74" xfId="0" quotePrefix="1" applyFill="1" applyBorder="1" applyAlignment="1">
      <alignment horizontal="left" vertical="center" wrapText="1"/>
    </xf>
    <xf numFmtId="0" fontId="0" fillId="35" borderId="23" xfId="0" quotePrefix="1" applyFill="1" applyBorder="1" applyAlignment="1">
      <alignment horizontal="left" vertical="center" wrapText="1"/>
    </xf>
    <xf numFmtId="0" fontId="0" fillId="7" borderId="57" xfId="0" quotePrefix="1" applyFill="1" applyBorder="1" applyAlignment="1">
      <alignment horizontal="left" vertical="center" wrapText="1"/>
    </xf>
    <xf numFmtId="0" fontId="32" fillId="25" borderId="0" xfId="0" applyFont="1" applyFill="1" applyAlignment="1">
      <alignment vertical="center" wrapText="1"/>
    </xf>
    <xf numFmtId="0" fontId="0" fillId="3" borderId="0" xfId="0" applyFill="1" applyAlignment="1">
      <alignment vertical="center" wrapText="1"/>
    </xf>
    <xf numFmtId="0" fontId="22" fillId="0" borderId="0" xfId="0" applyFont="1" applyAlignment="1">
      <alignment horizontal="center" vertical="top"/>
    </xf>
    <xf numFmtId="0" fontId="22" fillId="0" borderId="0" xfId="0" applyFont="1" applyAlignment="1">
      <alignment vertical="top"/>
    </xf>
    <xf numFmtId="0" fontId="55" fillId="32" borderId="7" xfId="0" applyFont="1" applyFill="1" applyBorder="1" applyAlignment="1">
      <alignment horizontal="center" vertical="center" wrapText="1"/>
    </xf>
    <xf numFmtId="0" fontId="23" fillId="35" borderId="31" xfId="0" applyFont="1" applyFill="1" applyBorder="1" applyAlignment="1">
      <alignment horizontal="left" vertical="center" wrapText="1"/>
    </xf>
    <xf numFmtId="0" fontId="23" fillId="35" borderId="15" xfId="0" applyFont="1" applyFill="1" applyBorder="1" applyAlignment="1">
      <alignment horizontal="left" vertical="center" wrapText="1"/>
    </xf>
    <xf numFmtId="0" fontId="15" fillId="0" borderId="0" xfId="0" applyFont="1" applyAlignment="1">
      <alignment horizontal="left" vertical="center"/>
    </xf>
    <xf numFmtId="0" fontId="0" fillId="32" borderId="2" xfId="0" applyFill="1" applyBorder="1" applyAlignment="1">
      <alignment horizontal="center" vertical="center" wrapText="1"/>
    </xf>
    <xf numFmtId="0" fontId="0" fillId="32" borderId="21" xfId="0" applyFill="1" applyBorder="1" applyAlignment="1">
      <alignment horizontal="center" vertical="center" wrapText="1"/>
    </xf>
    <xf numFmtId="0" fontId="19" fillId="32" borderId="21" xfId="0" applyFont="1" applyFill="1" applyBorder="1" applyAlignment="1">
      <alignment vertical="center" wrapText="1"/>
    </xf>
    <xf numFmtId="0" fontId="0" fillId="32" borderId="21" xfId="0" applyFill="1" applyBorder="1" applyAlignment="1">
      <alignment vertical="center" wrapText="1"/>
    </xf>
    <xf numFmtId="0" fontId="71" fillId="32" borderId="21" xfId="0" applyFont="1" applyFill="1" applyBorder="1" applyAlignment="1">
      <alignment horizontal="left" vertical="center" wrapText="1"/>
    </xf>
    <xf numFmtId="0" fontId="72" fillId="32" borderId="21" xfId="0" applyFont="1" applyFill="1" applyBorder="1" applyAlignment="1">
      <alignment horizontal="center" vertical="center" wrapText="1"/>
    </xf>
    <xf numFmtId="0" fontId="72" fillId="32" borderId="21" xfId="0" applyFont="1" applyFill="1" applyBorder="1" applyAlignment="1">
      <alignment horizontal="center" vertical="center"/>
    </xf>
    <xf numFmtId="1" fontId="72" fillId="32" borderId="21" xfId="0" applyNumberFormat="1" applyFont="1" applyFill="1" applyBorder="1" applyAlignment="1">
      <alignment horizontal="center" vertical="center"/>
    </xf>
    <xf numFmtId="9" fontId="15" fillId="32" borderId="87" xfId="2" applyFont="1" applyFill="1" applyBorder="1" applyAlignment="1">
      <alignment horizontal="center" vertical="center" wrapText="1"/>
    </xf>
    <xf numFmtId="0" fontId="15" fillId="32" borderId="21" xfId="0" applyFont="1" applyFill="1" applyBorder="1" applyAlignment="1">
      <alignment horizontal="center" vertical="center" wrapText="1"/>
    </xf>
    <xf numFmtId="0" fontId="27" fillId="32" borderId="21" xfId="0" applyFont="1" applyFill="1" applyBorder="1" applyAlignment="1">
      <alignment horizontal="left" vertical="center"/>
    </xf>
    <xf numFmtId="0" fontId="19" fillId="32" borderId="0" xfId="0" applyFont="1" applyFill="1" applyAlignment="1">
      <alignment vertical="center" wrapText="1"/>
    </xf>
    <xf numFmtId="0" fontId="0" fillId="32" borderId="0" xfId="0" applyFill="1" applyAlignment="1">
      <alignment vertical="center" wrapText="1"/>
    </xf>
    <xf numFmtId="0" fontId="71" fillId="32" borderId="0" xfId="0" applyFont="1" applyFill="1" applyAlignment="1">
      <alignment horizontal="left" vertical="center" wrapText="1"/>
    </xf>
    <xf numFmtId="0" fontId="72" fillId="32" borderId="0" xfId="0" applyFont="1" applyFill="1" applyAlignment="1">
      <alignment horizontal="center" vertical="center" wrapText="1"/>
    </xf>
    <xf numFmtId="0" fontId="72" fillId="32" borderId="0" xfId="0" applyFont="1" applyFill="1" applyAlignment="1">
      <alignment horizontal="center" vertical="center"/>
    </xf>
    <xf numFmtId="1" fontId="72" fillId="32" borderId="0" xfId="0" applyNumberFormat="1" applyFont="1" applyFill="1" applyAlignment="1">
      <alignment horizontal="center" vertical="center"/>
    </xf>
    <xf numFmtId="9" fontId="15" fillId="32" borderId="0" xfId="2" applyFont="1" applyFill="1" applyBorder="1" applyAlignment="1">
      <alignment horizontal="center" vertical="center" wrapText="1"/>
    </xf>
    <xf numFmtId="0" fontId="15" fillId="32" borderId="0" xfId="0" applyFont="1" applyFill="1" applyAlignment="1">
      <alignment horizontal="center" vertical="center" wrapText="1"/>
    </xf>
    <xf numFmtId="0" fontId="30" fillId="38" borderId="28" xfId="0" applyFont="1" applyFill="1" applyBorder="1" applyAlignment="1">
      <alignment horizontal="center" vertical="center"/>
    </xf>
    <xf numFmtId="0" fontId="30" fillId="38" borderId="28" xfId="0" applyFont="1" applyFill="1" applyBorder="1" applyAlignment="1">
      <alignment horizontal="center"/>
    </xf>
    <xf numFmtId="1" fontId="5" fillId="0" borderId="0" xfId="0" applyNumberFormat="1" applyFont="1" applyAlignment="1">
      <alignment horizontal="center"/>
    </xf>
    <xf numFmtId="0" fontId="14" fillId="7" borderId="0" xfId="0" applyFont="1" applyFill="1" applyAlignment="1">
      <alignment vertical="top"/>
    </xf>
    <xf numFmtId="0" fontId="14" fillId="7" borderId="0" xfId="0" applyFont="1" applyFill="1"/>
    <xf numFmtId="0" fontId="2" fillId="0" borderId="7" xfId="0" applyFont="1" applyBorder="1" applyAlignment="1">
      <alignment horizontal="center" vertical="center" wrapText="1"/>
    </xf>
    <xf numFmtId="0" fontId="0" fillId="0" borderId="22" xfId="0" applyBorder="1" applyAlignment="1">
      <alignment horizontal="left" vertical="center" wrapText="1"/>
    </xf>
    <xf numFmtId="0" fontId="0" fillId="0" borderId="60" xfId="0"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vertical="center" wrapText="1"/>
    </xf>
    <xf numFmtId="0" fontId="27" fillId="0" borderId="3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81" xfId="0" applyFont="1" applyBorder="1" applyAlignment="1">
      <alignment horizontal="center" vertical="center" wrapText="1"/>
    </xf>
    <xf numFmtId="0" fontId="30" fillId="0" borderId="35" xfId="0" applyFont="1" applyBorder="1" applyAlignment="1">
      <alignment horizontal="center" vertical="center"/>
    </xf>
    <xf numFmtId="0" fontId="30" fillId="0" borderId="22" xfId="0" applyFont="1" applyBorder="1" applyAlignment="1">
      <alignment horizontal="center" vertical="center"/>
    </xf>
    <xf numFmtId="0" fontId="30" fillId="0" borderId="27" xfId="0" applyFont="1" applyBorder="1" applyAlignment="1">
      <alignment horizontal="center" vertical="center"/>
    </xf>
    <xf numFmtId="0" fontId="27" fillId="0" borderId="24" xfId="0" applyFont="1" applyBorder="1" applyAlignment="1">
      <alignment horizontal="left" vertical="center"/>
    </xf>
    <xf numFmtId="0" fontId="29" fillId="0" borderId="0" xfId="0" applyFont="1" applyAlignment="1">
      <alignment horizontal="center" vertical="top"/>
    </xf>
    <xf numFmtId="0" fontId="6" fillId="0" borderId="0" xfId="0" applyFont="1" applyAlignment="1">
      <alignment horizontal="center" vertical="center" textRotation="45" wrapText="1"/>
    </xf>
    <xf numFmtId="0" fontId="29" fillId="0" borderId="0" xfId="0" applyFont="1" applyAlignment="1">
      <alignment horizontal="center" vertical="top" textRotation="45" wrapText="1"/>
    </xf>
    <xf numFmtId="0" fontId="29" fillId="0" borderId="0" xfId="0" applyFont="1" applyAlignment="1">
      <alignment horizontal="center" vertical="center" textRotation="45" wrapText="1"/>
    </xf>
    <xf numFmtId="0" fontId="6" fillId="0" borderId="0" xfId="0" applyFont="1" applyAlignment="1">
      <alignment horizontal="center" vertical="center" textRotation="90"/>
    </xf>
    <xf numFmtId="0" fontId="29" fillId="0" borderId="0" xfId="0" applyFont="1" applyAlignment="1">
      <alignment horizontal="center" vertical="top" textRotation="90"/>
    </xf>
    <xf numFmtId="0" fontId="6" fillId="0" borderId="0" xfId="0" applyFont="1" applyAlignment="1">
      <alignment horizontal="center" vertical="center" textRotation="90" wrapText="1"/>
    </xf>
    <xf numFmtId="0" fontId="29" fillId="0" borderId="0" xfId="0" applyFont="1" applyAlignment="1">
      <alignment horizontal="center" vertical="top" wrapText="1"/>
    </xf>
    <xf numFmtId="0" fontId="92" fillId="0" borderId="0" xfId="3" applyBorder="1" applyAlignment="1">
      <alignment horizontal="center" vertical="center" wrapText="1"/>
    </xf>
    <xf numFmtId="0" fontId="6" fillId="28" borderId="0" xfId="0" applyFont="1" applyFill="1" applyAlignment="1">
      <alignment horizontal="center" vertical="center"/>
    </xf>
    <xf numFmtId="0" fontId="29" fillId="28" borderId="0" xfId="0" applyFont="1" applyFill="1" applyAlignment="1">
      <alignment horizontal="center" vertical="top"/>
    </xf>
    <xf numFmtId="0" fontId="29" fillId="17" borderId="0" xfId="0" applyFont="1" applyFill="1" applyAlignment="1">
      <alignment horizontal="center" vertical="top"/>
    </xf>
    <xf numFmtId="0" fontId="6" fillId="0" borderId="0" xfId="0" applyFont="1" applyAlignment="1">
      <alignment horizontal="center" vertical="top"/>
    </xf>
    <xf numFmtId="0" fontId="54" fillId="0" borderId="0" xfId="0" applyFont="1" applyAlignment="1">
      <alignment horizontal="center" vertical="center"/>
    </xf>
    <xf numFmtId="0" fontId="90" fillId="0" borderId="0" xfId="0" applyFont="1" applyAlignment="1">
      <alignment horizontal="center" vertical="top"/>
    </xf>
    <xf numFmtId="0" fontId="90" fillId="0" borderId="0" xfId="0" applyFont="1" applyAlignment="1">
      <alignment horizontal="center" vertical="center"/>
    </xf>
    <xf numFmtId="0" fontId="54" fillId="0" borderId="0" xfId="0" applyFont="1"/>
    <xf numFmtId="0" fontId="54" fillId="0" borderId="0" xfId="0" applyFont="1" applyAlignment="1">
      <alignment horizontal="center" vertical="center" textRotation="90"/>
    </xf>
    <xf numFmtId="0" fontId="90" fillId="0" borderId="0" xfId="0" applyFont="1" applyAlignment="1">
      <alignment horizontal="center" vertical="top" textRotation="90"/>
    </xf>
    <xf numFmtId="0" fontId="90" fillId="0" borderId="0" xfId="0" applyFont="1" applyAlignment="1">
      <alignment horizontal="center" vertical="center" textRotation="90"/>
    </xf>
    <xf numFmtId="0" fontId="54" fillId="0" borderId="0" xfId="0" applyFont="1" applyAlignment="1">
      <alignment textRotation="90"/>
    </xf>
    <xf numFmtId="0" fontId="90" fillId="0" borderId="0" xfId="0" applyFont="1" applyAlignment="1">
      <alignment horizontal="center" wrapText="1"/>
    </xf>
    <xf numFmtId="0" fontId="90" fillId="0" borderId="0" xfId="0" applyFont="1" applyAlignment="1">
      <alignment horizontal="center" vertical="top" wrapText="1"/>
    </xf>
    <xf numFmtId="0" fontId="50" fillId="0" borderId="0" xfId="0" applyFont="1" applyAlignment="1">
      <alignment wrapText="1"/>
    </xf>
    <xf numFmtId="0" fontId="50" fillId="0" borderId="0" xfId="0" applyFont="1" applyAlignment="1">
      <alignment horizontal="center" vertical="top" wrapText="1"/>
    </xf>
    <xf numFmtId="0" fontId="96" fillId="0" borderId="0" xfId="0" applyFont="1" applyAlignment="1">
      <alignment horizontal="center" vertical="top" wrapText="1"/>
    </xf>
    <xf numFmtId="0" fontId="27" fillId="32" borderId="0" xfId="0" applyFont="1" applyFill="1" applyAlignment="1">
      <alignment horizontal="center" vertical="center" textRotation="90"/>
    </xf>
    <xf numFmtId="0" fontId="29" fillId="32" borderId="0" xfId="0" applyFont="1" applyFill="1" applyAlignment="1">
      <alignment horizontal="center" vertical="top" textRotation="90"/>
    </xf>
    <xf numFmtId="0" fontId="29" fillId="36" borderId="0" xfId="0" applyFont="1" applyFill="1" applyAlignment="1">
      <alignment horizontal="center" vertical="top" textRotation="90"/>
    </xf>
    <xf numFmtId="0" fontId="6" fillId="36" borderId="0" xfId="0" applyFont="1" applyFill="1" applyAlignment="1">
      <alignment horizontal="center" vertical="center" textRotation="90"/>
    </xf>
    <xf numFmtId="0" fontId="29" fillId="36" borderId="0" xfId="0" applyFont="1" applyFill="1" applyAlignment="1">
      <alignment horizontal="center" vertical="center" textRotation="90"/>
    </xf>
    <xf numFmtId="0" fontId="6" fillId="36" borderId="0" xfId="0" applyFont="1" applyFill="1" applyAlignment="1">
      <alignment vertical="center" textRotation="90"/>
    </xf>
    <xf numFmtId="0" fontId="27" fillId="0" borderId="0" xfId="0" applyFont="1" applyAlignment="1">
      <alignment horizontal="center" vertical="top" wrapText="1"/>
    </xf>
    <xf numFmtId="0" fontId="27" fillId="0" borderId="0" xfId="0" applyFont="1" applyAlignment="1">
      <alignment vertical="top" wrapText="1"/>
    </xf>
    <xf numFmtId="0" fontId="92" fillId="0" borderId="0" xfId="3" applyBorder="1" applyAlignment="1">
      <alignment horizontal="center" vertical="top" wrapText="1"/>
    </xf>
    <xf numFmtId="0" fontId="6" fillId="0" borderId="0" xfId="0" applyFont="1" applyAlignment="1">
      <alignment vertical="center" textRotation="90" wrapText="1"/>
    </xf>
    <xf numFmtId="0" fontId="29" fillId="0" borderId="0" xfId="0" applyFont="1" applyAlignment="1">
      <alignment vertical="top" wrapText="1"/>
    </xf>
    <xf numFmtId="0" fontId="27" fillId="36" borderId="0" xfId="0" applyFont="1" applyFill="1" applyAlignment="1">
      <alignment horizontal="center" vertical="center" textRotation="90"/>
    </xf>
    <xf numFmtId="0" fontId="27" fillId="28" borderId="0" xfId="0" applyFont="1" applyFill="1" applyAlignment="1">
      <alignment horizontal="center" vertical="center" textRotation="90"/>
    </xf>
    <xf numFmtId="0" fontId="29" fillId="28" borderId="0" xfId="0" applyFont="1" applyFill="1" applyAlignment="1">
      <alignment horizontal="center" vertical="top" textRotation="90"/>
    </xf>
    <xf numFmtId="0" fontId="66" fillId="0" borderId="0" xfId="0" applyFont="1" applyAlignment="1">
      <alignment horizontal="center" vertical="center" textRotation="90"/>
    </xf>
    <xf numFmtId="0" fontId="91" fillId="0" borderId="0" xfId="0" applyFont="1" applyAlignment="1">
      <alignment horizontal="center" vertical="top" textRotation="90"/>
    </xf>
    <xf numFmtId="0" fontId="91" fillId="0" borderId="0" xfId="0" applyFont="1" applyAlignment="1">
      <alignment horizontal="center" vertical="center" textRotation="90"/>
    </xf>
    <xf numFmtId="0" fontId="66" fillId="0" borderId="0" xfId="0" applyFont="1" applyAlignment="1">
      <alignment textRotation="90"/>
    </xf>
    <xf numFmtId="0" fontId="9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vertical="top" wrapText="1"/>
    </xf>
    <xf numFmtId="0" fontId="50" fillId="0" borderId="0" xfId="0" applyFont="1" applyAlignment="1">
      <alignment horizontal="center" vertical="center"/>
    </xf>
    <xf numFmtId="0" fontId="50" fillId="0" borderId="0" xfId="0" applyFont="1" applyAlignment="1">
      <alignment textRotation="90"/>
    </xf>
    <xf numFmtId="0" fontId="50" fillId="0" borderId="0" xfId="0" applyFont="1" applyAlignment="1">
      <alignment horizontal="center" vertical="center" textRotation="90"/>
    </xf>
    <xf numFmtId="0" fontId="6" fillId="28" borderId="0" xfId="0" applyFont="1" applyFill="1" applyAlignment="1">
      <alignment horizontal="center" vertical="center" textRotation="90"/>
    </xf>
    <xf numFmtId="0" fontId="29" fillId="28" borderId="0" xfId="0" applyFont="1" applyFill="1" applyAlignment="1">
      <alignment horizontal="center" vertical="center" textRotation="90"/>
    </xf>
    <xf numFmtId="0" fontId="6" fillId="28" borderId="0" xfId="0" applyFont="1" applyFill="1" applyAlignment="1">
      <alignment vertical="center" textRotation="90"/>
    </xf>
    <xf numFmtId="0" fontId="27" fillId="4" borderId="0" xfId="0" applyFont="1" applyFill="1" applyAlignment="1">
      <alignment vertical="center" wrapText="1"/>
    </xf>
    <xf numFmtId="0" fontId="27" fillId="27" borderId="24" xfId="0" applyFont="1" applyFill="1" applyBorder="1" applyAlignment="1">
      <alignment horizontal="left" vertical="center" textRotation="45"/>
    </xf>
    <xf numFmtId="0" fontId="27" fillId="6" borderId="16" xfId="0" applyFont="1" applyFill="1" applyBorder="1" applyAlignment="1">
      <alignment horizontal="left" vertical="center" textRotation="45"/>
    </xf>
    <xf numFmtId="0" fontId="50" fillId="41" borderId="24" xfId="0" applyFont="1" applyFill="1" applyBorder="1" applyAlignment="1">
      <alignment horizontal="left" vertical="center" textRotation="45" wrapText="1"/>
    </xf>
    <xf numFmtId="0" fontId="50" fillId="42" borderId="15" xfId="0" applyFont="1" applyFill="1" applyBorder="1" applyAlignment="1">
      <alignment horizontal="left" vertical="center" textRotation="45"/>
    </xf>
    <xf numFmtId="0" fontId="50" fillId="43" borderId="15" xfId="0" applyFont="1" applyFill="1" applyBorder="1" applyAlignment="1">
      <alignment horizontal="left" vertical="center" textRotation="45"/>
    </xf>
    <xf numFmtId="0" fontId="50" fillId="23" borderId="15" xfId="0" applyFont="1" applyFill="1" applyBorder="1" applyAlignment="1">
      <alignment horizontal="left" vertical="center" textRotation="45"/>
    </xf>
    <xf numFmtId="0" fontId="50" fillId="40" borderId="15" xfId="0" applyFont="1" applyFill="1" applyBorder="1" applyAlignment="1">
      <alignment horizontal="left" vertical="center" textRotation="45"/>
    </xf>
    <xf numFmtId="0" fontId="50" fillId="46" borderId="15" xfId="0" applyFont="1" applyFill="1" applyBorder="1" applyAlignment="1">
      <alignment horizontal="left" vertical="center" textRotation="45"/>
    </xf>
    <xf numFmtId="1" fontId="22" fillId="0" borderId="0" xfId="0" applyNumberFormat="1" applyFont="1"/>
    <xf numFmtId="1" fontId="19" fillId="0" borderId="0" xfId="0" applyNumberFormat="1" applyFont="1" applyAlignment="1">
      <alignment horizontal="center" vertical="center"/>
    </xf>
    <xf numFmtId="1" fontId="22" fillId="0" borderId="0" xfId="0" applyNumberFormat="1" applyFont="1" applyAlignment="1">
      <alignment horizontal="center"/>
    </xf>
    <xf numFmtId="1" fontId="22" fillId="0" borderId="0" xfId="0" applyNumberFormat="1" applyFont="1" applyAlignment="1">
      <alignment vertical="center"/>
    </xf>
    <xf numFmtId="1" fontId="22" fillId="0" borderId="0" xfId="0" applyNumberFormat="1" applyFont="1" applyAlignment="1">
      <alignment horizontal="center" vertical="center"/>
    </xf>
    <xf numFmtId="1" fontId="41" fillId="0" borderId="0" xfId="0" applyNumberFormat="1" applyFont="1" applyAlignment="1">
      <alignment horizontal="center" vertical="center"/>
    </xf>
    <xf numFmtId="0" fontId="84" fillId="0" borderId="0" xfId="0" applyFont="1" applyAlignment="1">
      <alignment horizontal="center" vertical="center" wrapText="1"/>
    </xf>
    <xf numFmtId="0" fontId="12" fillId="0" borderId="0" xfId="0" quotePrefix="1" applyFont="1" applyAlignment="1">
      <alignment horizontal="left" vertical="center" wrapText="1"/>
    </xf>
    <xf numFmtId="0" fontId="7" fillId="12" borderId="0" xfId="0" applyFont="1" applyFill="1" applyAlignment="1">
      <alignment horizontal="center" vertical="center" wrapText="1"/>
    </xf>
    <xf numFmtId="0" fontId="107" fillId="0" borderId="0" xfId="0" applyFont="1" applyAlignment="1">
      <alignment horizontal="center" vertical="center" wrapText="1"/>
    </xf>
    <xf numFmtId="0" fontId="26" fillId="0" borderId="0" xfId="0" applyFont="1" applyAlignment="1">
      <alignment horizontal="left"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left" vertical="top" wrapText="1"/>
    </xf>
    <xf numFmtId="0" fontId="14" fillId="0" borderId="0" xfId="0" applyFont="1" applyAlignment="1">
      <alignment horizontal="center" vertical="center" wrapText="1"/>
    </xf>
    <xf numFmtId="0" fontId="86" fillId="0" borderId="0" xfId="0" applyFont="1" applyAlignment="1">
      <alignment horizontal="center" vertical="center"/>
    </xf>
    <xf numFmtId="1" fontId="27" fillId="0" borderId="0" xfId="0" applyNumberFormat="1" applyFont="1" applyAlignment="1">
      <alignment horizontal="center" vertical="center" wrapText="1"/>
    </xf>
    <xf numFmtId="0" fontId="27" fillId="7" borderId="0" xfId="0" applyFont="1" applyFill="1" applyAlignment="1">
      <alignment horizontal="center" vertical="center" wrapText="1"/>
    </xf>
    <xf numFmtId="0" fontId="0" fillId="32" borderId="0" xfId="0" applyFill="1" applyAlignment="1">
      <alignment vertical="top"/>
    </xf>
    <xf numFmtId="0" fontId="32" fillId="40" borderId="0" xfId="0" applyFont="1" applyFill="1" applyAlignment="1">
      <alignment wrapText="1"/>
    </xf>
    <xf numFmtId="1" fontId="50" fillId="0" borderId="0" xfId="0" applyNumberFormat="1" applyFont="1" applyAlignment="1">
      <alignment horizontal="center" vertical="center" wrapText="1"/>
    </xf>
    <xf numFmtId="0" fontId="50" fillId="0" borderId="0" xfId="0" applyFont="1" applyAlignment="1">
      <alignment horizontal="center" vertical="center" wrapText="1"/>
    </xf>
    <xf numFmtId="0" fontId="58" fillId="0" borderId="0" xfId="0" applyFont="1" applyAlignment="1">
      <alignment horizontal="center" vertical="center"/>
    </xf>
    <xf numFmtId="0" fontId="32" fillId="0" borderId="0" xfId="0" applyFont="1" applyAlignment="1">
      <alignment wrapText="1"/>
    </xf>
    <xf numFmtId="0" fontId="32" fillId="0" borderId="0" xfId="0" quotePrefix="1" applyFont="1" applyAlignment="1">
      <alignment horizontal="left" vertical="center" wrapText="1"/>
    </xf>
    <xf numFmtId="0" fontId="51" fillId="36" borderId="0" xfId="0" applyFont="1" applyFill="1" applyAlignment="1">
      <alignment horizontal="left" vertical="center"/>
    </xf>
    <xf numFmtId="0" fontId="2" fillId="36" borderId="0" xfId="0" applyFont="1" applyFill="1" applyAlignment="1">
      <alignment horizontal="center" vertical="center" wrapText="1"/>
    </xf>
    <xf numFmtId="0" fontId="27" fillId="36" borderId="0" xfId="0" applyFont="1" applyFill="1" applyAlignment="1">
      <alignment horizontal="center" vertical="center" wrapText="1"/>
    </xf>
    <xf numFmtId="0" fontId="27" fillId="4" borderId="0" xfId="0" applyFont="1" applyFill="1" applyAlignment="1">
      <alignment horizontal="center" vertical="center" wrapText="1"/>
    </xf>
    <xf numFmtId="0" fontId="27" fillId="4" borderId="0" xfId="0" applyFont="1" applyFill="1" applyAlignment="1">
      <alignment horizontal="left" vertical="top" wrapText="1"/>
    </xf>
    <xf numFmtId="1" fontId="27" fillId="4" borderId="0" xfId="0" applyNumberFormat="1" applyFont="1" applyFill="1" applyAlignment="1">
      <alignment horizontal="center" vertical="center" wrapText="1"/>
    </xf>
    <xf numFmtId="0" fontId="49" fillId="0" borderId="0" xfId="0" applyFont="1" applyAlignment="1">
      <alignment horizontal="center" vertical="center"/>
    </xf>
    <xf numFmtId="1" fontId="44" fillId="0" borderId="0" xfId="0" applyNumberFormat="1" applyFont="1" applyAlignment="1">
      <alignment horizontal="center" vertical="center" wrapText="1"/>
    </xf>
    <xf numFmtId="0" fontId="27" fillId="21" borderId="0" xfId="0" applyFont="1" applyFill="1" applyAlignment="1">
      <alignment horizontal="center" vertical="center" wrapText="1"/>
    </xf>
    <xf numFmtId="0" fontId="55" fillId="24" borderId="0" xfId="0" applyFont="1" applyFill="1" applyAlignment="1">
      <alignment horizontal="left" vertical="center"/>
    </xf>
    <xf numFmtId="0" fontId="62" fillId="24" borderId="0" xfId="0" applyFont="1" applyFill="1" applyAlignment="1">
      <alignment horizontal="left" vertical="center"/>
    </xf>
    <xf numFmtId="0" fontId="63" fillId="0" borderId="0" xfId="0" applyFont="1" applyAlignment="1">
      <alignment horizontal="center" vertical="center" wrapText="1"/>
    </xf>
    <xf numFmtId="0" fontId="63" fillId="0" borderId="0" xfId="0" applyFont="1" applyAlignment="1">
      <alignment horizontal="left" vertical="top" wrapText="1"/>
    </xf>
    <xf numFmtId="0" fontId="32" fillId="24" borderId="0" xfId="0" applyFont="1" applyFill="1" applyAlignment="1">
      <alignment wrapText="1"/>
    </xf>
    <xf numFmtId="0" fontId="50" fillId="47" borderId="0" xfId="0" applyFont="1" applyFill="1" applyAlignment="1">
      <alignment horizontal="center" vertical="center" wrapText="1"/>
    </xf>
    <xf numFmtId="0" fontId="32" fillId="50" borderId="0" xfId="0" applyFont="1" applyFill="1" applyAlignment="1">
      <alignment wrapText="1"/>
    </xf>
    <xf numFmtId="0" fontId="32" fillId="0" borderId="0" xfId="0" quotePrefix="1" applyFont="1" applyAlignment="1">
      <alignment vertical="center" wrapText="1"/>
    </xf>
    <xf numFmtId="0" fontId="0" fillId="0" borderId="0" xfId="0" quotePrefix="1" applyAlignment="1">
      <alignment vertical="top" wrapText="1"/>
    </xf>
    <xf numFmtId="0" fontId="27" fillId="35" borderId="0" xfId="0" applyFont="1" applyFill="1" applyAlignment="1">
      <alignment horizontal="left" vertical="top" wrapText="1"/>
    </xf>
    <xf numFmtId="0" fontId="87" fillId="0" borderId="0" xfId="0" applyFont="1" applyAlignment="1">
      <alignment horizontal="left" vertical="center" wrapText="1"/>
    </xf>
    <xf numFmtId="0" fontId="84" fillId="0" borderId="0" xfId="0" applyFont="1" applyAlignment="1">
      <alignment horizontal="left" vertical="center"/>
    </xf>
    <xf numFmtId="0" fontId="84" fillId="0" borderId="0" xfId="0" applyFont="1" applyAlignment="1">
      <alignment horizontal="center" vertical="center"/>
    </xf>
    <xf numFmtId="0" fontId="86" fillId="0" borderId="26" xfId="0" applyFont="1" applyBorder="1" applyAlignment="1">
      <alignment horizontal="center" vertical="center"/>
    </xf>
    <xf numFmtId="0" fontId="0" fillId="0" borderId="26" xfId="0" applyBorder="1"/>
    <xf numFmtId="0" fontId="0" fillId="2" borderId="26" xfId="0" applyFill="1" applyBorder="1"/>
    <xf numFmtId="0" fontId="0" fillId="0" borderId="26" xfId="0" applyBorder="1" applyAlignment="1">
      <alignment vertical="center"/>
    </xf>
    <xf numFmtId="0" fontId="0" fillId="2" borderId="26" xfId="0" applyFill="1" applyBorder="1" applyAlignment="1">
      <alignment vertical="center"/>
    </xf>
    <xf numFmtId="0" fontId="55" fillId="32" borderId="0" xfId="0" applyFont="1" applyFill="1" applyAlignment="1">
      <alignment horizontal="left" vertical="center"/>
    </xf>
    <xf numFmtId="0" fontId="2" fillId="0" borderId="26" xfId="0" applyFont="1" applyBorder="1" applyAlignment="1">
      <alignment horizontal="center" vertical="center" wrapText="1"/>
    </xf>
    <xf numFmtId="0" fontId="0" fillId="35" borderId="27" xfId="0" applyFill="1" applyBorder="1" applyAlignment="1">
      <alignment horizontal="left" vertical="center" wrapText="1"/>
    </xf>
    <xf numFmtId="0" fontId="0" fillId="35" borderId="27" xfId="0" quotePrefix="1" applyFill="1" applyBorder="1" applyAlignment="1">
      <alignment horizontal="left" vertical="center" wrapText="1"/>
    </xf>
    <xf numFmtId="0" fontId="27" fillId="35" borderId="27" xfId="0" applyFont="1" applyFill="1" applyBorder="1" applyAlignment="1">
      <alignment horizontal="left" vertical="center" wrapText="1"/>
    </xf>
    <xf numFmtId="0" fontId="0" fillId="7" borderId="27" xfId="0" quotePrefix="1" applyFill="1" applyBorder="1" applyAlignment="1">
      <alignment horizontal="left" vertical="top" wrapText="1"/>
    </xf>
    <xf numFmtId="0" fontId="0" fillId="7" borderId="27" xfId="0" applyFill="1" applyBorder="1" applyAlignment="1">
      <alignment horizontal="left" vertical="center" wrapText="1"/>
    </xf>
    <xf numFmtId="0" fontId="0" fillId="7" borderId="27" xfId="0" quotePrefix="1" applyFill="1" applyBorder="1" applyAlignment="1">
      <alignment horizontal="left" vertical="center" wrapText="1"/>
    </xf>
    <xf numFmtId="0" fontId="0" fillId="32" borderId="29" xfId="0" applyFill="1" applyBorder="1" applyAlignment="1">
      <alignment horizontal="center" vertical="center" wrapText="1"/>
    </xf>
    <xf numFmtId="0" fontId="12" fillId="32" borderId="27" xfId="0" applyFont="1" applyFill="1" applyBorder="1" applyAlignment="1">
      <alignment horizontal="left" vertical="center" wrapText="1"/>
    </xf>
    <xf numFmtId="0" fontId="12" fillId="7" borderId="27" xfId="0" quotePrefix="1" applyFont="1" applyFill="1" applyBorder="1" applyAlignment="1">
      <alignment horizontal="left" vertical="center" wrapText="1"/>
    </xf>
    <xf numFmtId="0" fontId="56" fillId="40" borderId="27" xfId="0" applyFont="1" applyFill="1" applyBorder="1" applyAlignment="1">
      <alignment vertical="center" wrapText="1"/>
    </xf>
    <xf numFmtId="0" fontId="32" fillId="25" borderId="27" xfId="0" applyFont="1" applyFill="1" applyBorder="1" applyAlignment="1">
      <alignment vertical="center" wrapText="1"/>
    </xf>
    <xf numFmtId="0" fontId="32" fillId="25" borderId="27" xfId="0" quotePrefix="1" applyFont="1" applyFill="1" applyBorder="1" applyAlignment="1">
      <alignment horizontal="left" vertical="center" wrapText="1"/>
    </xf>
    <xf numFmtId="0" fontId="0" fillId="36" borderId="29" xfId="0" applyFill="1" applyBorder="1" applyAlignment="1">
      <alignment horizontal="center" vertical="center" wrapText="1"/>
    </xf>
    <xf numFmtId="0" fontId="0" fillId="36" borderId="16" xfId="0" applyFill="1" applyBorder="1" applyAlignment="1">
      <alignment horizontal="left" vertical="center" wrapText="1"/>
    </xf>
    <xf numFmtId="0" fontId="12" fillId="36" borderId="27" xfId="0" applyFont="1" applyFill="1" applyBorder="1" applyAlignment="1">
      <alignment horizontal="left" vertical="center" wrapText="1"/>
    </xf>
    <xf numFmtId="0" fontId="12" fillId="7" borderId="27" xfId="0" quotePrefix="1" applyFont="1" applyFill="1" applyBorder="1" applyAlignment="1">
      <alignment vertical="center" wrapText="1"/>
    </xf>
    <xf numFmtId="0" fontId="56" fillId="54" borderId="27" xfId="0" applyFont="1" applyFill="1" applyBorder="1" applyAlignment="1">
      <alignment vertical="center" wrapText="1"/>
    </xf>
    <xf numFmtId="0" fontId="32" fillId="25" borderId="27" xfId="0" quotePrefix="1" applyFont="1" applyFill="1" applyBorder="1" applyAlignment="1">
      <alignment vertical="center" wrapText="1"/>
    </xf>
    <xf numFmtId="0" fontId="12" fillId="7" borderId="27" xfId="0" applyFont="1" applyFill="1" applyBorder="1" applyAlignment="1">
      <alignment horizontal="left" vertical="center" wrapText="1"/>
    </xf>
    <xf numFmtId="0" fontId="48" fillId="7" borderId="27" xfId="0" applyFont="1" applyFill="1" applyBorder="1" applyAlignment="1">
      <alignment horizontal="left" vertical="center" wrapText="1"/>
    </xf>
    <xf numFmtId="0" fontId="32" fillId="36" borderId="27" xfId="0" applyFont="1" applyFill="1" applyBorder="1" applyAlignment="1">
      <alignment horizontal="left" vertical="center" wrapText="1"/>
    </xf>
    <xf numFmtId="0" fontId="12" fillId="36" borderId="27" xfId="0" quotePrefix="1" applyFont="1" applyFill="1" applyBorder="1" applyAlignment="1">
      <alignment horizontal="left" vertical="center" wrapText="1"/>
    </xf>
    <xf numFmtId="0" fontId="0" fillId="6" borderId="29" xfId="0" applyFill="1" applyBorder="1" applyAlignment="1">
      <alignment horizontal="center" vertical="center" wrapText="1"/>
    </xf>
    <xf numFmtId="0" fontId="32" fillId="24" borderId="27" xfId="0" applyFont="1" applyFill="1" applyBorder="1" applyAlignment="1">
      <alignment vertical="center" wrapText="1"/>
    </xf>
    <xf numFmtId="0" fontId="32" fillId="50" borderId="27" xfId="0" quotePrefix="1" applyFont="1" applyFill="1" applyBorder="1" applyAlignment="1">
      <alignment horizontal="left" vertical="center" wrapText="1"/>
    </xf>
    <xf numFmtId="0" fontId="32" fillId="51" borderId="27" xfId="0" quotePrefix="1" applyFont="1" applyFill="1" applyBorder="1" applyAlignment="1">
      <alignment vertical="center" wrapText="1"/>
    </xf>
    <xf numFmtId="0" fontId="12" fillId="32" borderId="27" xfId="0" quotePrefix="1" applyFont="1" applyFill="1" applyBorder="1" applyAlignment="1">
      <alignment horizontal="left" vertical="center" wrapText="1"/>
    </xf>
    <xf numFmtId="0" fontId="0" fillId="32" borderId="27" xfId="0" quotePrefix="1" applyFill="1" applyBorder="1" applyAlignment="1">
      <alignment vertical="top" wrapText="1"/>
    </xf>
    <xf numFmtId="0" fontId="0" fillId="18" borderId="29" xfId="0" applyFill="1" applyBorder="1" applyAlignment="1">
      <alignment horizontal="center" vertical="center" wrapText="1"/>
    </xf>
    <xf numFmtId="9" fontId="15" fillId="0" borderId="0" xfId="2" applyFont="1" applyAlignment="1">
      <alignment horizontal="left"/>
    </xf>
    <xf numFmtId="1" fontId="0" fillId="6" borderId="0" xfId="0" applyNumberFormat="1" applyFill="1" applyAlignment="1">
      <alignment horizontal="center"/>
    </xf>
    <xf numFmtId="0" fontId="9" fillId="12" borderId="0" xfId="0" applyFont="1" applyFill="1" applyAlignment="1">
      <alignment horizontal="center" vertical="center" wrapText="1"/>
    </xf>
    <xf numFmtId="1" fontId="0" fillId="7" borderId="0" xfId="0" applyNumberFormat="1" applyFill="1" applyAlignment="1">
      <alignment vertical="center"/>
    </xf>
    <xf numFmtId="0" fontId="4" fillId="7" borderId="0" xfId="0" applyFont="1" applyFill="1" applyAlignment="1">
      <alignment vertical="top"/>
    </xf>
    <xf numFmtId="0" fontId="3" fillId="0" borderId="0" xfId="0" applyFont="1"/>
    <xf numFmtId="0" fontId="112" fillId="0" borderId="0" xfId="0" applyFont="1"/>
    <xf numFmtId="0" fontId="17" fillId="21" borderId="0" xfId="0" applyFont="1" applyFill="1"/>
    <xf numFmtId="0" fontId="82" fillId="21" borderId="0" xfId="0" applyFont="1" applyFill="1"/>
    <xf numFmtId="0" fontId="12" fillId="24" borderId="54" xfId="0" applyFont="1" applyFill="1" applyBorder="1" applyAlignment="1">
      <alignment horizontal="center" vertical="center" wrapText="1"/>
    </xf>
    <xf numFmtId="0" fontId="0" fillId="6" borderId="54" xfId="0" applyFill="1" applyBorder="1" applyAlignment="1">
      <alignment horizontal="left" vertical="center" wrapText="1"/>
    </xf>
    <xf numFmtId="0" fontId="49" fillId="45" borderId="55" xfId="0" applyFont="1" applyFill="1" applyBorder="1" applyAlignment="1">
      <alignment horizontal="left" vertical="center" wrapText="1"/>
    </xf>
    <xf numFmtId="0" fontId="0" fillId="0" borderId="1" xfId="0" applyBorder="1" applyAlignment="1">
      <alignment horizontal="left" vertical="center" wrapText="1"/>
    </xf>
    <xf numFmtId="0" fontId="12" fillId="25" borderId="1" xfId="0" applyFont="1" applyFill="1" applyBorder="1" applyAlignment="1">
      <alignment horizontal="center" vertical="center" wrapText="1"/>
    </xf>
    <xf numFmtId="0" fontId="49" fillId="45" borderId="63" xfId="0" applyFont="1" applyFill="1" applyBorder="1" applyAlignment="1">
      <alignment horizontal="left" vertical="center" wrapText="1"/>
    </xf>
    <xf numFmtId="0" fontId="49" fillId="0" borderId="0" xfId="0" applyFont="1" applyAlignment="1">
      <alignment horizontal="left" vertical="center" wrapText="1"/>
    </xf>
    <xf numFmtId="0" fontId="49" fillId="24" borderId="55" xfId="0" applyFont="1" applyFill="1" applyBorder="1" applyAlignment="1">
      <alignment horizontal="left" vertical="center" wrapText="1"/>
    </xf>
    <xf numFmtId="0" fontId="12" fillId="25" borderId="78" xfId="0" applyFont="1" applyFill="1" applyBorder="1" applyAlignment="1">
      <alignment horizontal="center" vertical="center" wrapText="1"/>
    </xf>
    <xf numFmtId="0" fontId="0" fillId="7" borderId="78" xfId="0" applyFill="1" applyBorder="1" applyAlignment="1">
      <alignment horizontal="left" vertical="center" wrapText="1"/>
    </xf>
    <xf numFmtId="0" fontId="49" fillId="24" borderId="59" xfId="0" applyFont="1" applyFill="1" applyBorder="1" applyAlignment="1">
      <alignment horizontal="left" vertical="center" wrapText="1"/>
    </xf>
    <xf numFmtId="0" fontId="0" fillId="0" borderId="78" xfId="0" applyBorder="1" applyAlignment="1">
      <alignment horizontal="left" vertical="center" wrapText="1"/>
    </xf>
    <xf numFmtId="0" fontId="12" fillId="0" borderId="78" xfId="0" applyFont="1" applyBorder="1" applyAlignment="1">
      <alignment horizontal="center" vertical="center" wrapText="1"/>
    </xf>
    <xf numFmtId="0" fontId="49" fillId="0" borderId="59" xfId="0" applyFont="1" applyBorder="1" applyAlignment="1">
      <alignment horizontal="left" vertical="center" wrapText="1"/>
    </xf>
    <xf numFmtId="0" fontId="0" fillId="3" borderId="78" xfId="0" applyFill="1" applyBorder="1" applyAlignment="1">
      <alignment horizontal="center" vertical="center" wrapText="1"/>
    </xf>
    <xf numFmtId="0" fontId="0" fillId="13" borderId="78" xfId="0"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xf numFmtId="0" fontId="12" fillId="51" borderId="1" xfId="0" applyFont="1" applyFill="1" applyBorder="1" applyAlignment="1">
      <alignment horizontal="center" vertical="center" wrapText="1"/>
    </xf>
    <xf numFmtId="0" fontId="49" fillId="41" borderId="54" xfId="0" applyFont="1" applyFill="1" applyBorder="1" applyAlignment="1">
      <alignment horizontal="left" vertical="center" wrapText="1"/>
    </xf>
    <xf numFmtId="0" fontId="49" fillId="41" borderId="55" xfId="0" applyFont="1" applyFill="1" applyBorder="1" applyAlignment="1">
      <alignment horizontal="left" vertical="center" wrapText="1"/>
    </xf>
    <xf numFmtId="0" fontId="49" fillId="41" borderId="0" xfId="0" applyFont="1" applyFill="1" applyAlignment="1">
      <alignment horizontal="left" vertical="center" wrapText="1"/>
    </xf>
    <xf numFmtId="0" fontId="49" fillId="0" borderId="56" xfId="0" applyFont="1" applyBorder="1" applyAlignment="1">
      <alignment horizontal="left" vertical="center" wrapText="1"/>
    </xf>
    <xf numFmtId="0" fontId="49" fillId="41" borderId="1" xfId="0" applyFont="1" applyFill="1" applyBorder="1" applyAlignment="1">
      <alignment horizontal="left" vertical="center" wrapText="1"/>
    </xf>
    <xf numFmtId="0" fontId="49" fillId="0" borderId="63" xfId="0" applyFont="1" applyBorder="1" applyAlignment="1">
      <alignment horizontal="left" vertical="center" wrapText="1"/>
    </xf>
    <xf numFmtId="0" fontId="49" fillId="46" borderId="54" xfId="0" applyFont="1" applyFill="1" applyBorder="1" applyAlignment="1">
      <alignment horizontal="left" vertical="center" wrapText="1"/>
    </xf>
    <xf numFmtId="0" fontId="49" fillId="0" borderId="1" xfId="0" applyFont="1" applyBorder="1" applyAlignment="1">
      <alignment horizontal="left" vertical="center" wrapText="1"/>
    </xf>
    <xf numFmtId="0" fontId="49" fillId="46" borderId="1" xfId="0" applyFont="1" applyFill="1" applyBorder="1" applyAlignment="1">
      <alignment horizontal="left" vertical="center" wrapText="1"/>
    </xf>
    <xf numFmtId="0" fontId="0" fillId="3" borderId="54" xfId="0" applyFill="1" applyBorder="1" applyAlignment="1">
      <alignment horizontal="center" vertical="center" wrapText="1"/>
    </xf>
    <xf numFmtId="0" fontId="0" fillId="13" borderId="54" xfId="0" applyFill="1" applyBorder="1" applyAlignment="1">
      <alignment horizontal="left" vertical="center" wrapText="1"/>
    </xf>
    <xf numFmtId="0" fontId="12" fillId="40" borderId="54" xfId="0" applyFont="1" applyFill="1" applyBorder="1" applyAlignment="1">
      <alignment horizontal="center" vertical="center" wrapText="1"/>
    </xf>
    <xf numFmtId="0" fontId="12" fillId="24" borderId="1" xfId="0" applyFont="1" applyFill="1" applyBorder="1" applyAlignment="1">
      <alignment horizontal="center" vertical="center" wrapText="1"/>
    </xf>
    <xf numFmtId="0" fontId="0" fillId="6" borderId="1" xfId="0" applyFill="1" applyBorder="1" applyAlignment="1">
      <alignment horizontal="left" vertical="center" wrapText="1"/>
    </xf>
    <xf numFmtId="0" fontId="49" fillId="42" borderId="54" xfId="0" applyFont="1" applyFill="1" applyBorder="1" applyAlignment="1">
      <alignment horizontal="left" vertical="center" wrapText="1"/>
    </xf>
    <xf numFmtId="0" fontId="0" fillId="3" borderId="1" xfId="0" applyFill="1" applyBorder="1" applyAlignment="1">
      <alignment horizontal="center" vertical="center" wrapText="1"/>
    </xf>
    <xf numFmtId="0" fontId="0" fillId="13" borderId="1" xfId="0" applyFill="1" applyBorder="1" applyAlignment="1">
      <alignment horizontal="left" vertical="center" wrapText="1"/>
    </xf>
    <xf numFmtId="0" fontId="49" fillId="42" borderId="1" xfId="0" applyFont="1" applyFill="1" applyBorder="1" applyAlignment="1">
      <alignment horizontal="left" vertical="center" wrapText="1"/>
    </xf>
    <xf numFmtId="0" fontId="49" fillId="42" borderId="55" xfId="0" applyFont="1" applyFill="1" applyBorder="1" applyAlignment="1">
      <alignment horizontal="left" vertical="center" wrapText="1"/>
    </xf>
    <xf numFmtId="0" fontId="49" fillId="42" borderId="63" xfId="0" applyFont="1" applyFill="1" applyBorder="1" applyAlignment="1">
      <alignment horizontal="left" vertical="center" wrapText="1"/>
    </xf>
    <xf numFmtId="0" fontId="12" fillId="24" borderId="78" xfId="0" applyFont="1" applyFill="1" applyBorder="1" applyAlignment="1">
      <alignment horizontal="center" vertical="center" wrapText="1"/>
    </xf>
    <xf numFmtId="0" fontId="0" fillId="6" borderId="78" xfId="0" applyFill="1" applyBorder="1" applyAlignment="1">
      <alignment horizontal="left" vertical="center" wrapText="1"/>
    </xf>
    <xf numFmtId="0" fontId="49" fillId="43" borderId="54" xfId="0" applyFont="1" applyFill="1" applyBorder="1" applyAlignment="1">
      <alignment horizontal="left" vertical="center" wrapText="1"/>
    </xf>
    <xf numFmtId="0" fontId="49" fillId="43" borderId="1" xfId="0" applyFont="1" applyFill="1" applyBorder="1" applyAlignment="1">
      <alignment horizontal="left" vertical="center" wrapText="1"/>
    </xf>
    <xf numFmtId="0" fontId="93" fillId="0" borderId="1" xfId="0" applyFont="1" applyBorder="1" applyAlignment="1">
      <alignment horizontal="center" vertical="center" wrapText="1"/>
    </xf>
    <xf numFmtId="0" fontId="0" fillId="7" borderId="54" xfId="0" applyFill="1" applyBorder="1" applyAlignment="1">
      <alignment horizontal="left" vertical="center" wrapText="1"/>
    </xf>
    <xf numFmtId="0" fontId="12" fillId="25" borderId="54" xfId="0" applyFont="1" applyFill="1" applyBorder="1" applyAlignment="1">
      <alignment horizontal="center" vertical="center" wrapText="1"/>
    </xf>
    <xf numFmtId="0" fontId="49" fillId="43" borderId="55" xfId="0" applyFont="1" applyFill="1" applyBorder="1" applyAlignment="1">
      <alignment horizontal="left" vertical="center" wrapText="1"/>
    </xf>
    <xf numFmtId="0" fontId="49" fillId="43" borderId="63" xfId="0" applyFont="1" applyFill="1" applyBorder="1" applyAlignment="1">
      <alignment horizontal="left" vertical="center" wrapText="1"/>
    </xf>
    <xf numFmtId="0" fontId="49" fillId="46" borderId="78" xfId="0" applyFont="1" applyFill="1" applyBorder="1" applyAlignment="1">
      <alignment horizontal="left" vertical="center" wrapText="1"/>
    </xf>
    <xf numFmtId="0" fontId="12" fillId="40" borderId="78" xfId="0" applyFont="1" applyFill="1" applyBorder="1" applyAlignment="1">
      <alignment horizontal="center" vertical="center" wrapText="1"/>
    </xf>
    <xf numFmtId="0" fontId="12" fillId="50" borderId="78" xfId="0" applyFont="1" applyFill="1" applyBorder="1" applyAlignment="1">
      <alignment horizontal="center" vertical="center" wrapText="1"/>
    </xf>
    <xf numFmtId="0" fontId="49" fillId="46" borderId="59" xfId="0" applyFont="1" applyFill="1" applyBorder="1" applyAlignment="1">
      <alignment horizontal="left" vertical="center" wrapText="1"/>
    </xf>
    <xf numFmtId="0" fontId="49" fillId="40" borderId="59" xfId="0" applyFont="1" applyFill="1" applyBorder="1" applyAlignment="1">
      <alignment horizontal="left" vertical="center" wrapText="1"/>
    </xf>
    <xf numFmtId="0" fontId="0" fillId="52" borderId="54" xfId="0" applyFill="1" applyBorder="1" applyAlignment="1">
      <alignment horizontal="center" vertical="center"/>
    </xf>
    <xf numFmtId="0" fontId="0" fillId="0" borderId="1" xfId="0" applyBorder="1" applyAlignment="1">
      <alignment horizontal="center" vertical="center"/>
    </xf>
    <xf numFmtId="0" fontId="49" fillId="0" borderId="54" xfId="0" applyFont="1" applyBorder="1" applyAlignment="1">
      <alignment horizontal="left" vertical="center" wrapText="1"/>
    </xf>
    <xf numFmtId="0" fontId="49" fillId="23" borderId="1" xfId="0" applyFont="1" applyFill="1" applyBorder="1" applyAlignment="1">
      <alignment horizontal="left" vertical="center" wrapText="1"/>
    </xf>
    <xf numFmtId="0" fontId="49" fillId="23" borderId="54" xfId="0" applyFont="1" applyFill="1" applyBorder="1" applyAlignment="1">
      <alignment horizontal="left" vertical="center" wrapText="1"/>
    </xf>
    <xf numFmtId="0" fontId="27" fillId="16" borderId="0" xfId="0" applyFont="1" applyFill="1" applyAlignment="1">
      <alignment horizontal="left"/>
    </xf>
    <xf numFmtId="0" fontId="27" fillId="16" borderId="0" xfId="0" applyFont="1" applyFill="1" applyAlignment="1">
      <alignment horizontal="left" vertical="center"/>
    </xf>
    <xf numFmtId="0" fontId="27" fillId="37" borderId="0" xfId="0" applyFont="1" applyFill="1" applyAlignment="1">
      <alignment horizontal="left" vertical="center"/>
    </xf>
    <xf numFmtId="0" fontId="27" fillId="36" borderId="0" xfId="0" applyFont="1" applyFill="1" applyAlignment="1">
      <alignment horizontal="left" vertical="center"/>
    </xf>
    <xf numFmtId="0" fontId="27" fillId="34" borderId="0" xfId="0" applyFont="1" applyFill="1" applyAlignment="1">
      <alignment horizontal="left" vertical="center"/>
    </xf>
    <xf numFmtId="0" fontId="27" fillId="62" borderId="3" xfId="0" applyFont="1" applyFill="1" applyBorder="1" applyAlignment="1">
      <alignment vertical="center" wrapText="1"/>
    </xf>
    <xf numFmtId="0" fontId="12" fillId="28" borderId="0" xfId="0" applyFont="1" applyFill="1" applyAlignment="1">
      <alignment horizontal="left" vertical="center" wrapText="1"/>
    </xf>
    <xf numFmtId="0" fontId="89" fillId="28" borderId="0" xfId="0" applyFont="1" applyFill="1" applyAlignment="1">
      <alignment vertical="center"/>
    </xf>
    <xf numFmtId="0" fontId="89" fillId="28" borderId="0" xfId="0" applyFont="1" applyFill="1" applyAlignment="1">
      <alignment horizontal="left" vertical="center" wrapText="1"/>
    </xf>
    <xf numFmtId="0" fontId="89" fillId="28" borderId="0" xfId="0" applyFont="1" applyFill="1"/>
    <xf numFmtId="0" fontId="0" fillId="32" borderId="29" xfId="0" applyFill="1" applyBorder="1" applyAlignment="1">
      <alignment horizontal="left" vertical="center" wrapText="1"/>
    </xf>
    <xf numFmtId="0" fontId="0" fillId="35" borderId="29" xfId="0" applyFill="1" applyBorder="1" applyAlignment="1">
      <alignment horizontal="left" vertical="center" wrapText="1"/>
    </xf>
    <xf numFmtId="0" fontId="0" fillId="7" borderId="29" xfId="0" applyFill="1" applyBorder="1" applyAlignment="1">
      <alignment horizontal="left" vertical="center" wrapText="1"/>
    </xf>
    <xf numFmtId="0" fontId="0" fillId="36" borderId="29" xfId="0" applyFill="1" applyBorder="1" applyAlignment="1">
      <alignment horizontal="left" vertical="center" wrapText="1"/>
    </xf>
    <xf numFmtId="0" fontId="10" fillId="7" borderId="29" xfId="0" applyFont="1" applyFill="1" applyBorder="1" applyAlignment="1">
      <alignment horizontal="left" vertical="center" wrapText="1"/>
    </xf>
    <xf numFmtId="0" fontId="0" fillId="6" borderId="29" xfId="0" applyFill="1" applyBorder="1" applyAlignment="1">
      <alignment horizontal="left" vertical="center" wrapText="1"/>
    </xf>
    <xf numFmtId="0" fontId="27" fillId="28" borderId="0" xfId="0" applyFont="1" applyFill="1" applyAlignment="1">
      <alignment horizontal="left"/>
    </xf>
    <xf numFmtId="0" fontId="89" fillId="28" borderId="0" xfId="0" applyFont="1" applyFill="1" applyAlignment="1">
      <alignment horizontal="left"/>
    </xf>
    <xf numFmtId="0" fontId="10" fillId="7" borderId="3" xfId="0" applyFont="1" applyFill="1" applyBorder="1" applyAlignment="1">
      <alignment vertical="center" wrapText="1"/>
    </xf>
    <xf numFmtId="0" fontId="10" fillId="7" borderId="15" xfId="0" applyFont="1" applyFill="1" applyBorder="1" applyAlignment="1">
      <alignment horizontal="left" vertical="center" wrapText="1"/>
    </xf>
    <xf numFmtId="0" fontId="0" fillId="36" borderId="54" xfId="0" applyFill="1" applyBorder="1" applyAlignment="1">
      <alignment vertical="center" wrapText="1"/>
    </xf>
    <xf numFmtId="0" fontId="0" fillId="0" borderId="1" xfId="0" applyBorder="1" applyAlignment="1">
      <alignment vertical="center" wrapText="1"/>
    </xf>
    <xf numFmtId="0" fontId="0" fillId="7" borderId="1" xfId="0" applyFill="1" applyBorder="1" applyAlignment="1">
      <alignment vertical="center" wrapText="1"/>
    </xf>
    <xf numFmtId="0" fontId="0" fillId="36" borderId="78" xfId="0" applyFill="1" applyBorder="1" applyAlignment="1">
      <alignment vertical="center" wrapText="1"/>
    </xf>
    <xf numFmtId="0" fontId="0" fillId="7" borderId="78" xfId="0" applyFill="1" applyBorder="1" applyAlignment="1">
      <alignment vertical="center" wrapText="1"/>
    </xf>
    <xf numFmtId="0" fontId="0" fillId="36" borderId="1" xfId="0" applyFill="1" applyBorder="1" applyAlignment="1">
      <alignment vertical="center" wrapText="1"/>
    </xf>
    <xf numFmtId="0" fontId="0" fillId="7" borderId="54" xfId="0" applyFill="1" applyBorder="1" applyAlignment="1">
      <alignment vertical="center" wrapText="1"/>
    </xf>
    <xf numFmtId="0" fontId="3" fillId="0" borderId="1" xfId="0" applyFont="1" applyBorder="1" applyAlignment="1">
      <alignment vertical="center" wrapText="1"/>
    </xf>
    <xf numFmtId="0" fontId="12" fillId="54" borderId="1" xfId="0" applyFont="1" applyFill="1" applyBorder="1" applyAlignment="1">
      <alignment vertical="center" wrapText="1"/>
    </xf>
    <xf numFmtId="0" fontId="32" fillId="54" borderId="1" xfId="0" applyFont="1" applyFill="1" applyBorder="1" applyAlignment="1">
      <alignment vertical="center" wrapText="1"/>
    </xf>
    <xf numFmtId="0" fontId="32" fillId="0" borderId="0" xfId="0" applyFont="1" applyAlignment="1">
      <alignment vertical="center" wrapText="1"/>
    </xf>
    <xf numFmtId="0" fontId="0" fillId="3" borderId="54" xfId="0" applyFill="1" applyBorder="1" applyAlignment="1">
      <alignment horizontal="left" vertical="center" wrapText="1"/>
    </xf>
    <xf numFmtId="0" fontId="0" fillId="3" borderId="1" xfId="0" applyFill="1" applyBorder="1" applyAlignment="1">
      <alignment horizontal="left" vertical="center" wrapText="1"/>
    </xf>
    <xf numFmtId="0" fontId="0" fillId="32" borderId="54" xfId="0" applyFill="1" applyBorder="1" applyAlignment="1">
      <alignment vertical="center" wrapText="1"/>
    </xf>
    <xf numFmtId="0" fontId="93" fillId="0" borderId="1" xfId="0" applyFont="1" applyBorder="1" applyAlignment="1">
      <alignment vertical="center" wrapText="1"/>
    </xf>
    <xf numFmtId="0" fontId="0" fillId="32" borderId="78" xfId="0" applyFill="1" applyBorder="1" applyAlignment="1">
      <alignment vertical="center" wrapText="1"/>
    </xf>
    <xf numFmtId="0" fontId="27" fillId="21" borderId="0" xfId="0" applyFont="1" applyFill="1" applyAlignment="1">
      <alignment horizontal="left" vertical="center" wrapText="1"/>
    </xf>
    <xf numFmtId="0" fontId="7" fillId="67" borderId="0" xfId="0" applyFont="1" applyFill="1" applyAlignment="1">
      <alignment horizontal="center" wrapText="1"/>
    </xf>
    <xf numFmtId="0" fontId="0" fillId="67" borderId="0" xfId="0" applyFill="1" applyAlignment="1">
      <alignment horizontal="center" vertical="center"/>
    </xf>
    <xf numFmtId="0" fontId="9" fillId="67" borderId="0" xfId="0" applyFont="1" applyFill="1" applyAlignment="1">
      <alignment horizontal="center" vertical="center"/>
    </xf>
    <xf numFmtId="0" fontId="0" fillId="67" borderId="0" xfId="0" applyFill="1"/>
    <xf numFmtId="0" fontId="7" fillId="68" borderId="0" xfId="0" applyFont="1" applyFill="1" applyAlignment="1">
      <alignment horizontal="center" wrapText="1"/>
    </xf>
    <xf numFmtId="0" fontId="9" fillId="68" borderId="0" xfId="0" applyFont="1" applyFill="1" applyAlignment="1">
      <alignment horizontal="center" vertical="center"/>
    </xf>
    <xf numFmtId="0" fontId="0" fillId="68" borderId="0" xfId="0" applyFill="1" applyAlignment="1">
      <alignment horizontal="center" vertical="center"/>
    </xf>
    <xf numFmtId="0" fontId="0" fillId="68" borderId="0" xfId="0" applyFill="1"/>
    <xf numFmtId="0" fontId="7" fillId="69" borderId="0" xfId="0" applyFont="1" applyFill="1" applyAlignment="1">
      <alignment horizontal="center" wrapText="1"/>
    </xf>
    <xf numFmtId="0" fontId="0" fillId="69" borderId="0" xfId="0" applyFill="1" applyAlignment="1">
      <alignment horizontal="center" vertical="center"/>
    </xf>
    <xf numFmtId="0" fontId="9" fillId="69" borderId="0" xfId="0" applyFont="1" applyFill="1" applyAlignment="1">
      <alignment horizontal="center" vertical="center"/>
    </xf>
    <xf numFmtId="0" fontId="0" fillId="69" borderId="0" xfId="0" applyFill="1"/>
    <xf numFmtId="0" fontId="0" fillId="0" borderId="18" xfId="0" applyBorder="1" applyAlignment="1" applyProtection="1">
      <alignment horizontal="center" vertical="center"/>
      <protection locked="0"/>
    </xf>
    <xf numFmtId="0" fontId="0" fillId="67" borderId="11" xfId="0" applyFill="1" applyBorder="1" applyAlignment="1">
      <alignment horizontal="center" vertical="center"/>
    </xf>
    <xf numFmtId="0" fontId="0" fillId="0" borderId="11" xfId="0" applyBorder="1" applyAlignment="1">
      <alignment horizontal="center" vertical="center"/>
    </xf>
    <xf numFmtId="0" fontId="0" fillId="0" borderId="20" xfId="0" applyBorder="1" applyAlignment="1" applyProtection="1">
      <alignment horizontal="center" vertical="center"/>
      <protection locked="0"/>
    </xf>
    <xf numFmtId="0" fontId="9" fillId="67" borderId="10" xfId="0" applyFont="1" applyFill="1" applyBorder="1" applyAlignment="1">
      <alignment horizontal="center" vertical="center"/>
    </xf>
    <xf numFmtId="0" fontId="0" fillId="68" borderId="11" xfId="0" applyFill="1" applyBorder="1" applyAlignment="1">
      <alignment horizontal="center" vertical="center"/>
    </xf>
    <xf numFmtId="0" fontId="3" fillId="0" borderId="0" xfId="0" applyFont="1" applyAlignment="1">
      <alignment horizontal="center"/>
    </xf>
    <xf numFmtId="0" fontId="0" fillId="0" borderId="19" xfId="0" applyBorder="1" applyAlignment="1" applyProtection="1">
      <alignment horizontal="center" vertical="center"/>
      <protection locked="0"/>
    </xf>
    <xf numFmtId="0" fontId="0" fillId="67" borderId="10" xfId="0" applyFill="1" applyBorder="1" applyAlignment="1">
      <alignment horizontal="center" vertical="center"/>
    </xf>
    <xf numFmtId="0" fontId="0" fillId="0" borderId="10" xfId="0" applyBorder="1" applyAlignment="1">
      <alignment horizontal="center" vertical="center"/>
    </xf>
    <xf numFmtId="0" fontId="0" fillId="68" borderId="10" xfId="0" applyFill="1" applyBorder="1" applyAlignment="1">
      <alignment horizontal="center" vertical="center"/>
    </xf>
    <xf numFmtId="0" fontId="0" fillId="69" borderId="14" xfId="0" applyFill="1" applyBorder="1" applyAlignment="1">
      <alignment horizontal="center" vertical="center"/>
    </xf>
    <xf numFmtId="0" fontId="0" fillId="69" borderId="13" xfId="0" applyFill="1" applyBorder="1" applyAlignment="1">
      <alignment horizontal="center" vertical="center"/>
    </xf>
    <xf numFmtId="0" fontId="114" fillId="69" borderId="13" xfId="0" applyFont="1" applyFill="1" applyBorder="1" applyAlignment="1">
      <alignment horizontal="center" vertical="center"/>
    </xf>
    <xf numFmtId="0" fontId="114" fillId="67" borderId="21" xfId="0" applyFont="1" applyFill="1" applyBorder="1" applyAlignment="1">
      <alignment horizontal="center" vertical="center"/>
    </xf>
    <xf numFmtId="0" fontId="114" fillId="0" borderId="21" xfId="0" applyFont="1" applyBorder="1" applyAlignment="1">
      <alignment horizontal="center" vertical="center"/>
    </xf>
    <xf numFmtId="0" fontId="114" fillId="68" borderId="21" xfId="0" applyFont="1" applyFill="1" applyBorder="1" applyAlignment="1">
      <alignment horizontal="center" vertical="center"/>
    </xf>
    <xf numFmtId="0" fontId="114" fillId="69" borderId="44" xfId="0" applyFont="1" applyFill="1" applyBorder="1" applyAlignment="1">
      <alignment horizontal="center" vertical="center"/>
    </xf>
    <xf numFmtId="0" fontId="114" fillId="69" borderId="14" xfId="0" applyFont="1" applyFill="1" applyBorder="1" applyAlignment="1">
      <alignment horizontal="center" vertical="center"/>
    </xf>
    <xf numFmtId="0" fontId="114" fillId="67" borderId="11" xfId="0" applyFont="1" applyFill="1" applyBorder="1" applyAlignment="1">
      <alignment horizontal="center" vertical="center"/>
    </xf>
    <xf numFmtId="0" fontId="114" fillId="0" borderId="11" xfId="0" applyFont="1" applyBorder="1" applyAlignment="1">
      <alignment horizontal="center" vertical="center"/>
    </xf>
    <xf numFmtId="0" fontId="114" fillId="68" borderId="11" xfId="0" applyFont="1" applyFill="1" applyBorder="1" applyAlignment="1">
      <alignment horizontal="center" vertical="center"/>
    </xf>
    <xf numFmtId="0" fontId="114" fillId="67" borderId="10" xfId="0" applyFont="1" applyFill="1" applyBorder="1" applyAlignment="1">
      <alignment horizontal="center" vertical="center"/>
    </xf>
    <xf numFmtId="0" fontId="114" fillId="0" borderId="10" xfId="0" applyFont="1" applyBorder="1" applyAlignment="1">
      <alignment horizontal="center" vertical="center"/>
    </xf>
    <xf numFmtId="0" fontId="114" fillId="68" borderId="10" xfId="0" applyFont="1" applyFill="1" applyBorder="1" applyAlignment="1">
      <alignment horizontal="center" vertical="center"/>
    </xf>
    <xf numFmtId="0" fontId="7" fillId="0" borderId="18" xfId="0" applyFont="1" applyBorder="1" applyAlignment="1">
      <alignment horizontal="center" vertical="center" wrapText="1"/>
    </xf>
    <xf numFmtId="0" fontId="7" fillId="0" borderId="20" xfId="0" applyFont="1" applyBorder="1" applyAlignment="1">
      <alignment horizontal="center" vertical="center" wrapText="1"/>
    </xf>
    <xf numFmtId="0" fontId="114" fillId="68" borderId="0" xfId="0" applyFont="1" applyFill="1" applyAlignment="1">
      <alignment horizontal="center" vertical="center"/>
    </xf>
    <xf numFmtId="0" fontId="114" fillId="0" borderId="0" xfId="0" applyFont="1" applyAlignment="1">
      <alignment horizontal="center" vertical="center"/>
    </xf>
    <xf numFmtId="0" fontId="114" fillId="69" borderId="6" xfId="0" applyFont="1" applyFill="1" applyBorder="1" applyAlignment="1">
      <alignment horizontal="center" vertical="center"/>
    </xf>
    <xf numFmtId="0" fontId="113" fillId="0" borderId="18" xfId="0" applyFont="1" applyBorder="1" applyAlignment="1">
      <alignment horizontal="center" vertical="center" wrapText="1"/>
    </xf>
    <xf numFmtId="0" fontId="113" fillId="0" borderId="20" xfId="0" applyFont="1" applyBorder="1" applyAlignment="1">
      <alignment horizontal="center" vertical="center" wrapText="1"/>
    </xf>
    <xf numFmtId="0" fontId="114" fillId="67" borderId="0" xfId="0" applyFont="1" applyFill="1" applyAlignment="1">
      <alignment horizontal="center" vertical="center"/>
    </xf>
    <xf numFmtId="0" fontId="115" fillId="67" borderId="11" xfId="0" applyFont="1" applyFill="1" applyBorder="1" applyAlignment="1">
      <alignment horizontal="center" vertical="center"/>
    </xf>
    <xf numFmtId="0" fontId="115" fillId="67" borderId="10" xfId="0" applyFont="1" applyFill="1" applyBorder="1" applyAlignment="1">
      <alignment horizontal="center" vertical="center"/>
    </xf>
    <xf numFmtId="0" fontId="115" fillId="67" borderId="0" xfId="0" applyFont="1" applyFill="1" applyAlignment="1">
      <alignment horizontal="center" vertical="center"/>
    </xf>
    <xf numFmtId="0" fontId="115" fillId="67" borderId="0" xfId="0" applyFont="1" applyFill="1"/>
    <xf numFmtId="0" fontId="115" fillId="68" borderId="10" xfId="0" applyFont="1" applyFill="1" applyBorder="1" applyAlignment="1">
      <alignment horizontal="center" vertical="center"/>
    </xf>
    <xf numFmtId="0" fontId="115" fillId="0" borderId="10" xfId="0" applyFont="1" applyBorder="1" applyAlignment="1">
      <alignment horizontal="center" vertical="center"/>
    </xf>
    <xf numFmtId="0" fontId="115" fillId="69" borderId="14" xfId="0" applyFont="1" applyFill="1" applyBorder="1" applyAlignment="1">
      <alignment horizontal="center" vertical="center"/>
    </xf>
    <xf numFmtId="0" fontId="115" fillId="68" borderId="0" xfId="0" applyFont="1" applyFill="1" applyAlignment="1">
      <alignment horizontal="center" vertical="center"/>
    </xf>
    <xf numFmtId="0" fontId="115" fillId="0" borderId="0" xfId="0" applyFont="1" applyAlignment="1">
      <alignment horizontal="center" vertical="center"/>
    </xf>
    <xf numFmtId="0" fontId="115" fillId="69" borderId="0" xfId="0" applyFont="1" applyFill="1" applyAlignment="1">
      <alignment horizontal="center" vertical="center"/>
    </xf>
    <xf numFmtId="0" fontId="115" fillId="68" borderId="11" xfId="0" applyFont="1" applyFill="1" applyBorder="1" applyAlignment="1">
      <alignment horizontal="center" vertical="center"/>
    </xf>
    <xf numFmtId="0" fontId="115" fillId="0" borderId="11" xfId="0" applyFont="1" applyBorder="1" applyAlignment="1">
      <alignment horizontal="center" vertical="center"/>
    </xf>
    <xf numFmtId="0" fontId="115" fillId="69" borderId="13" xfId="0" applyFont="1" applyFill="1" applyBorder="1" applyAlignment="1">
      <alignment horizontal="center" vertical="center"/>
    </xf>
    <xf numFmtId="0" fontId="115" fillId="69" borderId="0" xfId="0" applyFont="1" applyFill="1"/>
    <xf numFmtId="0" fontId="115" fillId="0" borderId="0" xfId="0" applyFont="1"/>
    <xf numFmtId="0" fontId="115" fillId="68" borderId="0" xfId="0" applyFont="1" applyFill="1"/>
    <xf numFmtId="0" fontId="2" fillId="6" borderId="0" xfId="0" applyFont="1" applyFill="1"/>
    <xf numFmtId="0" fontId="0" fillId="14" borderId="0" xfId="0" applyFill="1"/>
    <xf numFmtId="0" fontId="0" fillId="14" borderId="0" xfId="0" applyFill="1" applyAlignment="1">
      <alignment horizontal="right"/>
    </xf>
    <xf numFmtId="0" fontId="12" fillId="53" borderId="43" xfId="0" applyFont="1" applyFill="1" applyBorder="1" applyAlignment="1">
      <alignment horizontal="center" vertical="center" wrapText="1"/>
    </xf>
    <xf numFmtId="0" fontId="0" fillId="32" borderId="54" xfId="0" applyFill="1" applyBorder="1" applyAlignment="1">
      <alignment horizontal="center" vertical="center"/>
    </xf>
    <xf numFmtId="0" fontId="0" fillId="55"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xf>
    <xf numFmtId="1" fontId="0" fillId="18" borderId="0" xfId="0" applyNumberFormat="1" applyFill="1" applyAlignment="1">
      <alignment horizontal="center" vertical="center"/>
    </xf>
    <xf numFmtId="0" fontId="19" fillId="70" borderId="0" xfId="0" applyFont="1" applyFill="1" applyAlignment="1">
      <alignment horizontal="center" vertical="center"/>
    </xf>
    <xf numFmtId="9" fontId="0" fillId="12" borderId="0" xfId="2" applyFont="1" applyFill="1" applyAlignment="1">
      <alignment vertical="center"/>
    </xf>
    <xf numFmtId="9" fontId="0" fillId="18" borderId="0" xfId="2" applyFont="1" applyFill="1" applyAlignment="1">
      <alignment vertical="center"/>
    </xf>
    <xf numFmtId="0" fontId="7" fillId="12" borderId="0" xfId="0" applyFont="1" applyFill="1" applyAlignment="1">
      <alignment vertical="center"/>
    </xf>
    <xf numFmtId="0" fontId="7" fillId="18" borderId="0" xfId="0" applyFont="1" applyFill="1" applyAlignment="1">
      <alignment vertical="center"/>
    </xf>
    <xf numFmtId="9" fontId="0" fillId="3" borderId="0" xfId="2" applyFont="1" applyFill="1" applyAlignment="1">
      <alignment horizontal="center" vertical="center"/>
    </xf>
    <xf numFmtId="9" fontId="0" fillId="12" borderId="0" xfId="2" applyFont="1" applyFill="1" applyAlignment="1">
      <alignment horizontal="center" vertical="center"/>
    </xf>
    <xf numFmtId="9" fontId="0" fillId="18" borderId="0" xfId="2" applyFont="1" applyFill="1" applyAlignment="1">
      <alignment horizontal="center" vertical="center"/>
    </xf>
    <xf numFmtId="0" fontId="7" fillId="3" borderId="0" xfId="0" applyFont="1" applyFill="1" applyAlignment="1">
      <alignment horizontal="center" vertical="center"/>
    </xf>
    <xf numFmtId="0" fontId="7" fillId="12" borderId="0" xfId="0" applyFont="1" applyFill="1" applyAlignment="1">
      <alignment horizontal="center" vertical="center"/>
    </xf>
    <xf numFmtId="0" fontId="7" fillId="18" borderId="0" xfId="0" applyFont="1" applyFill="1" applyAlignment="1">
      <alignment horizontal="center" vertical="center"/>
    </xf>
    <xf numFmtId="9" fontId="0" fillId="3" borderId="0" xfId="0" applyNumberFormat="1" applyFill="1" applyAlignment="1">
      <alignment vertical="center"/>
    </xf>
    <xf numFmtId="9" fontId="0" fillId="12" borderId="0" xfId="0" applyNumberFormat="1" applyFill="1" applyAlignment="1">
      <alignment horizontal="center" vertical="center"/>
    </xf>
    <xf numFmtId="9" fontId="0" fillId="18" borderId="0" xfId="0" applyNumberFormat="1" applyFill="1" applyAlignment="1">
      <alignment horizontal="center" vertical="center"/>
    </xf>
    <xf numFmtId="9" fontId="0" fillId="3" borderId="0" xfId="0" applyNumberFormat="1" applyFill="1" applyAlignment="1">
      <alignment horizontal="center" vertical="center"/>
    </xf>
    <xf numFmtId="0" fontId="23" fillId="0" borderId="0" xfId="0" applyFont="1"/>
    <xf numFmtId="0" fontId="117" fillId="0" borderId="0" xfId="0" applyFont="1" applyAlignment="1">
      <alignment horizontal="center" vertical="center"/>
    </xf>
    <xf numFmtId="0" fontId="117" fillId="0" borderId="0" xfId="0" applyFont="1" applyAlignment="1">
      <alignment horizontal="center" vertical="center" textRotation="90"/>
    </xf>
    <xf numFmtId="0" fontId="19" fillId="71" borderId="0" xfId="0" applyFont="1" applyFill="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0" fillId="0" borderId="0" xfId="0" applyAlignment="1">
      <alignment horizontal="left" vertical="top"/>
    </xf>
    <xf numFmtId="0" fontId="84" fillId="0" borderId="0" xfId="0" applyFont="1" applyAlignment="1">
      <alignment vertical="center"/>
    </xf>
    <xf numFmtId="0" fontId="3" fillId="0" borderId="0" xfId="0" applyFont="1" applyAlignment="1">
      <alignment vertical="top"/>
    </xf>
    <xf numFmtId="0" fontId="3" fillId="0" borderId="0" xfId="0" applyFont="1" applyAlignment="1">
      <alignment vertical="top" wrapText="1"/>
    </xf>
    <xf numFmtId="0" fontId="3" fillId="0" borderId="26" xfId="0" applyFont="1" applyBorder="1" applyAlignment="1">
      <alignment vertical="center" wrapText="1"/>
    </xf>
    <xf numFmtId="0" fontId="7" fillId="27" borderId="0" xfId="0" applyFont="1" applyFill="1" applyAlignment="1">
      <alignment horizontal="center"/>
    </xf>
    <xf numFmtId="0" fontId="0" fillId="27" borderId="0" xfId="0" applyFill="1" applyAlignment="1">
      <alignment horizontal="center" wrapText="1"/>
    </xf>
    <xf numFmtId="0" fontId="0" fillId="27" borderId="10" xfId="0" applyFill="1" applyBorder="1" applyAlignment="1">
      <alignment horizontal="center"/>
    </xf>
    <xf numFmtId="1" fontId="0" fillId="18" borderId="0" xfId="0" applyNumberFormat="1" applyFill="1" applyAlignment="1">
      <alignment vertical="center"/>
    </xf>
    <xf numFmtId="1" fontId="0" fillId="12" borderId="0" xfId="0" applyNumberFormat="1" applyFill="1" applyAlignment="1">
      <alignment vertical="center"/>
    </xf>
    <xf numFmtId="9" fontId="37" fillId="0" borderId="0" xfId="2" applyFont="1" applyBorder="1"/>
    <xf numFmtId="0" fontId="37" fillId="0" borderId="0" xfId="0" applyFont="1" applyAlignment="1">
      <alignment horizontal="left" vertical="center"/>
    </xf>
    <xf numFmtId="0" fontId="82" fillId="0" borderId="0" xfId="0" applyFont="1" applyAlignment="1">
      <alignment vertical="center"/>
    </xf>
    <xf numFmtId="0" fontId="82" fillId="0" borderId="0" xfId="0" applyFont="1" applyAlignment="1">
      <alignment horizontal="center" vertical="center"/>
    </xf>
    <xf numFmtId="0" fontId="0" fillId="0" borderId="84" xfId="0" applyBorder="1" applyAlignment="1">
      <alignment horizontal="center"/>
    </xf>
    <xf numFmtId="1" fontId="0" fillId="0" borderId="85" xfId="0" applyNumberFormat="1" applyBorder="1" applyAlignment="1">
      <alignment horizontal="center" wrapText="1"/>
    </xf>
    <xf numFmtId="0" fontId="0" fillId="0" borderId="85" xfId="0" applyBorder="1" applyAlignment="1">
      <alignment horizontal="center"/>
    </xf>
    <xf numFmtId="1" fontId="15" fillId="0" borderId="0" xfId="0" applyNumberFormat="1" applyFont="1" applyAlignment="1">
      <alignment horizontal="center" vertical="center"/>
    </xf>
    <xf numFmtId="0" fontId="26" fillId="0" borderId="0" xfId="0" applyFont="1" applyAlignment="1">
      <alignment horizontal="left"/>
    </xf>
    <xf numFmtId="0" fontId="55" fillId="24" borderId="9" xfId="0" applyFont="1" applyFill="1" applyBorder="1" applyAlignment="1">
      <alignment horizontal="center" vertical="center" wrapText="1"/>
    </xf>
    <xf numFmtId="167" fontId="22" fillId="0" borderId="0" xfId="1" applyNumberFormat="1" applyFont="1" applyFill="1" applyBorder="1" applyAlignment="1">
      <alignment horizontal="center" vertical="center"/>
    </xf>
    <xf numFmtId="0" fontId="2" fillId="3" borderId="9" xfId="0" applyFont="1" applyFill="1" applyBorder="1" applyAlignment="1">
      <alignment horizontal="center" vertical="center" wrapText="1"/>
    </xf>
    <xf numFmtId="0" fontId="0" fillId="0" borderId="9" xfId="0" applyBorder="1" applyAlignment="1">
      <alignment horizontal="center" vertical="center"/>
    </xf>
    <xf numFmtId="0" fontId="12" fillId="0" borderId="58" xfId="0" applyFont="1" applyBorder="1" applyAlignment="1">
      <alignment horizontal="center" vertical="center" wrapText="1"/>
    </xf>
    <xf numFmtId="0" fontId="0" fillId="17" borderId="22" xfId="0" applyFill="1" applyBorder="1" applyAlignment="1">
      <alignment horizontal="center" vertical="center" wrapText="1"/>
    </xf>
    <xf numFmtId="9" fontId="118" fillId="0" borderId="46" xfId="2" applyFont="1" applyFill="1" applyBorder="1" applyAlignment="1">
      <alignment horizontal="center" vertical="center"/>
    </xf>
    <xf numFmtId="9" fontId="118" fillId="0" borderId="47" xfId="2" applyFont="1" applyFill="1" applyBorder="1" applyAlignment="1">
      <alignment horizontal="center" vertical="center"/>
    </xf>
    <xf numFmtId="9" fontId="118" fillId="0" borderId="48" xfId="2" applyFont="1" applyFill="1" applyBorder="1" applyAlignment="1">
      <alignment horizontal="center" vertical="center" wrapText="1"/>
    </xf>
    <xf numFmtId="9" fontId="118" fillId="0" borderId="72" xfId="2" applyFont="1" applyFill="1" applyBorder="1" applyAlignment="1">
      <alignment horizontal="center" vertical="center"/>
    </xf>
    <xf numFmtId="9" fontId="118" fillId="0" borderId="42" xfId="2" applyFont="1" applyFill="1" applyBorder="1" applyAlignment="1">
      <alignment horizontal="center" vertical="center"/>
    </xf>
    <xf numFmtId="9" fontId="118" fillId="0" borderId="73" xfId="2" applyFont="1" applyFill="1" applyBorder="1" applyAlignment="1">
      <alignment horizontal="center" vertical="center" wrapText="1"/>
    </xf>
    <xf numFmtId="0" fontId="23" fillId="32" borderId="0" xfId="0" applyFont="1" applyFill="1" applyAlignment="1">
      <alignment horizontal="center" vertical="center" wrapText="1"/>
    </xf>
    <xf numFmtId="0" fontId="0" fillId="7" borderId="0" xfId="0" applyFill="1" applyAlignment="1">
      <alignment horizontal="center"/>
    </xf>
    <xf numFmtId="0" fontId="0" fillId="7" borderId="85" xfId="0" applyFill="1" applyBorder="1" applyAlignment="1">
      <alignment horizontal="center"/>
    </xf>
    <xf numFmtId="0" fontId="0" fillId="7" borderId="0" xfId="0" applyFill="1" applyAlignment="1">
      <alignment horizontal="center" vertical="center"/>
    </xf>
    <xf numFmtId="0" fontId="0" fillId="7" borderId="0" xfId="0" applyFill="1" applyAlignment="1" applyProtection="1">
      <alignment horizontal="center" vertical="center"/>
      <protection locked="0"/>
    </xf>
    <xf numFmtId="0" fontId="18" fillId="2" borderId="0" xfId="0" applyFont="1" applyFill="1" applyAlignment="1">
      <alignment horizontal="left"/>
    </xf>
    <xf numFmtId="0" fontId="24" fillId="2" borderId="0" xfId="0" applyFont="1" applyFill="1"/>
    <xf numFmtId="16" fontId="0" fillId="27" borderId="0" xfId="0" applyNumberFormat="1" applyFill="1" applyAlignment="1">
      <alignment horizontal="center"/>
    </xf>
    <xf numFmtId="0" fontId="24" fillId="2" borderId="0" xfId="0" applyFont="1" applyFill="1" applyAlignment="1">
      <alignment horizontal="left" vertical="center" wrapText="1"/>
    </xf>
    <xf numFmtId="0" fontId="18" fillId="2" borderId="0" xfId="0" applyFont="1" applyFill="1" applyAlignment="1">
      <alignment horizontal="left" vertical="center"/>
    </xf>
    <xf numFmtId="0" fontId="86" fillId="2" borderId="26" xfId="0" applyFont="1" applyFill="1" applyBorder="1" applyAlignment="1">
      <alignment horizontal="center" vertical="center"/>
    </xf>
    <xf numFmtId="0" fontId="24" fillId="2" borderId="0" xfId="0" applyFont="1" applyFill="1" applyAlignment="1">
      <alignment vertical="center" wrapText="1"/>
    </xf>
    <xf numFmtId="0" fontId="24" fillId="2" borderId="0" xfId="0" applyFont="1" applyFill="1" applyAlignment="1">
      <alignment horizontal="center" vertical="center" wrapText="1"/>
    </xf>
    <xf numFmtId="0" fontId="119" fillId="7" borderId="15" xfId="0" applyFont="1" applyFill="1" applyBorder="1" applyAlignment="1">
      <alignment horizontal="left" vertical="center" wrapText="1"/>
    </xf>
    <xf numFmtId="0" fontId="27" fillId="27" borderId="0" xfId="0" applyFont="1" applyFill="1" applyAlignment="1">
      <alignment horizontal="center" vertical="center"/>
    </xf>
    <xf numFmtId="0" fontId="6" fillId="27" borderId="0" xfId="0" applyFont="1" applyFill="1" applyAlignment="1">
      <alignment horizontal="center" vertical="center"/>
    </xf>
    <xf numFmtId="0" fontId="6" fillId="27" borderId="0" xfId="0" applyFont="1" applyFill="1" applyAlignment="1">
      <alignment horizontal="center" vertical="center" wrapText="1"/>
    </xf>
    <xf numFmtId="9" fontId="53" fillId="0" borderId="26" xfId="2" applyFont="1" applyFill="1" applyBorder="1" applyAlignment="1">
      <alignment horizontal="center" vertical="center" wrapText="1"/>
    </xf>
    <xf numFmtId="9" fontId="53" fillId="0" borderId="49" xfId="2" applyFont="1" applyFill="1" applyBorder="1" applyAlignment="1">
      <alignment horizontal="center" vertical="center" wrapText="1"/>
    </xf>
    <xf numFmtId="0" fontId="50" fillId="0" borderId="15" xfId="0" applyFont="1" applyBorder="1" applyAlignment="1">
      <alignment horizontal="left" vertical="center"/>
    </xf>
    <xf numFmtId="0" fontId="0" fillId="15" borderId="0" xfId="0" applyFill="1" applyAlignment="1">
      <alignment horizontal="center" vertical="center" wrapText="1"/>
    </xf>
    <xf numFmtId="0" fontId="19" fillId="15" borderId="0" xfId="0" applyFont="1" applyFill="1" applyAlignment="1">
      <alignment horizontal="left" vertical="center" wrapText="1"/>
    </xf>
    <xf numFmtId="0" fontId="23" fillId="15" borderId="0" xfId="0" applyFont="1" applyFill="1" applyAlignment="1">
      <alignment horizontal="center" vertical="center" wrapText="1"/>
    </xf>
    <xf numFmtId="0" fontId="29" fillId="15" borderId="0" xfId="0" applyFont="1" applyFill="1" applyAlignment="1">
      <alignment horizontal="center" vertical="center"/>
    </xf>
    <xf numFmtId="9" fontId="27" fillId="15" borderId="0" xfId="2" applyFont="1" applyFill="1" applyBorder="1" applyAlignment="1">
      <alignment horizontal="center" vertical="center"/>
    </xf>
    <xf numFmtId="9" fontId="27" fillId="15" borderId="0" xfId="2" applyFont="1" applyFill="1" applyBorder="1" applyAlignment="1">
      <alignment horizontal="center" vertical="center" textRotation="90"/>
    </xf>
    <xf numFmtId="0" fontId="27" fillId="15" borderId="0" xfId="0" applyFont="1" applyFill="1" applyAlignment="1">
      <alignment horizontal="left" vertical="center"/>
    </xf>
    <xf numFmtId="0" fontId="3" fillId="0" borderId="0" xfId="0" applyFont="1" applyAlignment="1">
      <alignment horizontal="center" vertical="center"/>
    </xf>
    <xf numFmtId="0" fontId="0" fillId="21" borderId="0" xfId="0" applyFill="1"/>
    <xf numFmtId="0" fontId="23" fillId="6" borderId="0" xfId="0" applyFont="1" applyFill="1" applyAlignment="1">
      <alignment horizontal="center" vertical="center" wrapText="1"/>
    </xf>
    <xf numFmtId="0" fontId="121" fillId="50" borderId="74" xfId="0" applyFont="1" applyFill="1" applyBorder="1" applyAlignment="1">
      <alignment horizontal="center" vertical="center" wrapText="1"/>
    </xf>
    <xf numFmtId="0" fontId="121" fillId="50" borderId="41" xfId="0" applyFont="1" applyFill="1" applyBorder="1" applyAlignment="1">
      <alignment horizontal="center" vertical="center" wrapText="1"/>
    </xf>
    <xf numFmtId="0" fontId="121" fillId="51" borderId="9" xfId="0" applyFont="1" applyFill="1" applyBorder="1" applyAlignment="1">
      <alignment vertical="center" wrapText="1"/>
    </xf>
    <xf numFmtId="0" fontId="121" fillId="51" borderId="9" xfId="0" applyFont="1" applyFill="1" applyBorder="1" applyAlignment="1">
      <alignment horizontal="center" vertical="center" wrapText="1"/>
    </xf>
    <xf numFmtId="0" fontId="0" fillId="21" borderId="0" xfId="0" applyFill="1" applyAlignment="1">
      <alignment horizontal="center"/>
    </xf>
    <xf numFmtId="0" fontId="0" fillId="0" borderId="84" xfId="0" applyBorder="1" applyAlignment="1">
      <alignment horizontal="center" vertical="center" wrapText="1"/>
    </xf>
    <xf numFmtId="0" fontId="0" fillId="0" borderId="9" xfId="0" applyBorder="1" applyAlignment="1">
      <alignment horizontal="center"/>
    </xf>
    <xf numFmtId="1" fontId="0" fillId="0" borderId="9" xfId="0" applyNumberFormat="1" applyBorder="1" applyAlignment="1">
      <alignment horizontal="center"/>
    </xf>
    <xf numFmtId="0" fontId="27" fillId="18" borderId="0" xfId="0" applyFont="1" applyFill="1" applyAlignment="1">
      <alignment textRotation="90"/>
    </xf>
    <xf numFmtId="0" fontId="27" fillId="72" borderId="0" xfId="0" applyFont="1" applyFill="1" applyAlignment="1">
      <alignment horizontal="center" textRotation="90"/>
    </xf>
    <xf numFmtId="0" fontId="27" fillId="18" borderId="0" xfId="0" applyFont="1" applyFill="1"/>
    <xf numFmtId="0" fontId="27" fillId="72" borderId="0" xfId="0" applyFont="1" applyFill="1" applyAlignment="1">
      <alignment horizontal="center"/>
    </xf>
    <xf numFmtId="0" fontId="27" fillId="7" borderId="0" xfId="0" applyFont="1" applyFill="1" applyAlignment="1">
      <alignment horizontal="center"/>
    </xf>
    <xf numFmtId="1" fontId="27" fillId="18" borderId="0" xfId="0" applyNumberFormat="1" applyFont="1" applyFill="1" applyAlignment="1">
      <alignment horizontal="center"/>
    </xf>
    <xf numFmtId="0" fontId="27" fillId="18" borderId="0" xfId="0" applyFont="1" applyFill="1" applyAlignment="1">
      <alignment horizontal="center"/>
    </xf>
    <xf numFmtId="1" fontId="0" fillId="0" borderId="86" xfId="0" applyNumberFormat="1" applyBorder="1" applyAlignment="1">
      <alignment horizontal="center"/>
    </xf>
    <xf numFmtId="0" fontId="0" fillId="0" borderId="19" xfId="0" applyBorder="1" applyAlignment="1">
      <alignment horizontal="center"/>
    </xf>
    <xf numFmtId="0" fontId="0" fillId="0" borderId="6" xfId="0" applyBorder="1" applyAlignment="1">
      <alignment horizontal="center"/>
    </xf>
    <xf numFmtId="1" fontId="0" fillId="0" borderId="20" xfId="0" applyNumberFormat="1" applyBorder="1" applyAlignment="1">
      <alignment horizontal="center"/>
    </xf>
    <xf numFmtId="1" fontId="0" fillId="0" borderId="14" xfId="0" applyNumberFormat="1" applyBorder="1" applyAlignment="1">
      <alignment horizontal="center"/>
    </xf>
    <xf numFmtId="0" fontId="0" fillId="7" borderId="0" xfId="0" applyFill="1" applyAlignment="1">
      <alignment wrapText="1"/>
    </xf>
    <xf numFmtId="0" fontId="0" fillId="68" borderId="19" xfId="0" applyFill="1" applyBorder="1" applyAlignment="1">
      <alignment horizontal="center" vertical="center"/>
    </xf>
    <xf numFmtId="0" fontId="0" fillId="68" borderId="6" xfId="0" applyFill="1" applyBorder="1" applyAlignment="1">
      <alignment horizontal="center" vertical="center"/>
    </xf>
    <xf numFmtId="0" fontId="23" fillId="0" borderId="64" xfId="0" applyFont="1" applyBorder="1" applyAlignment="1">
      <alignment vertical="center" wrapText="1"/>
    </xf>
    <xf numFmtId="0" fontId="23" fillId="0" borderId="0" xfId="0" applyFont="1" applyAlignment="1">
      <alignment vertical="top"/>
    </xf>
    <xf numFmtId="0" fontId="23" fillId="0" borderId="0" xfId="0" applyFont="1" applyAlignment="1">
      <alignment vertical="top" wrapText="1"/>
    </xf>
    <xf numFmtId="0" fontId="29" fillId="0" borderId="78" xfId="0" applyFont="1" applyBorder="1" applyAlignment="1">
      <alignment horizontal="left" vertical="center" wrapText="1"/>
    </xf>
    <xf numFmtId="0" fontId="23" fillId="0" borderId="0" xfId="0" applyFont="1" applyAlignment="1">
      <alignment vertical="center" wrapText="1"/>
    </xf>
    <xf numFmtId="0" fontId="29" fillId="0" borderId="0" xfId="0" applyFont="1" applyAlignment="1">
      <alignment horizontal="left" vertical="center" wrapText="1"/>
    </xf>
    <xf numFmtId="0" fontId="0" fillId="0" borderId="0" xfId="0" applyAlignment="1">
      <alignment horizontal="center" textRotation="90"/>
    </xf>
    <xf numFmtId="0" fontId="9" fillId="0" borderId="0" xfId="0" applyFont="1" applyAlignment="1">
      <alignment horizontal="center"/>
    </xf>
    <xf numFmtId="1" fontId="9" fillId="0" borderId="0" xfId="0" applyNumberFormat="1" applyFont="1" applyAlignment="1">
      <alignment horizontal="center" wrapText="1"/>
    </xf>
    <xf numFmtId="0" fontId="9" fillId="7" borderId="0" xfId="0" applyFont="1" applyFill="1" applyAlignment="1">
      <alignment horizontal="center"/>
    </xf>
    <xf numFmtId="1" fontId="122" fillId="0" borderId="0" xfId="0" applyNumberFormat="1" applyFont="1" applyAlignment="1">
      <alignment horizontal="center"/>
    </xf>
    <xf numFmtId="1" fontId="9" fillId="0" borderId="0" xfId="0" applyNumberFormat="1" applyFont="1" applyAlignment="1">
      <alignment horizontal="center"/>
    </xf>
    <xf numFmtId="0" fontId="122" fillId="0" borderId="0" xfId="0" applyFont="1" applyAlignment="1">
      <alignment horizontal="center"/>
    </xf>
    <xf numFmtId="0" fontId="0" fillId="7" borderId="0" xfId="0" applyFill="1" applyAlignment="1">
      <alignment vertical="top"/>
    </xf>
    <xf numFmtId="0" fontId="0" fillId="0" borderId="85" xfId="0" applyBorder="1" applyAlignment="1">
      <alignment horizontal="center" vertical="center"/>
    </xf>
    <xf numFmtId="1" fontId="4" fillId="0" borderId="86" xfId="0" applyNumberFormat="1" applyFont="1" applyBorder="1" applyAlignment="1">
      <alignment horizontal="center"/>
    </xf>
    <xf numFmtId="0" fontId="7" fillId="27" borderId="0" xfId="0" applyFont="1" applyFill="1" applyAlignment="1">
      <alignment horizontal="center" wrapText="1"/>
    </xf>
    <xf numFmtId="1" fontId="0" fillId="0" borderId="85" xfId="0" applyNumberFormat="1" applyBorder="1" applyAlignment="1">
      <alignment horizontal="center" vertical="center"/>
    </xf>
    <xf numFmtId="1" fontId="0" fillId="27" borderId="86" xfId="0" applyNumberFormat="1" applyFill="1" applyBorder="1" applyAlignment="1">
      <alignment horizontal="center" vertical="center"/>
    </xf>
    <xf numFmtId="16" fontId="0" fillId="0" borderId="0" xfId="0" applyNumberFormat="1" applyAlignment="1">
      <alignment horizontal="center" vertical="center"/>
    </xf>
    <xf numFmtId="0" fontId="0" fillId="0" borderId="88" xfId="0" applyBorder="1" applyAlignment="1">
      <alignment horizontal="center" vertical="center"/>
    </xf>
    <xf numFmtId="0" fontId="0" fillId="0" borderId="44" xfId="0" applyBorder="1" applyAlignment="1">
      <alignment horizontal="center" vertical="center"/>
    </xf>
    <xf numFmtId="1" fontId="4" fillId="0" borderId="0" xfId="0" applyNumberFormat="1" applyFont="1" applyAlignment="1">
      <alignment horizontal="center"/>
    </xf>
    <xf numFmtId="1" fontId="2" fillId="0" borderId="86" xfId="0" applyNumberFormat="1" applyFont="1" applyBorder="1" applyAlignment="1">
      <alignment horizontal="center"/>
    </xf>
    <xf numFmtId="0" fontId="0" fillId="0" borderId="19" xfId="0" applyBorder="1"/>
    <xf numFmtId="0" fontId="10" fillId="0" borderId="19" xfId="0" applyFont="1" applyBorder="1"/>
    <xf numFmtId="0" fontId="6" fillId="7" borderId="0" xfId="0" applyFont="1" applyFill="1"/>
    <xf numFmtId="1" fontId="0" fillId="0" borderId="0" xfId="0" applyNumberFormat="1" applyAlignment="1" applyProtection="1">
      <alignment horizontal="center" vertical="center"/>
      <protection locked="0"/>
    </xf>
    <xf numFmtId="0" fontId="76" fillId="0" borderId="0" xfId="0" applyFont="1" applyAlignment="1">
      <alignment horizontal="center"/>
    </xf>
    <xf numFmtId="1" fontId="76" fillId="0" borderId="0" xfId="0" applyNumberFormat="1" applyFont="1"/>
    <xf numFmtId="1" fontId="27" fillId="0" borderId="0" xfId="0" applyNumberFormat="1" applyFont="1"/>
    <xf numFmtId="1" fontId="27" fillId="0" borderId="0" xfId="0" applyNumberFormat="1" applyFont="1" applyAlignment="1">
      <alignment horizontal="center" vertical="center"/>
    </xf>
    <xf numFmtId="0" fontId="6" fillId="0" borderId="0" xfId="0" applyFont="1" applyAlignment="1">
      <alignment horizontal="right"/>
    </xf>
    <xf numFmtId="0" fontId="3" fillId="21" borderId="0" xfId="0" applyFont="1" applyFill="1" applyAlignment="1">
      <alignment horizontal="left" vertical="center" wrapText="1"/>
    </xf>
    <xf numFmtId="0" fontId="0" fillId="12" borderId="0" xfId="0" applyFill="1" applyAlignment="1">
      <alignment horizontal="center" vertical="center" wrapText="1"/>
    </xf>
    <xf numFmtId="0" fontId="3" fillId="0" borderId="26" xfId="0" applyFont="1" applyBorder="1" applyAlignment="1">
      <alignment wrapText="1"/>
    </xf>
    <xf numFmtId="0" fontId="3" fillId="0" borderId="26" xfId="0" applyFont="1" applyBorder="1"/>
    <xf numFmtId="0" fontId="0" fillId="0" borderId="0" xfId="0" applyAlignment="1">
      <alignment horizontal="left" textRotation="45"/>
    </xf>
    <xf numFmtId="0" fontId="123" fillId="0" borderId="0" xfId="0" applyFont="1" applyAlignment="1">
      <alignment horizontal="right"/>
    </xf>
    <xf numFmtId="0" fontId="0" fillId="0" borderId="0" xfId="0" applyAlignment="1">
      <alignment horizontal="center" textRotation="45"/>
    </xf>
    <xf numFmtId="0" fontId="35" fillId="0" borderId="0" xfId="0" applyFont="1"/>
    <xf numFmtId="0" fontId="3" fillId="10" borderId="0" xfId="0" applyFont="1" applyFill="1" applyAlignment="1">
      <alignment vertical="center"/>
    </xf>
    <xf numFmtId="0" fontId="83" fillId="10" borderId="0" xfId="0" applyFont="1" applyFill="1" applyAlignment="1">
      <alignment horizontal="left" vertical="center" wrapText="1"/>
    </xf>
    <xf numFmtId="0" fontId="8" fillId="0" borderId="0" xfId="0" applyFont="1" applyAlignment="1">
      <alignment horizontal="left"/>
    </xf>
    <xf numFmtId="0" fontId="0" fillId="66" borderId="0" xfId="0" applyFill="1" applyAlignment="1" applyProtection="1">
      <alignment horizontal="center" vertical="center"/>
      <protection locked="0"/>
    </xf>
    <xf numFmtId="0" fontId="0" fillId="15" borderId="0" xfId="0" applyFill="1" applyAlignment="1" applyProtection="1">
      <alignment horizontal="center" vertical="center"/>
      <protection locked="0"/>
    </xf>
    <xf numFmtId="0" fontId="18" fillId="16" borderId="0" xfId="0" applyFont="1" applyFill="1" applyAlignment="1">
      <alignment vertical="center"/>
    </xf>
    <xf numFmtId="0" fontId="0" fillId="36" borderId="0" xfId="2" applyNumberFormat="1" applyFont="1" applyFill="1" applyBorder="1" applyAlignment="1">
      <alignment horizontal="center" vertical="center" wrapText="1"/>
    </xf>
    <xf numFmtId="9" fontId="0" fillId="36" borderId="0" xfId="2" applyFont="1" applyFill="1" applyBorder="1" applyAlignment="1">
      <alignment horizontal="center" vertical="center" wrapText="1"/>
    </xf>
    <xf numFmtId="0" fontId="126" fillId="16" borderId="0" xfId="0" applyFont="1" applyFill="1" applyAlignment="1">
      <alignment horizontal="center" vertical="center"/>
    </xf>
    <xf numFmtId="0" fontId="18" fillId="16" borderId="53" xfId="0" applyFont="1" applyFill="1" applyBorder="1" applyAlignment="1">
      <alignment vertical="center"/>
    </xf>
    <xf numFmtId="0" fontId="18" fillId="16" borderId="54" xfId="0" applyFont="1" applyFill="1" applyBorder="1" applyAlignment="1">
      <alignment vertical="center"/>
    </xf>
    <xf numFmtId="0" fontId="18" fillId="16" borderId="54" xfId="0" applyFont="1" applyFill="1" applyBorder="1" applyAlignment="1">
      <alignment horizontal="center" vertical="center"/>
    </xf>
    <xf numFmtId="0" fontId="18" fillId="16" borderId="55" xfId="0" applyFont="1" applyFill="1" applyBorder="1" applyAlignment="1">
      <alignment horizontal="center" vertical="center"/>
    </xf>
    <xf numFmtId="0" fontId="7" fillId="16" borderId="36" xfId="0" applyFont="1" applyFill="1" applyBorder="1" applyAlignment="1">
      <alignment horizontal="center" wrapText="1"/>
    </xf>
    <xf numFmtId="0" fontId="7" fillId="16" borderId="56" xfId="0" applyFont="1" applyFill="1" applyBorder="1" applyAlignment="1">
      <alignment horizontal="center" wrapText="1"/>
    </xf>
    <xf numFmtId="0" fontId="126" fillId="16" borderId="36" xfId="0" applyFont="1" applyFill="1" applyBorder="1" applyAlignment="1">
      <alignment horizontal="center" vertical="center"/>
    </xf>
    <xf numFmtId="0" fontId="0" fillId="16" borderId="56" xfId="0" applyFill="1" applyBorder="1" applyAlignment="1" applyProtection="1">
      <alignment horizontal="center" vertical="center"/>
      <protection locked="0"/>
    </xf>
    <xf numFmtId="0" fontId="0" fillId="16" borderId="87" xfId="0" applyFill="1" applyBorder="1" applyAlignment="1">
      <alignment horizontal="center" vertical="center"/>
    </xf>
    <xf numFmtId="0" fontId="0" fillId="16" borderId="89" xfId="0" applyFill="1" applyBorder="1" applyAlignment="1">
      <alignment horizontal="center" vertical="center"/>
    </xf>
    <xf numFmtId="0" fontId="0" fillId="66" borderId="64" xfId="0" applyFill="1" applyBorder="1" applyAlignment="1">
      <alignment horizontal="center" vertical="center"/>
    </xf>
    <xf numFmtId="0" fontId="0" fillId="66" borderId="56" xfId="0" applyFill="1" applyBorder="1" applyAlignment="1" applyProtection="1">
      <alignment horizontal="center" vertical="center"/>
      <protection locked="0"/>
    </xf>
    <xf numFmtId="0" fontId="0" fillId="15" borderId="64" xfId="0" applyFill="1" applyBorder="1" applyAlignment="1">
      <alignment horizontal="center" vertical="center"/>
    </xf>
    <xf numFmtId="0" fontId="0" fillId="15" borderId="56" xfId="0" applyFill="1" applyBorder="1" applyAlignment="1" applyProtection="1">
      <alignment horizontal="center" vertical="center"/>
      <protection locked="0"/>
    </xf>
    <xf numFmtId="0" fontId="0" fillId="36" borderId="36" xfId="0" applyFill="1" applyBorder="1" applyAlignment="1">
      <alignment horizontal="center" vertical="center"/>
    </xf>
    <xf numFmtId="9" fontId="0" fillId="36" borderId="56" xfId="2" applyFont="1" applyFill="1" applyBorder="1" applyAlignment="1">
      <alignment horizontal="center" vertical="center" wrapText="1"/>
    </xf>
    <xf numFmtId="0" fontId="7" fillId="16" borderId="56" xfId="0" applyFont="1" applyFill="1" applyBorder="1" applyAlignment="1">
      <alignment horizontal="center" vertical="center" wrapText="1"/>
    </xf>
    <xf numFmtId="9" fontId="17" fillId="10" borderId="1" xfId="2" applyFont="1" applyFill="1" applyBorder="1" applyAlignment="1">
      <alignment horizontal="center" vertical="center" wrapText="1"/>
    </xf>
    <xf numFmtId="0" fontId="17" fillId="10" borderId="1" xfId="0" applyFont="1" applyFill="1" applyBorder="1" applyAlignment="1">
      <alignment horizontal="center" vertical="center" wrapText="1"/>
    </xf>
    <xf numFmtId="0" fontId="0" fillId="10" borderId="63" xfId="0" applyFill="1" applyBorder="1"/>
    <xf numFmtId="0" fontId="18" fillId="16" borderId="53" xfId="0" applyFont="1" applyFill="1" applyBorder="1" applyAlignment="1">
      <alignment horizontal="center" vertical="center"/>
    </xf>
    <xf numFmtId="0" fontId="0" fillId="16" borderId="90" xfId="0" applyFill="1" applyBorder="1" applyAlignment="1" applyProtection="1">
      <alignment horizontal="center" vertical="center"/>
      <protection locked="0"/>
    </xf>
    <xf numFmtId="0" fontId="0" fillId="16" borderId="91" xfId="0" applyFill="1" applyBorder="1" applyAlignment="1" applyProtection="1">
      <alignment horizontal="center" vertical="center"/>
      <protection locked="0"/>
    </xf>
    <xf numFmtId="0" fontId="0" fillId="36" borderId="56" xfId="2" applyNumberFormat="1" applyFont="1" applyFill="1" applyBorder="1" applyAlignment="1">
      <alignment horizontal="center" vertical="center" wrapText="1"/>
    </xf>
    <xf numFmtId="0" fontId="113" fillId="0" borderId="19" xfId="0" applyFont="1" applyBorder="1" applyAlignment="1">
      <alignment horizontal="center" vertical="center" wrapText="1"/>
    </xf>
    <xf numFmtId="0" fontId="0" fillId="10" borderId="64" xfId="0" applyFill="1" applyBorder="1" applyAlignment="1">
      <alignment vertical="center"/>
    </xf>
    <xf numFmtId="0" fontId="14" fillId="10" borderId="78" xfId="0" applyFont="1" applyFill="1" applyBorder="1" applyAlignment="1">
      <alignment horizontal="left" vertical="center" wrapText="1"/>
    </xf>
    <xf numFmtId="0" fontId="0" fillId="10" borderId="78" xfId="0" applyFill="1" applyBorder="1" applyAlignment="1">
      <alignment horizontal="left" vertical="center" wrapText="1"/>
    </xf>
    <xf numFmtId="0" fontId="126" fillId="10" borderId="64" xfId="0" applyFont="1" applyFill="1" applyBorder="1" applyAlignment="1">
      <alignment horizontal="center" vertical="center"/>
    </xf>
    <xf numFmtId="0" fontId="126" fillId="10" borderId="78" xfId="0" applyFont="1" applyFill="1" applyBorder="1" applyAlignment="1">
      <alignment horizontal="center" vertical="center"/>
    </xf>
    <xf numFmtId="0" fontId="10" fillId="0" borderId="0" xfId="0" applyFont="1" applyAlignment="1">
      <alignment horizontal="left"/>
    </xf>
    <xf numFmtId="0" fontId="127" fillId="16" borderId="36" xfId="0" applyFont="1" applyFill="1" applyBorder="1" applyAlignment="1">
      <alignment horizontal="center" vertical="center"/>
    </xf>
    <xf numFmtId="0" fontId="127" fillId="16" borderId="0" xfId="0" applyFont="1" applyFill="1" applyAlignment="1">
      <alignment horizontal="center" vertical="center"/>
    </xf>
    <xf numFmtId="0" fontId="128" fillId="13" borderId="20" xfId="0" applyFont="1" applyFill="1" applyBorder="1" applyAlignment="1">
      <alignment horizontal="center"/>
    </xf>
    <xf numFmtId="0" fontId="128" fillId="13" borderId="14" xfId="0" applyFont="1" applyFill="1" applyBorder="1" applyAlignment="1">
      <alignment horizontal="center"/>
    </xf>
    <xf numFmtId="0" fontId="0" fillId="10" borderId="59" xfId="0" applyFill="1" applyBorder="1" applyAlignment="1" applyProtection="1">
      <alignment horizontal="center" vertical="center"/>
      <protection locked="0"/>
    </xf>
    <xf numFmtId="0" fontId="7" fillId="0" borderId="56" xfId="0" applyFont="1" applyBorder="1" applyAlignment="1">
      <alignment horizontal="center" vertical="center" wrapText="1"/>
    </xf>
    <xf numFmtId="0" fontId="126" fillId="0" borderId="0" xfId="0" applyFont="1" applyAlignment="1">
      <alignment horizontal="center" vertical="center"/>
    </xf>
    <xf numFmtId="9" fontId="17" fillId="0" borderId="0" xfId="2" applyFont="1" applyFill="1" applyBorder="1" applyAlignment="1">
      <alignment horizontal="center" vertical="center" wrapText="1"/>
    </xf>
    <xf numFmtId="0" fontId="17" fillId="0" borderId="0" xfId="0" applyFont="1" applyAlignment="1">
      <alignment horizontal="center" vertical="center" wrapText="1"/>
    </xf>
    <xf numFmtId="0" fontId="0" fillId="10" borderId="89" xfId="0" applyFill="1" applyBorder="1" applyAlignment="1">
      <alignment horizontal="center" vertical="center"/>
    </xf>
    <xf numFmtId="0" fontId="0" fillId="10" borderId="11" xfId="0" applyFill="1" applyBorder="1" applyAlignment="1">
      <alignment horizontal="center" vertical="center"/>
    </xf>
    <xf numFmtId="0" fontId="0" fillId="10" borderId="91" xfId="0" applyFill="1" applyBorder="1" applyAlignment="1" applyProtection="1">
      <alignment horizontal="center" vertical="center"/>
      <protection locked="0"/>
    </xf>
    <xf numFmtId="0" fontId="7" fillId="6" borderId="0" xfId="0" applyFont="1" applyFill="1" applyAlignment="1">
      <alignment horizontal="center"/>
    </xf>
    <xf numFmtId="0" fontId="2" fillId="6" borderId="0" xfId="0" applyFont="1" applyFill="1" applyAlignment="1">
      <alignment horizontal="right"/>
    </xf>
    <xf numFmtId="0" fontId="0" fillId="6" borderId="0" xfId="0" applyFill="1" applyAlignment="1">
      <alignment horizontal="right" vertical="center"/>
    </xf>
    <xf numFmtId="0" fontId="116" fillId="0" borderId="0" xfId="0" applyFont="1"/>
    <xf numFmtId="0" fontId="113" fillId="0" borderId="0" xfId="0" applyFont="1" applyAlignment="1">
      <alignment horizontal="center" vertical="center" wrapText="1"/>
    </xf>
    <xf numFmtId="0" fontId="0" fillId="0" borderId="0" xfId="2" applyNumberFormat="1" applyFont="1" applyFill="1" applyAlignment="1">
      <alignment horizontal="center" vertical="center" wrapText="1"/>
    </xf>
    <xf numFmtId="0" fontId="125" fillId="0" borderId="0" xfId="0" applyFont="1" applyAlignment="1">
      <alignment horizontal="center" vertical="center" wrapText="1"/>
    </xf>
    <xf numFmtId="0" fontId="0" fillId="0" borderId="0" xfId="2" applyNumberFormat="1" applyFont="1" applyFill="1" applyBorder="1" applyAlignment="1">
      <alignment horizontal="center" vertical="center" wrapText="1"/>
    </xf>
    <xf numFmtId="0" fontId="129" fillId="0" borderId="0" xfId="0" applyFont="1"/>
    <xf numFmtId="0" fontId="10" fillId="0" borderId="0" xfId="0" applyFont="1" applyAlignment="1">
      <alignment horizontal="right"/>
    </xf>
    <xf numFmtId="0" fontId="10" fillId="0" borderId="0" xfId="0" applyFont="1" applyAlignment="1">
      <alignment horizontal="center"/>
    </xf>
    <xf numFmtId="0" fontId="0" fillId="14" borderId="0" xfId="0" applyFill="1" applyAlignment="1">
      <alignment horizontal="center"/>
    </xf>
    <xf numFmtId="0" fontId="32" fillId="24" borderId="54" xfId="0" applyFont="1" applyFill="1" applyBorder="1" applyAlignment="1">
      <alignment horizontal="center" vertical="center" wrapText="1"/>
    </xf>
    <xf numFmtId="0" fontId="50" fillId="41" borderId="54" xfId="0" applyFont="1" applyFill="1" applyBorder="1" applyAlignment="1">
      <alignment horizontal="left" vertical="center" wrapText="1"/>
    </xf>
    <xf numFmtId="1" fontId="0" fillId="7" borderId="0" xfId="0" applyNumberFormat="1" applyFill="1" applyAlignment="1">
      <alignment horizontal="center" vertical="center"/>
    </xf>
    <xf numFmtId="1" fontId="0" fillId="7" borderId="0" xfId="0" applyNumberFormat="1" applyFill="1" applyAlignment="1">
      <alignment vertical="center" wrapText="1"/>
    </xf>
    <xf numFmtId="0" fontId="5" fillId="0" borderId="0" xfId="0" applyFont="1" applyAlignment="1">
      <alignment horizontal="left" vertical="center"/>
    </xf>
    <xf numFmtId="1" fontId="6" fillId="0" borderId="0" xfId="0" applyNumberFormat="1" applyFont="1" applyAlignment="1">
      <alignment vertical="center" wrapText="1"/>
    </xf>
    <xf numFmtId="0" fontId="0" fillId="9" borderId="0" xfId="0" applyFill="1" applyAlignment="1">
      <alignment horizontal="center" vertical="center"/>
    </xf>
    <xf numFmtId="0" fontId="0" fillId="16" borderId="53" xfId="0" applyFill="1" applyBorder="1" applyAlignment="1">
      <alignment horizontal="left" vertical="center"/>
    </xf>
    <xf numFmtId="0" fontId="3" fillId="21" borderId="22" xfId="0" quotePrefix="1" applyFont="1" applyFill="1" applyBorder="1" applyAlignment="1">
      <alignment horizontal="left" vertical="center" wrapText="1"/>
    </xf>
    <xf numFmtId="0" fontId="6" fillId="0" borderId="0" xfId="0" applyFont="1" applyAlignment="1">
      <alignment horizontal="center" vertical="center" wrapText="1"/>
    </xf>
    <xf numFmtId="0" fontId="12" fillId="24" borderId="0" xfId="0" applyFont="1" applyFill="1" applyAlignment="1">
      <alignment horizontal="center" vertical="center" wrapText="1"/>
    </xf>
    <xf numFmtId="0" fontId="49" fillId="23" borderId="55" xfId="0" applyFont="1" applyFill="1" applyBorder="1" applyAlignment="1">
      <alignment horizontal="left" vertical="center" wrapText="1"/>
    </xf>
    <xf numFmtId="0" fontId="27" fillId="5" borderId="1" xfId="0" applyFont="1" applyFill="1" applyBorder="1" applyAlignment="1">
      <alignment horizontal="left" vertical="center" wrapText="1"/>
    </xf>
    <xf numFmtId="0" fontId="49" fillId="23" borderId="63" xfId="0" applyFont="1" applyFill="1" applyBorder="1" applyAlignment="1">
      <alignment horizontal="left" vertical="center" wrapText="1"/>
    </xf>
    <xf numFmtId="0" fontId="27" fillId="14" borderId="0" xfId="0" applyFont="1" applyFill="1" applyAlignment="1">
      <alignment horizontal="left" vertical="center" wrapText="1"/>
    </xf>
    <xf numFmtId="0" fontId="27" fillId="32" borderId="0" xfId="0" applyFont="1" applyFill="1" applyAlignment="1">
      <alignment horizontal="left" vertical="center" wrapText="1"/>
    </xf>
    <xf numFmtId="0" fontId="12" fillId="40" borderId="0" xfId="0" applyFont="1" applyFill="1" applyAlignment="1">
      <alignment horizontal="center" vertical="center" wrapText="1"/>
    </xf>
    <xf numFmtId="0" fontId="12" fillId="40" borderId="1" xfId="0" applyFont="1" applyFill="1" applyBorder="1" applyAlignment="1">
      <alignment horizontal="center" vertical="center" wrapText="1"/>
    </xf>
    <xf numFmtId="0" fontId="0" fillId="32" borderId="1" xfId="0" applyFill="1" applyBorder="1" applyAlignment="1">
      <alignment vertical="center" wrapText="1"/>
    </xf>
    <xf numFmtId="0" fontId="12" fillId="50" borderId="54" xfId="0" applyFont="1" applyFill="1" applyBorder="1" applyAlignment="1">
      <alignment horizontal="center" vertical="center" wrapText="1"/>
    </xf>
    <xf numFmtId="0" fontId="49" fillId="46" borderId="55" xfId="0" applyFont="1" applyFill="1" applyBorder="1" applyAlignment="1">
      <alignment horizontal="left" vertical="center" wrapText="1"/>
    </xf>
    <xf numFmtId="0" fontId="27" fillId="32" borderId="56" xfId="0" applyFont="1" applyFill="1" applyBorder="1" applyAlignment="1">
      <alignment horizontal="left" vertical="center" wrapText="1"/>
    </xf>
    <xf numFmtId="0" fontId="0" fillId="35" borderId="27" xfId="0" quotePrefix="1" applyFill="1" applyBorder="1" applyAlignment="1">
      <alignment horizontal="left" vertical="top" wrapText="1"/>
    </xf>
    <xf numFmtId="0" fontId="12" fillId="6" borderId="27" xfId="0" quotePrefix="1" applyFont="1" applyFill="1" applyBorder="1" applyAlignment="1">
      <alignment vertical="center" wrapText="1"/>
    </xf>
    <xf numFmtId="0" fontId="55" fillId="74" borderId="0" xfId="0" applyFont="1" applyFill="1" applyAlignment="1">
      <alignment horizontal="left" vertical="center" wrapText="1"/>
    </xf>
    <xf numFmtId="0" fontId="0" fillId="13" borderId="0" xfId="0" applyFill="1" applyAlignment="1">
      <alignment horizontal="center" vertical="center" wrapText="1"/>
    </xf>
    <xf numFmtId="0" fontId="62" fillId="74" borderId="0" xfId="0" applyFont="1" applyFill="1" applyAlignment="1">
      <alignment horizontal="left" vertical="center"/>
    </xf>
    <xf numFmtId="0" fontId="62" fillId="74" borderId="0" xfId="0" applyFont="1" applyFill="1" applyAlignment="1">
      <alignment vertical="center"/>
    </xf>
    <xf numFmtId="0" fontId="32" fillId="74" borderId="0" xfId="0" applyFont="1" applyFill="1" applyAlignment="1">
      <alignment wrapText="1"/>
    </xf>
    <xf numFmtId="0" fontId="0" fillId="9" borderId="29" xfId="0" applyFill="1" applyBorder="1" applyAlignment="1">
      <alignment horizontal="center" vertical="center" wrapText="1"/>
    </xf>
    <xf numFmtId="0" fontId="32" fillId="30" borderId="27" xfId="0" applyFont="1" applyFill="1" applyBorder="1" applyAlignment="1">
      <alignment vertical="center" wrapText="1"/>
    </xf>
    <xf numFmtId="0" fontId="0" fillId="9" borderId="0" xfId="0" applyFill="1" applyAlignment="1">
      <alignment horizontal="left" vertical="top" wrapText="1"/>
    </xf>
    <xf numFmtId="1" fontId="50" fillId="9" borderId="0" xfId="0" applyNumberFormat="1" applyFont="1" applyFill="1" applyAlignment="1">
      <alignment horizontal="center" vertical="center" wrapText="1"/>
    </xf>
    <xf numFmtId="0" fontId="0" fillId="9" borderId="26" xfId="0" applyFill="1" applyBorder="1"/>
    <xf numFmtId="0" fontId="86" fillId="9" borderId="26" xfId="0" applyFont="1" applyFill="1" applyBorder="1" applyAlignment="1">
      <alignment horizontal="center" vertical="center"/>
    </xf>
    <xf numFmtId="0" fontId="0" fillId="9" borderId="29" xfId="0" applyFill="1" applyBorder="1" applyAlignment="1">
      <alignment horizontal="left" vertical="center" wrapText="1"/>
    </xf>
    <xf numFmtId="0" fontId="12" fillId="9" borderId="27" xfId="0" quotePrefix="1" applyFont="1" applyFill="1" applyBorder="1" applyAlignment="1">
      <alignment vertical="center" wrapText="1"/>
    </xf>
    <xf numFmtId="0" fontId="27" fillId="9" borderId="0" xfId="0" applyFont="1" applyFill="1" applyAlignment="1">
      <alignment horizontal="left" vertical="top" wrapText="1"/>
    </xf>
    <xf numFmtId="0" fontId="50" fillId="30" borderId="0" xfId="0" applyFont="1" applyFill="1" applyAlignment="1">
      <alignment horizontal="center" vertical="center" wrapText="1"/>
    </xf>
    <xf numFmtId="0" fontId="137" fillId="0" borderId="0" xfId="0" applyFont="1"/>
    <xf numFmtId="0" fontId="0" fillId="0" borderId="9" xfId="0" applyBorder="1" applyAlignment="1">
      <alignment horizontal="right" vertical="center"/>
    </xf>
    <xf numFmtId="0" fontId="49" fillId="40" borderId="0" xfId="0" applyFont="1" applyFill="1" applyAlignment="1">
      <alignment horizontal="left" vertical="center" wrapText="1"/>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0" borderId="0" xfId="0" quotePrefix="1" applyAlignment="1">
      <alignment horizontal="center" vertical="center"/>
    </xf>
    <xf numFmtId="0" fontId="79" fillId="0" borderId="0" xfId="0" applyFont="1" applyAlignment="1">
      <alignment horizontal="left" vertical="center" wrapText="1"/>
    </xf>
    <xf numFmtId="0" fontId="23" fillId="0" borderId="0" xfId="0" applyFont="1" applyAlignment="1">
      <alignment horizontal="center" vertical="top"/>
    </xf>
    <xf numFmtId="0" fontId="6" fillId="0" borderId="0" xfId="0" applyFont="1" applyAlignment="1">
      <alignment horizontal="left" vertical="center" wrapText="1"/>
    </xf>
    <xf numFmtId="0" fontId="32" fillId="50" borderId="1" xfId="0" applyFont="1" applyFill="1" applyBorder="1" applyAlignment="1">
      <alignment horizontal="center" vertical="center" wrapText="1"/>
    </xf>
    <xf numFmtId="0" fontId="49" fillId="40" borderId="54" xfId="0" applyFont="1" applyFill="1" applyBorder="1" applyAlignment="1">
      <alignment horizontal="left" vertical="center" wrapText="1"/>
    </xf>
    <xf numFmtId="0" fontId="50" fillId="0" borderId="56" xfId="0" applyFont="1" applyBorder="1" applyAlignment="1">
      <alignment horizontal="left" vertical="center" wrapText="1"/>
    </xf>
    <xf numFmtId="0" fontId="0" fillId="6" borderId="0" xfId="0" applyFill="1" applyAlignment="1">
      <alignment horizontal="left" vertical="top" wrapText="1"/>
    </xf>
    <xf numFmtId="0" fontId="0" fillId="50" borderId="1" xfId="0" applyFill="1" applyBorder="1" applyAlignment="1">
      <alignment horizontal="center" vertical="center" wrapText="1"/>
    </xf>
    <xf numFmtId="0" fontId="19" fillId="24" borderId="14" xfId="0" applyFont="1" applyFill="1" applyBorder="1" applyAlignment="1">
      <alignment horizontal="center" vertical="center" wrapText="1"/>
    </xf>
    <xf numFmtId="0" fontId="19" fillId="24" borderId="0" xfId="0" applyFont="1" applyFill="1" applyAlignment="1">
      <alignment horizontal="left" vertical="center" wrapText="1"/>
    </xf>
    <xf numFmtId="0" fontId="19" fillId="25" borderId="14" xfId="0" applyFont="1" applyFill="1" applyBorder="1" applyAlignment="1">
      <alignment horizontal="center" vertical="center" wrapText="1"/>
    </xf>
    <xf numFmtId="0" fontId="19" fillId="25" borderId="0" xfId="0" applyFont="1" applyFill="1" applyAlignment="1">
      <alignment horizontal="left" vertical="center" wrapText="1"/>
    </xf>
    <xf numFmtId="0" fontId="19" fillId="24" borderId="0" xfId="0" applyFont="1" applyFill="1" applyAlignment="1">
      <alignment vertical="center" wrapText="1"/>
    </xf>
    <xf numFmtId="0" fontId="19" fillId="25" borderId="0" xfId="0" applyFont="1" applyFill="1" applyAlignment="1">
      <alignment vertical="center" wrapText="1"/>
    </xf>
    <xf numFmtId="0" fontId="19" fillId="25" borderId="8" xfId="0" applyFont="1" applyFill="1" applyBorder="1" applyAlignment="1">
      <alignment horizontal="center" vertical="center" wrapText="1"/>
    </xf>
    <xf numFmtId="0" fontId="19" fillId="24" borderId="8" xfId="0" applyFont="1" applyFill="1" applyBorder="1" applyAlignment="1">
      <alignment horizontal="center" vertical="center" wrapText="1"/>
    </xf>
    <xf numFmtId="0" fontId="19" fillId="24" borderId="0" xfId="0" applyFont="1" applyFill="1" applyAlignment="1">
      <alignment horizontal="center" vertical="center" wrapText="1"/>
    </xf>
    <xf numFmtId="0" fontId="19" fillId="25" borderId="0" xfId="0" applyFont="1" applyFill="1" applyAlignment="1">
      <alignment horizontal="center" vertical="center" wrapText="1"/>
    </xf>
    <xf numFmtId="0" fontId="19" fillId="0" borderId="0" xfId="0" applyFont="1" applyAlignment="1">
      <alignment horizontal="center" vertical="center" wrapText="1"/>
    </xf>
    <xf numFmtId="0" fontId="19" fillId="0" borderId="0" xfId="0" applyFont="1" applyAlignment="1">
      <alignment vertical="center" wrapText="1"/>
    </xf>
    <xf numFmtId="0" fontId="38" fillId="0" borderId="0" xfId="0" applyFont="1"/>
    <xf numFmtId="0" fontId="8" fillId="12" borderId="7" xfId="0" applyFont="1" applyFill="1" applyBorder="1" applyAlignment="1">
      <alignment horizontal="center"/>
    </xf>
    <xf numFmtId="1" fontId="0" fillId="3" borderId="0" xfId="0" applyNumberFormat="1" applyFill="1" applyAlignment="1">
      <alignment horizontal="center" vertical="center"/>
    </xf>
    <xf numFmtId="0" fontId="0" fillId="3" borderId="9" xfId="0" applyFill="1" applyBorder="1" applyAlignment="1">
      <alignment horizontal="center" vertical="center"/>
    </xf>
    <xf numFmtId="0" fontId="138" fillId="0" borderId="0" xfId="0" applyFont="1" applyAlignment="1">
      <alignment horizontal="left"/>
    </xf>
    <xf numFmtId="0" fontId="138" fillId="0" borderId="0" xfId="0" applyFont="1" applyAlignment="1">
      <alignment horizontal="left" vertical="center"/>
    </xf>
    <xf numFmtId="0" fontId="2" fillId="12" borderId="9" xfId="0" applyFont="1" applyFill="1" applyBorder="1" applyAlignment="1">
      <alignment horizontal="center" vertical="center"/>
    </xf>
    <xf numFmtId="0" fontId="2" fillId="0" borderId="0" xfId="0" applyFont="1" applyAlignment="1">
      <alignment horizontal="right"/>
    </xf>
    <xf numFmtId="1" fontId="2" fillId="12" borderId="9" xfId="0" applyNumberFormat="1" applyFont="1" applyFill="1" applyBorder="1" applyAlignment="1">
      <alignment horizontal="center" vertical="center"/>
    </xf>
    <xf numFmtId="165" fontId="2" fillId="12" borderId="8" xfId="0" applyNumberFormat="1" applyFont="1" applyFill="1" applyBorder="1" applyAlignment="1">
      <alignment horizontal="center" vertical="center"/>
    </xf>
    <xf numFmtId="1" fontId="0" fillId="0" borderId="2" xfId="0" applyNumberFormat="1" applyBorder="1" applyAlignment="1">
      <alignment horizontal="center" vertical="center"/>
    </xf>
    <xf numFmtId="0" fontId="0" fillId="15" borderId="21" xfId="0" applyFill="1" applyBorder="1" applyAlignment="1">
      <alignment horizontal="center" vertical="center"/>
    </xf>
    <xf numFmtId="0" fontId="0" fillId="15" borderId="44" xfId="0" applyFill="1" applyBorder="1" applyAlignment="1" applyProtection="1">
      <alignment horizontal="center" vertical="center"/>
      <protection locked="0"/>
    </xf>
    <xf numFmtId="0" fontId="0" fillId="15" borderId="87" xfId="0" applyFill="1" applyBorder="1" applyAlignment="1">
      <alignment horizontal="center" vertical="center"/>
    </xf>
    <xf numFmtId="1" fontId="0" fillId="15" borderId="21" xfId="0" applyNumberFormat="1" applyFill="1" applyBorder="1" applyAlignment="1">
      <alignment horizontal="center" vertical="center"/>
    </xf>
    <xf numFmtId="0" fontId="3" fillId="0" borderId="0" xfId="0" applyFont="1" applyAlignment="1">
      <alignment horizontal="center" vertical="center" wrapText="1"/>
    </xf>
    <xf numFmtId="0" fontId="27" fillId="0" borderId="9" xfId="0" applyFont="1" applyBorder="1" applyAlignment="1">
      <alignment horizontal="center" vertical="center" wrapText="1"/>
    </xf>
    <xf numFmtId="1" fontId="3" fillId="0" borderId="0" xfId="0" applyNumberFormat="1" applyFont="1" applyAlignment="1" applyProtection="1">
      <alignment horizontal="center" vertical="center"/>
      <protection locked="0"/>
    </xf>
    <xf numFmtId="0" fontId="0" fillId="27" borderId="0" xfId="0" applyFill="1" applyAlignment="1">
      <alignment horizontal="left" vertical="center" wrapText="1"/>
    </xf>
    <xf numFmtId="0" fontId="0" fillId="27" borderId="0" xfId="0" quotePrefix="1" applyFill="1" applyAlignment="1">
      <alignment vertical="top" wrapText="1"/>
    </xf>
    <xf numFmtId="0" fontId="32" fillId="27" borderId="0" xfId="0" applyFont="1" applyFill="1" applyAlignment="1">
      <alignment horizontal="center" vertical="center" wrapText="1"/>
    </xf>
    <xf numFmtId="0" fontId="50" fillId="27" borderId="0" xfId="0" applyFont="1" applyFill="1" applyAlignment="1">
      <alignment horizontal="center" vertical="center" wrapText="1"/>
    </xf>
    <xf numFmtId="0" fontId="27" fillId="27" borderId="0" xfId="0" applyFont="1" applyFill="1" applyAlignment="1">
      <alignment horizontal="left" vertical="top" wrapText="1"/>
    </xf>
    <xf numFmtId="0" fontId="3" fillId="27" borderId="0" xfId="0" applyFont="1" applyFill="1"/>
    <xf numFmtId="0" fontId="86" fillId="27" borderId="0" xfId="0" applyFont="1" applyFill="1" applyAlignment="1">
      <alignment horizontal="center" vertical="center"/>
    </xf>
    <xf numFmtId="0" fontId="0" fillId="0" borderId="15" xfId="0" applyBorder="1" applyAlignment="1">
      <alignment vertical="center"/>
    </xf>
    <xf numFmtId="0" fontId="14" fillId="0" borderId="15" xfId="0" applyFont="1" applyBorder="1" applyAlignment="1">
      <alignment vertical="center"/>
    </xf>
    <xf numFmtId="0" fontId="30" fillId="0" borderId="15" xfId="0" applyFont="1" applyBorder="1" applyAlignment="1">
      <alignment horizontal="righ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right" vertical="center"/>
    </xf>
    <xf numFmtId="0" fontId="0" fillId="0" borderId="16" xfId="0" applyBorder="1" applyAlignment="1">
      <alignment vertical="center"/>
    </xf>
    <xf numFmtId="0" fontId="74" fillId="0" borderId="16" xfId="0" applyFont="1" applyBorder="1" applyAlignment="1">
      <alignment vertical="center"/>
    </xf>
    <xf numFmtId="0" fontId="14" fillId="0" borderId="16" xfId="0" applyFont="1" applyBorder="1" applyAlignment="1">
      <alignment vertical="center"/>
    </xf>
    <xf numFmtId="0" fontId="30" fillId="0" borderId="16" xfId="0" applyFont="1" applyBorder="1" applyAlignment="1">
      <alignment horizontal="right" vertical="center"/>
    </xf>
    <xf numFmtId="0" fontId="28" fillId="0" borderId="16" xfId="0" applyFont="1" applyBorder="1" applyAlignment="1">
      <alignment horizontal="left" vertical="center"/>
    </xf>
    <xf numFmtId="0" fontId="28" fillId="0" borderId="16" xfId="0" applyFont="1" applyBorder="1" applyAlignment="1">
      <alignment vertical="center"/>
    </xf>
    <xf numFmtId="0" fontId="28" fillId="0" borderId="16" xfId="0" applyFont="1" applyBorder="1" applyAlignment="1">
      <alignment horizontal="right" vertical="center"/>
    </xf>
    <xf numFmtId="0" fontId="10" fillId="64" borderId="0" xfId="0" applyFont="1" applyFill="1" applyAlignment="1">
      <alignment horizontal="center"/>
    </xf>
    <xf numFmtId="0" fontId="73" fillId="64" borderId="0" xfId="0" applyFont="1" applyFill="1" applyAlignment="1">
      <alignment horizontal="center" vertical="center"/>
    </xf>
    <xf numFmtId="0" fontId="0" fillId="75" borderId="0" xfId="0" applyFill="1"/>
    <xf numFmtId="0" fontId="0" fillId="75" borderId="0" xfId="0" applyFill="1" applyAlignment="1">
      <alignment horizontal="center"/>
    </xf>
    <xf numFmtId="0" fontId="0" fillId="75" borderId="0" xfId="0" applyFill="1" applyAlignment="1">
      <alignment horizontal="center" vertical="center"/>
    </xf>
    <xf numFmtId="1" fontId="0" fillId="75" borderId="0" xfId="0" applyNumberFormat="1" applyFill="1" applyAlignment="1">
      <alignment horizontal="center" vertical="center" wrapText="1"/>
    </xf>
    <xf numFmtId="9" fontId="0" fillId="0" borderId="0" xfId="2" applyFont="1" applyFill="1" applyBorder="1" applyAlignment="1">
      <alignment horizontal="left" vertical="center"/>
    </xf>
    <xf numFmtId="9" fontId="1" fillId="0" borderId="0" xfId="2" applyFont="1" applyFill="1" applyBorder="1" applyAlignment="1">
      <alignment horizontal="center" vertical="center"/>
    </xf>
    <xf numFmtId="0" fontId="0" fillId="0" borderId="2" xfId="0" applyBorder="1" applyAlignment="1">
      <alignment horizontal="center"/>
    </xf>
    <xf numFmtId="0" fontId="0" fillId="2" borderId="0" xfId="0" applyFill="1"/>
    <xf numFmtId="0" fontId="0" fillId="2" borderId="0" xfId="0" applyFill="1" applyAlignment="1">
      <alignment horizontal="center"/>
    </xf>
    <xf numFmtId="0" fontId="3" fillId="2" borderId="0" xfId="0" applyFont="1" applyFill="1"/>
    <xf numFmtId="0" fontId="3" fillId="2" borderId="0" xfId="0" applyFont="1" applyFill="1" applyAlignment="1">
      <alignment horizontal="center"/>
    </xf>
    <xf numFmtId="0" fontId="73" fillId="12" borderId="0" xfId="0" applyFont="1" applyFill="1" applyAlignment="1">
      <alignment horizontal="center" vertical="center"/>
    </xf>
    <xf numFmtId="0" fontId="140" fillId="12" borderId="0" xfId="0" applyFont="1" applyFill="1" applyAlignment="1">
      <alignment horizontal="center"/>
    </xf>
    <xf numFmtId="1" fontId="140" fillId="12" borderId="0" xfId="0" applyNumberFormat="1" applyFont="1" applyFill="1" applyAlignment="1">
      <alignment horizontal="center" vertical="center" wrapText="1"/>
    </xf>
    <xf numFmtId="1" fontId="140" fillId="12" borderId="0" xfId="0" applyNumberFormat="1" applyFont="1" applyFill="1" applyAlignment="1">
      <alignment horizontal="center" vertical="center"/>
    </xf>
    <xf numFmtId="1" fontId="0" fillId="64" borderId="4" xfId="0" applyNumberFormat="1" applyFill="1" applyBorder="1" applyAlignment="1">
      <alignment horizontal="center" vertical="center"/>
    </xf>
    <xf numFmtId="0" fontId="140" fillId="0" borderId="0" xfId="0" applyFont="1" applyAlignment="1">
      <alignment horizontal="center"/>
    </xf>
    <xf numFmtId="1" fontId="0" fillId="64" borderId="2" xfId="0" applyNumberFormat="1" applyFill="1" applyBorder="1" applyAlignment="1">
      <alignment horizontal="center" vertical="center"/>
    </xf>
    <xf numFmtId="0" fontId="0" fillId="0" borderId="9" xfId="0" applyBorder="1"/>
    <xf numFmtId="0" fontId="0" fillId="0" borderId="0" xfId="0" quotePrefix="1"/>
    <xf numFmtId="0" fontId="0" fillId="0" borderId="9" xfId="0" applyBorder="1" applyAlignment="1">
      <alignment horizontal="left" vertical="center"/>
    </xf>
    <xf numFmtId="0" fontId="0" fillId="0" borderId="9" xfId="0" quotePrefix="1" applyBorder="1" applyAlignment="1">
      <alignment horizontal="right" vertical="center"/>
    </xf>
    <xf numFmtId="0" fontId="27" fillId="0" borderId="9" xfId="0" applyFont="1" applyBorder="1" applyAlignment="1">
      <alignment horizontal="center"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140" fillId="12" borderId="0" xfId="0" applyFont="1" applyFill="1" applyAlignment="1">
      <alignment horizontal="center" vertical="center"/>
    </xf>
    <xf numFmtId="0" fontId="0" fillId="13" borderId="0" xfId="0" applyFill="1"/>
    <xf numFmtId="0" fontId="0" fillId="13" borderId="0" xfId="0" applyFill="1" applyAlignment="1">
      <alignment horizontal="center"/>
    </xf>
    <xf numFmtId="1" fontId="0" fillId="13" borderId="0" xfId="0" applyNumberFormat="1" applyFill="1" applyAlignment="1">
      <alignment horizontal="center"/>
    </xf>
    <xf numFmtId="0" fontId="0" fillId="56" borderId="0" xfId="0" applyFill="1"/>
    <xf numFmtId="0" fontId="0" fillId="56" borderId="0" xfId="0" applyFill="1" applyAlignment="1">
      <alignment horizontal="center"/>
    </xf>
    <xf numFmtId="0" fontId="0" fillId="36" borderId="0" xfId="0" applyFill="1"/>
    <xf numFmtId="0" fontId="0" fillId="36" borderId="0" xfId="0" applyFill="1" applyAlignment="1">
      <alignment horizontal="center"/>
    </xf>
    <xf numFmtId="1" fontId="0" fillId="36" borderId="0" xfId="0" applyNumberFormat="1" applyFill="1" applyAlignment="1">
      <alignment horizontal="center"/>
    </xf>
    <xf numFmtId="0" fontId="0" fillId="20" borderId="0" xfId="0" applyFill="1"/>
    <xf numFmtId="0" fontId="0" fillId="20" borderId="0" xfId="0" applyFill="1" applyAlignment="1">
      <alignment horizontal="center"/>
    </xf>
    <xf numFmtId="1" fontId="0" fillId="20" borderId="0" xfId="0" applyNumberFormat="1" applyFill="1" applyAlignment="1">
      <alignment horizontal="center"/>
    </xf>
    <xf numFmtId="1" fontId="0" fillId="56" borderId="0" xfId="0" applyNumberFormat="1" applyFill="1" applyAlignment="1">
      <alignment horizontal="center"/>
    </xf>
    <xf numFmtId="0" fontId="0" fillId="29" borderId="0" xfId="0" applyFill="1" applyAlignment="1">
      <alignment horizontal="center"/>
    </xf>
    <xf numFmtId="1" fontId="0" fillId="75" borderId="0" xfId="0" applyNumberFormat="1" applyFill="1" applyAlignment="1">
      <alignment horizontal="center" vertical="center"/>
    </xf>
    <xf numFmtId="1" fontId="0" fillId="75" borderId="11" xfId="0" applyNumberFormat="1" applyFill="1" applyBorder="1" applyAlignment="1">
      <alignment horizontal="center" vertical="center"/>
    </xf>
    <xf numFmtId="1" fontId="73" fillId="64" borderId="2" xfId="0" applyNumberFormat="1" applyFont="1" applyFill="1" applyBorder="1" applyAlignment="1">
      <alignment horizontal="center" vertical="center"/>
    </xf>
    <xf numFmtId="1" fontId="73" fillId="64" borderId="0" xfId="0" applyNumberFormat="1" applyFont="1" applyFill="1" applyAlignment="1">
      <alignment horizontal="center" vertical="center"/>
    </xf>
    <xf numFmtId="0" fontId="136" fillId="0" borderId="0" xfId="0" applyFont="1" applyAlignment="1">
      <alignment vertical="center" wrapText="1"/>
    </xf>
    <xf numFmtId="0" fontId="3" fillId="0" borderId="0" xfId="0" applyFont="1" applyAlignment="1">
      <alignment vertical="center"/>
    </xf>
    <xf numFmtId="0" fontId="135" fillId="0" borderId="16" xfId="0" applyFont="1" applyBorder="1" applyAlignment="1">
      <alignment horizontal="center" vertical="center" wrapText="1"/>
    </xf>
    <xf numFmtId="0" fontId="0" fillId="7" borderId="0" xfId="0" quotePrefix="1" applyFill="1" applyAlignment="1">
      <alignment vertical="center" wrapText="1"/>
    </xf>
    <xf numFmtId="0" fontId="0" fillId="0" borderId="16" xfId="0" applyBorder="1" applyAlignment="1">
      <alignment horizontal="center" vertical="center" wrapText="1"/>
    </xf>
    <xf numFmtId="0" fontId="28" fillId="0" borderId="16" xfId="0" applyFont="1" applyBorder="1" applyAlignment="1">
      <alignment horizontal="left" vertical="center" wrapText="1"/>
    </xf>
    <xf numFmtId="0" fontId="30" fillId="4" borderId="26" xfId="0" applyFont="1" applyFill="1" applyBorder="1" applyAlignment="1">
      <alignment horizontal="center" vertical="center"/>
    </xf>
    <xf numFmtId="0" fontId="30" fillId="4" borderId="26" xfId="0" applyFont="1" applyFill="1" applyBorder="1" applyAlignment="1">
      <alignment horizontal="center"/>
    </xf>
    <xf numFmtId="0" fontId="30" fillId="4" borderId="0" xfId="0" applyFont="1" applyFill="1" applyAlignment="1">
      <alignment horizontal="center"/>
    </xf>
    <xf numFmtId="0" fontId="27" fillId="4" borderId="0" xfId="0" applyFont="1" applyFill="1" applyAlignment="1">
      <alignment horizontal="left"/>
    </xf>
    <xf numFmtId="0" fontId="0" fillId="7" borderId="15" xfId="0" applyFill="1" applyBorder="1" applyAlignment="1">
      <alignment horizontal="left" vertical="top" wrapText="1"/>
    </xf>
    <xf numFmtId="0" fontId="42" fillId="0" borderId="0" xfId="0" applyFont="1" applyAlignment="1">
      <alignment horizontal="left" vertical="center" wrapText="1"/>
    </xf>
    <xf numFmtId="0" fontId="4" fillId="0" borderId="53" xfId="0" applyFont="1" applyBorder="1" applyAlignment="1">
      <alignment horizontal="left" vertical="center" wrapText="1"/>
    </xf>
    <xf numFmtId="0" fontId="27" fillId="0" borderId="16" xfId="0" applyFont="1" applyBorder="1" applyAlignment="1">
      <alignment horizontal="left" vertical="center" wrapText="1"/>
    </xf>
    <xf numFmtId="0" fontId="27" fillId="0" borderId="15" xfId="0" applyFont="1" applyBorder="1" applyAlignment="1">
      <alignment horizontal="left" vertical="center" wrapText="1"/>
    </xf>
    <xf numFmtId="0" fontId="27" fillId="0" borderId="28" xfId="0" applyFont="1" applyBorder="1" applyAlignment="1">
      <alignment horizontal="left" vertical="center" wrapText="1"/>
    </xf>
    <xf numFmtId="0" fontId="27" fillId="28" borderId="0" xfId="0" applyFont="1" applyFill="1" applyAlignment="1">
      <alignment horizontal="left" vertical="center" wrapText="1"/>
    </xf>
    <xf numFmtId="0" fontId="27" fillId="17" borderId="40" xfId="0" applyFont="1" applyFill="1" applyBorder="1" applyAlignment="1">
      <alignment horizontal="left" vertical="center" wrapText="1"/>
    </xf>
    <xf numFmtId="0" fontId="72" fillId="32" borderId="21" xfId="0" applyFont="1" applyFill="1" applyBorder="1" applyAlignment="1">
      <alignment horizontal="left" vertical="center" wrapText="1"/>
    </xf>
    <xf numFmtId="0" fontId="72" fillId="32" borderId="0" xfId="0" applyFont="1" applyFill="1" applyAlignment="1">
      <alignment horizontal="left" vertical="center" wrapText="1"/>
    </xf>
    <xf numFmtId="0" fontId="72" fillId="36" borderId="21" xfId="0" applyFont="1" applyFill="1" applyBorder="1" applyAlignment="1">
      <alignment horizontal="left" vertical="center" wrapText="1"/>
    </xf>
    <xf numFmtId="0" fontId="63" fillId="0" borderId="15" xfId="0" applyFont="1" applyBorder="1" applyAlignment="1">
      <alignment horizontal="left" vertical="center" wrapText="1"/>
    </xf>
    <xf numFmtId="0" fontId="29" fillId="15" borderId="0" xfId="0" applyFont="1" applyFill="1" applyAlignment="1">
      <alignment horizontal="left" vertical="center" wrapText="1"/>
    </xf>
    <xf numFmtId="0" fontId="50" fillId="0" borderId="15" xfId="0" applyFont="1" applyBorder="1" applyAlignment="1">
      <alignment horizontal="left" vertical="center" wrapText="1"/>
    </xf>
    <xf numFmtId="0" fontId="29" fillId="28" borderId="0" xfId="0" applyFont="1" applyFill="1" applyAlignment="1">
      <alignment horizontal="left" vertical="center" wrapText="1"/>
    </xf>
    <xf numFmtId="0" fontId="27" fillId="0" borderId="35" xfId="0" applyFont="1" applyBorder="1" applyAlignment="1">
      <alignment horizontal="left" vertical="center" wrapText="1"/>
    </xf>
    <xf numFmtId="0" fontId="27" fillId="35" borderId="28" xfId="0" applyFont="1" applyFill="1" applyBorder="1" applyAlignment="1">
      <alignment horizontal="left" vertical="center" wrapText="1"/>
    </xf>
    <xf numFmtId="0" fontId="30" fillId="0" borderId="26" xfId="0" applyFont="1" applyBorder="1" applyAlignment="1">
      <alignment horizontal="left" vertical="center"/>
    </xf>
    <xf numFmtId="0" fontId="28" fillId="0" borderId="0" xfId="0" applyFont="1" applyAlignment="1">
      <alignment horizontal="left" vertical="center" wrapText="1"/>
    </xf>
    <xf numFmtId="0" fontId="27" fillId="17" borderId="16" xfId="0" applyFont="1" applyFill="1" applyBorder="1" applyAlignment="1">
      <alignment horizontal="left" vertical="center" wrapText="1"/>
    </xf>
    <xf numFmtId="0" fontId="27" fillId="17" borderId="0" xfId="0" applyFont="1" applyFill="1" applyAlignment="1">
      <alignment horizontal="left" vertical="center" wrapText="1"/>
    </xf>
    <xf numFmtId="0" fontId="27" fillId="0" borderId="0" xfId="0" quotePrefix="1" applyFont="1" applyAlignment="1">
      <alignment horizontal="left" vertical="center" wrapText="1"/>
    </xf>
    <xf numFmtId="0" fontId="3" fillId="22" borderId="0" xfId="0" applyFont="1" applyFill="1" applyAlignment="1">
      <alignment vertical="center" wrapText="1"/>
    </xf>
    <xf numFmtId="0" fontId="51" fillId="50" borderId="9" xfId="0" applyFont="1" applyFill="1" applyBorder="1" applyAlignment="1">
      <alignment horizontal="center" vertical="center" wrapText="1"/>
    </xf>
    <xf numFmtId="0" fontId="23" fillId="51" borderId="14" xfId="0" applyFont="1" applyFill="1" applyBorder="1" applyAlignment="1">
      <alignment horizontal="center" vertical="center" wrapText="1"/>
    </xf>
    <xf numFmtId="0" fontId="23" fillId="51" borderId="0" xfId="0" applyFont="1" applyFill="1" applyAlignment="1">
      <alignment vertical="center" wrapText="1"/>
    </xf>
    <xf numFmtId="0" fontId="23" fillId="51" borderId="31" xfId="0" applyFont="1" applyFill="1" applyBorder="1" applyAlignment="1">
      <alignment vertical="center" wrapText="1"/>
    </xf>
    <xf numFmtId="0" fontId="23" fillId="51" borderId="15" xfId="0" applyFont="1" applyFill="1" applyBorder="1" applyAlignment="1">
      <alignment vertical="center" wrapText="1"/>
    </xf>
    <xf numFmtId="0" fontId="23" fillId="51" borderId="15" xfId="0" applyFont="1" applyFill="1" applyBorder="1" applyAlignment="1">
      <alignment horizontal="center" vertical="center" wrapText="1"/>
    </xf>
    <xf numFmtId="0" fontId="27" fillId="22" borderId="85" xfId="0" applyFont="1" applyFill="1" applyBorder="1" applyAlignment="1">
      <alignment horizontal="center" vertical="center" wrapText="1"/>
    </xf>
    <xf numFmtId="0" fontId="3" fillId="22" borderId="0" xfId="0" applyFont="1" applyFill="1" applyAlignment="1">
      <alignment horizontal="left" vertical="center" wrapText="1"/>
    </xf>
    <xf numFmtId="1" fontId="130" fillId="22" borderId="15" xfId="0" applyNumberFormat="1" applyFont="1" applyFill="1" applyBorder="1" applyAlignment="1">
      <alignment horizontal="center" vertical="center" wrapText="1"/>
    </xf>
    <xf numFmtId="9" fontId="131" fillId="22" borderId="37" xfId="2" applyFont="1" applyFill="1" applyBorder="1" applyAlignment="1">
      <alignment horizontal="center" vertical="center" wrapText="1"/>
    </xf>
    <xf numFmtId="9" fontId="131" fillId="22" borderId="26" xfId="2" applyFont="1" applyFill="1" applyBorder="1" applyAlignment="1">
      <alignment horizontal="center" vertical="center" wrapText="1"/>
    </xf>
    <xf numFmtId="9" fontId="131" fillId="22" borderId="49" xfId="2" applyFont="1" applyFill="1" applyBorder="1" applyAlignment="1">
      <alignment horizontal="center" vertical="center" wrapText="1"/>
    </xf>
    <xf numFmtId="0" fontId="130" fillId="76" borderId="15" xfId="0" applyFont="1" applyFill="1" applyBorder="1" applyAlignment="1">
      <alignment horizontal="left" vertical="center"/>
    </xf>
    <xf numFmtId="0" fontId="3" fillId="22" borderId="0" xfId="0" applyFont="1" applyFill="1" applyAlignment="1">
      <alignment horizontal="center" vertical="center"/>
    </xf>
    <xf numFmtId="0" fontId="132" fillId="22" borderId="0" xfId="0" applyFont="1" applyFill="1" applyAlignment="1">
      <alignment horizontal="center" vertical="center" textRotation="90"/>
    </xf>
    <xf numFmtId="164" fontId="84" fillId="22" borderId="0" xfId="1" applyNumberFormat="1" applyFont="1" applyFill="1" applyAlignment="1">
      <alignment horizontal="center"/>
    </xf>
    <xf numFmtId="1" fontId="84" fillId="22" borderId="0" xfId="0" applyNumberFormat="1" applyFont="1" applyFill="1"/>
    <xf numFmtId="0" fontId="84" fillId="22" borderId="0" xfId="0" applyFont="1" applyFill="1"/>
    <xf numFmtId="0" fontId="133" fillId="22" borderId="0" xfId="0" applyFont="1" applyFill="1" applyAlignment="1">
      <alignment horizontal="center" vertical="center" textRotation="90"/>
    </xf>
    <xf numFmtId="0" fontId="134" fillId="22" borderId="0" xfId="0" applyFont="1" applyFill="1" applyAlignment="1">
      <alignment horizontal="center" vertical="top" textRotation="90"/>
    </xf>
    <xf numFmtId="0" fontId="0" fillId="0" borderId="2" xfId="0" applyBorder="1" applyAlignment="1">
      <alignment horizontal="left" vertical="center"/>
    </xf>
    <xf numFmtId="0" fontId="73" fillId="64" borderId="8" xfId="0" applyFont="1" applyFill="1" applyBorder="1" applyAlignment="1">
      <alignment horizontal="center" vertical="center"/>
    </xf>
    <xf numFmtId="0" fontId="27" fillId="37" borderId="0" xfId="0" applyFont="1" applyFill="1" applyAlignment="1">
      <alignment horizontal="left" vertical="center" wrapText="1"/>
    </xf>
    <xf numFmtId="0" fontId="0" fillId="0" borderId="4" xfId="0" applyBorder="1" applyAlignment="1">
      <alignment horizontal="right" vertical="center"/>
    </xf>
    <xf numFmtId="0" fontId="27" fillId="12" borderId="0" xfId="0" applyFont="1" applyFill="1" applyAlignment="1">
      <alignment horizontal="center" vertical="top" wrapText="1"/>
    </xf>
    <xf numFmtId="1" fontId="0" fillId="64" borderId="0" xfId="0" applyNumberFormat="1" applyFill="1" applyAlignment="1">
      <alignment horizontal="center" vertical="center" wrapText="1"/>
    </xf>
    <xf numFmtId="0" fontId="0" fillId="64" borderId="0" xfId="0" applyFill="1" applyAlignment="1">
      <alignment horizontal="center" vertical="center"/>
    </xf>
    <xf numFmtId="0" fontId="0" fillId="0" borderId="3" xfId="0" applyBorder="1" applyAlignment="1">
      <alignment horizontal="right" vertical="center"/>
    </xf>
    <xf numFmtId="1" fontId="0" fillId="64" borderId="0" xfId="0" applyNumberFormat="1" applyFill="1" applyAlignment="1">
      <alignment horizontal="center" vertical="center"/>
    </xf>
    <xf numFmtId="1" fontId="73" fillId="0" borderId="0" xfId="0" applyNumberFormat="1" applyFont="1" applyAlignment="1">
      <alignment horizontal="center" vertical="center"/>
    </xf>
    <xf numFmtId="0" fontId="0" fillId="9" borderId="3" xfId="0" applyFill="1" applyBorder="1" applyAlignment="1">
      <alignment horizontal="right" vertical="center" wrapText="1"/>
    </xf>
    <xf numFmtId="0" fontId="0" fillId="9" borderId="16" xfId="0" applyFill="1" applyBorder="1" applyAlignment="1">
      <alignment horizontal="center" vertical="center"/>
    </xf>
    <xf numFmtId="1" fontId="0" fillId="9" borderId="0" xfId="0" applyNumberFormat="1" applyFill="1" applyAlignment="1">
      <alignment horizontal="center" vertical="center" wrapText="1"/>
    </xf>
    <xf numFmtId="1" fontId="0" fillId="9" borderId="0" xfId="0" applyNumberFormat="1" applyFill="1" applyAlignment="1">
      <alignment horizontal="center" vertical="center"/>
    </xf>
    <xf numFmtId="0" fontId="12" fillId="0" borderId="0" xfId="0" applyFont="1" applyAlignment="1">
      <alignment horizontal="right"/>
    </xf>
    <xf numFmtId="0" fontId="0" fillId="50" borderId="0" xfId="0" applyFill="1" applyAlignment="1">
      <alignment vertical="center" wrapText="1"/>
    </xf>
    <xf numFmtId="0" fontId="4" fillId="0" borderId="9" xfId="0" applyFont="1" applyBorder="1" applyAlignment="1">
      <alignment horizontal="right" vertical="center"/>
    </xf>
    <xf numFmtId="0" fontId="141" fillId="9" borderId="9" xfId="0" applyFont="1" applyFill="1" applyBorder="1" applyAlignment="1">
      <alignment horizontal="center" vertical="center" wrapText="1"/>
    </xf>
    <xf numFmtId="0" fontId="32" fillId="25" borderId="79" xfId="0" applyFont="1" applyFill="1" applyBorder="1" applyAlignment="1">
      <alignment horizontal="center" vertical="center" wrapText="1"/>
    </xf>
    <xf numFmtId="0" fontId="32" fillId="25" borderId="56" xfId="0" applyFont="1" applyFill="1" applyBorder="1" applyAlignment="1">
      <alignment horizontal="center" vertical="center" wrapText="1"/>
    </xf>
    <xf numFmtId="1" fontId="29" fillId="0" borderId="16" xfId="0" applyNumberFormat="1" applyFont="1" applyBorder="1" applyAlignment="1">
      <alignment horizontal="center" vertical="center"/>
    </xf>
    <xf numFmtId="1" fontId="27" fillId="0" borderId="16" xfId="0" applyNumberFormat="1" applyFont="1" applyBorder="1" applyAlignment="1">
      <alignment horizontal="center" vertical="center" wrapText="1"/>
    </xf>
    <xf numFmtId="0" fontId="0" fillId="0" borderId="85" xfId="0" applyBorder="1" applyAlignment="1">
      <alignment horizontal="left" vertical="center" wrapText="1"/>
    </xf>
    <xf numFmtId="1" fontId="29" fillId="0" borderId="30" xfId="0" applyNumberFormat="1" applyFont="1" applyBorder="1" applyAlignment="1">
      <alignment horizontal="center" vertical="center"/>
    </xf>
    <xf numFmtId="0" fontId="49" fillId="0" borderId="32" xfId="0" applyFont="1" applyBorder="1" applyAlignment="1">
      <alignment horizontal="center" vertical="center"/>
    </xf>
    <xf numFmtId="0" fontId="58" fillId="0" borderId="32" xfId="0" applyFont="1" applyBorder="1" applyAlignment="1">
      <alignment horizontal="center" vertical="center"/>
    </xf>
    <xf numFmtId="1" fontId="27" fillId="0" borderId="30" xfId="0" applyNumberFormat="1" applyFont="1" applyBorder="1" applyAlignment="1">
      <alignment horizontal="center" vertical="center" wrapText="1"/>
    </xf>
    <xf numFmtId="0" fontId="23" fillId="7" borderId="44" xfId="0" applyFont="1" applyFill="1" applyBorder="1" applyAlignment="1">
      <alignment horizontal="center" vertical="center" wrapText="1"/>
    </xf>
    <xf numFmtId="0" fontId="23" fillId="7" borderId="79" xfId="0" applyFont="1" applyFill="1" applyBorder="1" applyAlignment="1">
      <alignment horizontal="center" vertical="center" wrapText="1"/>
    </xf>
    <xf numFmtId="0" fontId="12" fillId="36" borderId="24" xfId="0" applyFont="1" applyFill="1" applyBorder="1" applyAlignment="1">
      <alignment horizontal="left" vertical="center" wrapText="1"/>
    </xf>
    <xf numFmtId="0" fontId="0" fillId="36" borderId="19" xfId="0" applyFill="1" applyBorder="1" applyAlignment="1">
      <alignment horizontal="left" vertical="center" wrapText="1"/>
    </xf>
    <xf numFmtId="0" fontId="29" fillId="32" borderId="0" xfId="0" applyFont="1" applyFill="1" applyAlignment="1">
      <alignment horizontal="center" vertical="center" wrapText="1"/>
    </xf>
    <xf numFmtId="0" fontId="12" fillId="32" borderId="41" xfId="0" applyFont="1" applyFill="1" applyBorder="1" applyAlignment="1">
      <alignment horizontal="center" vertical="center" wrapText="1"/>
    </xf>
    <xf numFmtId="0" fontId="32" fillId="32" borderId="14" xfId="0" applyFont="1" applyFill="1" applyBorder="1" applyAlignment="1">
      <alignment horizontal="center" vertical="center" wrapText="1"/>
    </xf>
    <xf numFmtId="0" fontId="12" fillId="32" borderId="74" xfId="0" applyFont="1" applyFill="1" applyBorder="1" applyAlignment="1">
      <alignment horizontal="center" vertical="center" wrapText="1"/>
    </xf>
    <xf numFmtId="0" fontId="32" fillId="32" borderId="20" xfId="0" applyFont="1" applyFill="1" applyBorder="1" applyAlignment="1">
      <alignment horizontal="center" vertical="center" wrapText="1"/>
    </xf>
    <xf numFmtId="0" fontId="27" fillId="7" borderId="19"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32" fillId="7" borderId="79" xfId="0" applyFont="1" applyFill="1" applyBorder="1" applyAlignment="1">
      <alignment horizontal="center" vertical="center" wrapText="1"/>
    </xf>
    <xf numFmtId="0" fontId="0" fillId="17" borderId="2" xfId="0" applyFill="1" applyBorder="1" applyAlignment="1">
      <alignment horizontal="center" vertical="center" wrapText="1"/>
    </xf>
    <xf numFmtId="1" fontId="0" fillId="64" borderId="11" xfId="0" applyNumberFormat="1" applyFill="1" applyBorder="1" applyAlignment="1">
      <alignment horizontal="center" vertical="center"/>
    </xf>
    <xf numFmtId="0" fontId="73" fillId="4" borderId="0" xfId="0" applyFont="1" applyFill="1" applyAlignment="1">
      <alignment horizontal="left" vertical="center"/>
    </xf>
    <xf numFmtId="0" fontId="0" fillId="0" borderId="12" xfId="0" applyBorder="1" applyAlignment="1">
      <alignment vertical="center"/>
    </xf>
    <xf numFmtId="0" fontId="0" fillId="0" borderId="3" xfId="0" applyBorder="1" applyAlignment="1">
      <alignment vertical="center"/>
    </xf>
    <xf numFmtId="0" fontId="0" fillId="51" borderId="14" xfId="0" applyFill="1" applyBorder="1" applyAlignment="1">
      <alignment horizontal="center" vertical="center" wrapText="1"/>
    </xf>
    <xf numFmtId="0" fontId="0" fillId="51" borderId="0" xfId="0" applyFill="1" applyAlignment="1">
      <alignment vertical="center" wrapText="1"/>
    </xf>
    <xf numFmtId="0" fontId="19" fillId="25" borderId="6" xfId="0" applyFont="1" applyFill="1" applyBorder="1" applyAlignment="1">
      <alignment horizontal="center" vertical="center" wrapText="1"/>
    </xf>
    <xf numFmtId="0" fontId="0" fillId="50" borderId="0" xfId="0" applyFill="1" applyAlignment="1">
      <alignment horizontal="left" vertical="center" wrapText="1"/>
    </xf>
    <xf numFmtId="0" fontId="19" fillId="24" borderId="0" xfId="0" applyFont="1" applyFill="1" applyAlignment="1">
      <alignment horizontal="right" vertical="center" wrapText="1"/>
    </xf>
    <xf numFmtId="0" fontId="19" fillId="25" borderId="0" xfId="0" applyFont="1" applyFill="1" applyAlignment="1">
      <alignment horizontal="right" vertical="center" wrapText="1"/>
    </xf>
    <xf numFmtId="1" fontId="0" fillId="0" borderId="0" xfId="0" applyNumberFormat="1" applyAlignment="1">
      <alignment horizontal="center" wrapText="1"/>
    </xf>
    <xf numFmtId="0" fontId="8" fillId="0" borderId="0" xfId="0" applyFont="1"/>
    <xf numFmtId="0" fontId="0" fillId="17" borderId="24" xfId="0" applyFill="1" applyBorder="1" applyAlignment="1">
      <alignment horizontal="left" vertical="center" wrapText="1"/>
    </xf>
    <xf numFmtId="0" fontId="29" fillId="29" borderId="74" xfId="0" applyFont="1" applyFill="1" applyBorder="1" applyAlignment="1">
      <alignment horizontal="center" vertical="center" wrapText="1"/>
    </xf>
    <xf numFmtId="0" fontId="29" fillId="29" borderId="15" xfId="0" applyFont="1" applyFill="1" applyBorder="1" applyAlignment="1">
      <alignment horizontal="center" vertical="center" wrapText="1"/>
    </xf>
    <xf numFmtId="0" fontId="27" fillId="62" borderId="0" xfId="0" applyFont="1" applyFill="1" applyAlignment="1">
      <alignment horizontal="left" vertical="center"/>
    </xf>
    <xf numFmtId="0" fontId="0" fillId="3" borderId="31" xfId="0" applyFill="1" applyBorder="1" applyAlignment="1">
      <alignment horizontal="center" vertical="center" wrapText="1"/>
    </xf>
    <xf numFmtId="0" fontId="0" fillId="3" borderId="41" xfId="0" applyFill="1" applyBorder="1" applyAlignment="1">
      <alignment horizontal="left" vertical="center" wrapText="1"/>
    </xf>
    <xf numFmtId="0" fontId="0" fillId="3" borderId="74" xfId="0" applyFill="1" applyBorder="1" applyAlignment="1">
      <alignment horizontal="left" vertical="center" wrapText="1"/>
    </xf>
    <xf numFmtId="0" fontId="27" fillId="9" borderId="0" xfId="0" applyFont="1" applyFill="1" applyAlignment="1">
      <alignment horizontal="center" vertical="center"/>
    </xf>
    <xf numFmtId="0" fontId="0" fillId="3" borderId="74" xfId="0" applyFill="1" applyBorder="1" applyAlignment="1">
      <alignment horizontal="left" vertical="center"/>
    </xf>
    <xf numFmtId="0" fontId="0" fillId="3" borderId="39" xfId="0" applyFill="1" applyBorder="1" applyAlignment="1">
      <alignment horizontal="left" vertical="center" wrapText="1"/>
    </xf>
    <xf numFmtId="0" fontId="0" fillId="3" borderId="31" xfId="0" applyFill="1" applyBorder="1" applyAlignment="1">
      <alignment horizontal="left" vertical="center" wrapText="1"/>
    </xf>
    <xf numFmtId="0" fontId="0" fillId="3" borderId="15" xfId="0" applyFill="1" applyBorder="1" applyAlignment="1">
      <alignment horizontal="left" vertical="center" wrapText="1"/>
    </xf>
    <xf numFmtId="0" fontId="84" fillId="3" borderId="15" xfId="0" applyFont="1" applyFill="1" applyBorder="1" applyAlignment="1">
      <alignment horizontal="center" vertical="center" wrapText="1"/>
    </xf>
    <xf numFmtId="0" fontId="0" fillId="3" borderId="8" xfId="0" applyFill="1" applyBorder="1" applyAlignment="1">
      <alignment horizontal="center" vertical="center" wrapText="1"/>
    </xf>
    <xf numFmtId="0" fontId="27" fillId="12" borderId="0" xfId="0" applyFont="1" applyFill="1" applyAlignment="1">
      <alignment vertical="center"/>
    </xf>
    <xf numFmtId="0" fontId="0" fillId="0" borderId="15" xfId="0" applyBorder="1" applyAlignment="1">
      <alignment horizontal="left" vertical="top" wrapText="1"/>
    </xf>
    <xf numFmtId="0" fontId="32" fillId="40" borderId="9" xfId="0" applyFont="1" applyFill="1" applyBorder="1" applyAlignment="1">
      <alignment horizontal="center" vertical="center" wrapText="1"/>
    </xf>
    <xf numFmtId="0" fontId="28" fillId="32" borderId="93" xfId="4" applyFill="1" applyBorder="1" applyAlignment="1">
      <alignment vertical="center" wrapText="1"/>
    </xf>
    <xf numFmtId="0" fontId="23" fillId="21" borderId="2" xfId="0" applyFont="1" applyFill="1" applyBorder="1" applyAlignment="1">
      <alignment horizontal="center" vertical="center" wrapText="1"/>
    </xf>
    <xf numFmtId="0" fontId="141" fillId="9" borderId="0" xfId="0" applyFont="1" applyFill="1" applyAlignment="1">
      <alignment vertical="center"/>
    </xf>
    <xf numFmtId="0" fontId="141" fillId="0" borderId="0" xfId="0" applyFont="1" applyAlignment="1">
      <alignment horizontal="center" vertical="center"/>
    </xf>
    <xf numFmtId="0" fontId="141" fillId="0" borderId="0" xfId="0" applyFont="1" applyAlignment="1">
      <alignment vertical="center"/>
    </xf>
    <xf numFmtId="0" fontId="0" fillId="0" borderId="31" xfId="0" applyBorder="1" applyAlignment="1">
      <alignment horizontal="left" vertical="center" wrapText="1"/>
    </xf>
    <xf numFmtId="0" fontId="12" fillId="7" borderId="74" xfId="0" quotePrefix="1" applyFont="1" applyFill="1" applyBorder="1" applyAlignment="1">
      <alignment vertical="center" wrapText="1"/>
    </xf>
    <xf numFmtId="0" fontId="0" fillId="64" borderId="2" xfId="0" applyFill="1" applyBorder="1" applyAlignment="1">
      <alignment horizontal="center" vertical="center"/>
    </xf>
    <xf numFmtId="0" fontId="76" fillId="0" borderId="0" xfId="0" applyFont="1" applyAlignment="1">
      <alignment horizontal="left" vertical="center"/>
    </xf>
    <xf numFmtId="0" fontId="27" fillId="9" borderId="0" xfId="0" applyFont="1" applyFill="1" applyAlignment="1">
      <alignment horizontal="left" vertical="center"/>
    </xf>
    <xf numFmtId="0" fontId="10" fillId="0" borderId="0" xfId="0" applyFont="1" applyAlignment="1">
      <alignment vertical="center"/>
    </xf>
    <xf numFmtId="0" fontId="28" fillId="77" borderId="94" xfId="4" applyFill="1" applyBorder="1" applyAlignment="1">
      <alignment vertical="center"/>
    </xf>
    <xf numFmtId="0" fontId="142" fillId="0" borderId="0" xfId="0" applyFont="1" applyAlignment="1">
      <alignment vertical="center"/>
    </xf>
    <xf numFmtId="0" fontId="143" fillId="0" borderId="0" xfId="0" applyFont="1" applyAlignment="1">
      <alignment vertical="center"/>
    </xf>
    <xf numFmtId="0" fontId="32" fillId="51" borderId="43" xfId="0" applyFont="1" applyFill="1" applyBorder="1" applyAlignment="1">
      <alignment horizontal="center" vertical="center" wrapText="1"/>
    </xf>
    <xf numFmtId="0" fontId="0" fillId="51" borderId="9" xfId="0" applyFill="1" applyBorder="1" applyAlignment="1">
      <alignment vertical="center" wrapText="1"/>
    </xf>
    <xf numFmtId="0" fontId="0" fillId="51" borderId="0" xfId="0" applyFill="1" applyAlignment="1">
      <alignment horizontal="center" vertical="center" wrapText="1"/>
    </xf>
    <xf numFmtId="0" fontId="0" fillId="51" borderId="2" xfId="0" applyFill="1" applyBorder="1" applyAlignment="1">
      <alignment horizontal="center" vertical="center" wrapText="1"/>
    </xf>
    <xf numFmtId="0" fontId="28" fillId="0" borderId="84" xfId="0" applyFont="1" applyBorder="1" applyAlignment="1">
      <alignment horizontal="center" vertical="center" wrapText="1"/>
    </xf>
    <xf numFmtId="0" fontId="37" fillId="0" borderId="85" xfId="0" applyFont="1" applyBorder="1" applyAlignment="1">
      <alignment horizontal="center" vertical="center"/>
    </xf>
    <xf numFmtId="0" fontId="37" fillId="0" borderId="86" xfId="0" applyFont="1" applyBorder="1" applyAlignment="1">
      <alignment horizontal="center" vertical="center"/>
    </xf>
    <xf numFmtId="0" fontId="37" fillId="36" borderId="15"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4" borderId="81" xfId="0" applyFont="1" applyFill="1" applyBorder="1" applyAlignment="1">
      <alignment horizontal="center" vertical="center" wrapText="1"/>
    </xf>
    <xf numFmtId="0" fontId="28" fillId="36" borderId="16" xfId="0" applyFont="1" applyFill="1" applyBorder="1" applyAlignment="1">
      <alignment horizontal="center" vertical="center" wrapText="1"/>
    </xf>
    <xf numFmtId="0" fontId="28" fillId="4" borderId="30" xfId="0" applyFont="1" applyFill="1" applyBorder="1" applyAlignment="1">
      <alignment horizontal="center" vertical="center" wrapText="1"/>
    </xf>
    <xf numFmtId="0" fontId="28" fillId="0" borderId="30" xfId="0" applyFont="1" applyBorder="1" applyAlignment="1">
      <alignment horizontal="center" vertical="center" wrapText="1"/>
    </xf>
    <xf numFmtId="0" fontId="37" fillId="9" borderId="0" xfId="0" applyFont="1" applyFill="1" applyAlignment="1">
      <alignment horizontal="center" vertical="center" wrapText="1"/>
    </xf>
    <xf numFmtId="0" fontId="37" fillId="10" borderId="0" xfId="0" applyFont="1" applyFill="1" applyAlignment="1">
      <alignment horizontal="center" vertical="center" wrapText="1"/>
    </xf>
    <xf numFmtId="0" fontId="37" fillId="19" borderId="0" xfId="0" applyFont="1" applyFill="1" applyAlignment="1">
      <alignment horizontal="center" vertical="center" wrapText="1"/>
    </xf>
    <xf numFmtId="0" fontId="37" fillId="19" borderId="0" xfId="0" applyFont="1" applyFill="1" applyAlignment="1" applyProtection="1">
      <alignment horizontal="center" vertical="center" wrapText="1"/>
      <protection locked="0"/>
    </xf>
    <xf numFmtId="0" fontId="28" fillId="22" borderId="30" xfId="0" applyFont="1" applyFill="1" applyBorder="1" applyAlignment="1">
      <alignment horizontal="center" vertical="center"/>
    </xf>
    <xf numFmtId="0" fontId="0" fillId="0" borderId="93" xfId="0" applyBorder="1" applyAlignment="1">
      <alignment horizontal="right" indent="1"/>
    </xf>
    <xf numFmtId="164" fontId="22" fillId="0" borderId="0" xfId="1" applyNumberFormat="1" applyFont="1" applyAlignment="1">
      <alignment vertical="center"/>
    </xf>
    <xf numFmtId="0" fontId="73" fillId="0" borderId="0" xfId="0" applyFont="1" applyAlignment="1">
      <alignment horizontal="center" vertical="center"/>
    </xf>
    <xf numFmtId="0" fontId="73" fillId="27" borderId="0" xfId="0" applyFont="1" applyFill="1" applyAlignment="1">
      <alignment horizontal="center" vertical="center"/>
    </xf>
    <xf numFmtId="0" fontId="139" fillId="27" borderId="0" xfId="0" applyFont="1" applyFill="1" applyAlignment="1">
      <alignment horizontal="center" vertical="center"/>
    </xf>
    <xf numFmtId="0" fontId="29" fillId="27" borderId="0" xfId="0" applyFont="1" applyFill="1" applyAlignment="1">
      <alignment horizontal="center" vertical="center"/>
    </xf>
    <xf numFmtId="0" fontId="10" fillId="27" borderId="0" xfId="0" applyFont="1" applyFill="1" applyAlignment="1">
      <alignment horizontal="center"/>
    </xf>
    <xf numFmtId="0" fontId="27" fillId="27" borderId="0" xfId="0" applyFont="1" applyFill="1" applyAlignment="1">
      <alignment horizontal="center" vertical="center" wrapText="1"/>
    </xf>
    <xf numFmtId="0" fontId="10" fillId="27" borderId="0" xfId="0" applyFont="1" applyFill="1" applyAlignment="1">
      <alignment horizontal="center" vertical="center"/>
    </xf>
    <xf numFmtId="0" fontId="0" fillId="65" borderId="54" xfId="0" applyFill="1" applyBorder="1" applyAlignment="1">
      <alignment horizontal="center" vertical="center" wrapText="1"/>
    </xf>
    <xf numFmtId="0" fontId="0" fillId="65" borderId="54" xfId="0" applyFill="1" applyBorder="1" applyAlignment="1">
      <alignment horizontal="left" vertical="center" wrapText="1"/>
    </xf>
    <xf numFmtId="0" fontId="0" fillId="65" borderId="0" xfId="0" applyFill="1" applyAlignment="1">
      <alignment horizontal="center" vertical="center" wrapText="1"/>
    </xf>
    <xf numFmtId="0" fontId="0" fillId="65" borderId="1" xfId="0" applyFill="1" applyBorder="1" applyAlignment="1">
      <alignment horizontal="center" vertical="center" wrapText="1"/>
    </xf>
    <xf numFmtId="0" fontId="12" fillId="25" borderId="54" xfId="0" applyFont="1" applyFill="1" applyBorder="1" applyAlignment="1">
      <alignment horizontal="left" vertical="center" wrapText="1"/>
    </xf>
    <xf numFmtId="0" fontId="12" fillId="50" borderId="78" xfId="0" applyFont="1" applyFill="1" applyBorder="1" applyAlignment="1">
      <alignment horizontal="left" vertical="center" wrapText="1"/>
    </xf>
    <xf numFmtId="0" fontId="0" fillId="32" borderId="78" xfId="0" applyFill="1" applyBorder="1" applyAlignment="1">
      <alignment horizontal="center" vertical="center" wrapText="1"/>
    </xf>
    <xf numFmtId="0" fontId="0" fillId="52" borderId="78" xfId="0" applyFill="1" applyBorder="1" applyAlignment="1">
      <alignment horizontal="left" vertical="center" wrapText="1"/>
    </xf>
    <xf numFmtId="0" fontId="0" fillId="0" borderId="1" xfId="0" applyBorder="1" applyAlignment="1">
      <alignment horizontal="left"/>
    </xf>
    <xf numFmtId="0" fontId="23" fillId="0" borderId="0" xfId="0" applyFont="1" applyAlignment="1">
      <alignment horizontal="left" vertical="top" wrapText="1"/>
    </xf>
    <xf numFmtId="0" fontId="3" fillId="0" borderId="0" xfId="0" applyFont="1" applyAlignment="1">
      <alignment horizontal="left" vertical="top" wrapText="1"/>
    </xf>
    <xf numFmtId="0" fontId="32" fillId="40" borderId="78" xfId="0" applyFont="1" applyFill="1" applyBorder="1" applyAlignment="1">
      <alignment horizontal="left" vertical="center" wrapText="1"/>
    </xf>
    <xf numFmtId="0" fontId="0" fillId="52" borderId="78" xfId="0" applyFill="1" applyBorder="1" applyAlignment="1">
      <alignment horizontal="left" vertical="center"/>
    </xf>
    <xf numFmtId="0" fontId="24" fillId="0" borderId="0" xfId="0" applyFont="1" applyAlignment="1">
      <alignment wrapText="1"/>
    </xf>
    <xf numFmtId="0" fontId="141" fillId="0" borderId="0" xfId="0" applyFont="1" applyAlignment="1">
      <alignment vertical="center" wrapText="1"/>
    </xf>
    <xf numFmtId="0" fontId="10" fillId="0" borderId="0" xfId="0" applyFont="1" applyAlignment="1">
      <alignment horizontal="left" vertical="center"/>
    </xf>
    <xf numFmtId="0" fontId="0" fillId="7" borderId="15" xfId="0" applyFill="1" applyBorder="1" applyAlignment="1">
      <alignment horizontal="left" vertical="center"/>
    </xf>
    <xf numFmtId="0" fontId="81" fillId="0" borderId="0" xfId="0" applyFont="1" applyAlignment="1">
      <alignment vertical="center" wrapText="1"/>
    </xf>
    <xf numFmtId="0" fontId="81" fillId="0" borderId="6" xfId="0" applyFont="1" applyBorder="1" applyAlignment="1">
      <alignment vertical="center" wrapText="1"/>
    </xf>
    <xf numFmtId="0" fontId="0" fillId="6" borderId="95" xfId="0" applyFill="1" applyBorder="1" applyAlignment="1">
      <alignment horizontal="center" vertical="center" wrapText="1"/>
    </xf>
    <xf numFmtId="0" fontId="0" fillId="0" borderId="96" xfId="0" applyBorder="1" applyAlignment="1">
      <alignment vertical="center"/>
    </xf>
    <xf numFmtId="0" fontId="0" fillId="6" borderId="97" xfId="0" applyFill="1" applyBorder="1" applyAlignment="1">
      <alignment horizontal="center" vertical="center" wrapText="1"/>
    </xf>
    <xf numFmtId="0" fontId="0" fillId="0" borderId="96" xfId="0" applyBorder="1" applyAlignment="1">
      <alignment vertical="center" wrapText="1"/>
    </xf>
    <xf numFmtId="0" fontId="0" fillId="6" borderId="98" xfId="0" applyFill="1" applyBorder="1" applyAlignment="1">
      <alignment vertical="center" wrapText="1"/>
    </xf>
    <xf numFmtId="0" fontId="0" fillId="7" borderId="12" xfId="0" applyFill="1" applyBorder="1" applyAlignment="1">
      <alignment vertical="center" wrapText="1"/>
    </xf>
    <xf numFmtId="9" fontId="0" fillId="0" borderId="0" xfId="2" applyFont="1"/>
    <xf numFmtId="0" fontId="14" fillId="27" borderId="0" xfId="0" applyFont="1" applyFill="1" applyAlignment="1">
      <alignment horizontal="left"/>
    </xf>
    <xf numFmtId="1" fontId="0" fillId="27" borderId="0" xfId="0" applyNumberFormat="1" applyFill="1" applyAlignment="1">
      <alignment horizontal="center"/>
    </xf>
    <xf numFmtId="1" fontId="2" fillId="27" borderId="0" xfId="0" applyNumberFormat="1" applyFont="1" applyFill="1" applyAlignment="1">
      <alignment horizontal="center"/>
    </xf>
    <xf numFmtId="0" fontId="0" fillId="32" borderId="0" xfId="0" applyFill="1"/>
    <xf numFmtId="0" fontId="0" fillId="32" borderId="0" xfId="0" quotePrefix="1" applyFill="1" applyAlignment="1">
      <alignment horizontal="center"/>
    </xf>
    <xf numFmtId="0" fontId="2" fillId="32" borderId="0" xfId="0" applyFont="1" applyFill="1"/>
    <xf numFmtId="0" fontId="2" fillId="14" borderId="0" xfId="0" applyFont="1" applyFill="1"/>
    <xf numFmtId="0" fontId="0" fillId="32" borderId="0" xfId="0" applyFill="1" applyAlignment="1">
      <alignment horizontal="center"/>
    </xf>
    <xf numFmtId="0" fontId="0" fillId="65" borderId="0" xfId="0" applyFill="1"/>
    <xf numFmtId="0" fontId="2" fillId="65" borderId="0" xfId="0" applyFont="1" applyFill="1" applyAlignment="1">
      <alignment horizontal="center"/>
    </xf>
    <xf numFmtId="0" fontId="0" fillId="27" borderId="0" xfId="0" applyFill="1" applyAlignment="1">
      <alignment horizontal="left"/>
    </xf>
    <xf numFmtId="0" fontId="34" fillId="0" borderId="0" xfId="0" applyFont="1" applyAlignment="1">
      <alignment horizontal="left"/>
    </xf>
    <xf numFmtId="0" fontId="2" fillId="27" borderId="0" xfId="0" applyFont="1" applyFill="1"/>
    <xf numFmtId="0" fontId="7" fillId="27" borderId="0" xfId="0" applyFont="1" applyFill="1" applyAlignment="1">
      <alignment horizontal="left"/>
    </xf>
    <xf numFmtId="0" fontId="0" fillId="6" borderId="0" xfId="0" applyFill="1" applyAlignment="1">
      <alignment horizontal="left"/>
    </xf>
    <xf numFmtId="0" fontId="0" fillId="18" borderId="0" xfId="0" applyFill="1" applyAlignment="1">
      <alignment horizontal="right"/>
    </xf>
    <xf numFmtId="0" fontId="2" fillId="18" borderId="0" xfId="0" applyFont="1" applyFill="1" applyAlignment="1">
      <alignment horizontal="center" wrapText="1"/>
    </xf>
    <xf numFmtId="0" fontId="2" fillId="6" borderId="0" xfId="0" applyFont="1" applyFill="1" applyAlignment="1">
      <alignment horizontal="center" wrapText="1"/>
    </xf>
    <xf numFmtId="9" fontId="7" fillId="0" borderId="0" xfId="0" applyNumberFormat="1" applyFont="1" applyAlignment="1">
      <alignment horizontal="center"/>
    </xf>
    <xf numFmtId="0" fontId="24" fillId="27" borderId="0" xfId="0" applyFont="1" applyFill="1" applyAlignment="1">
      <alignment wrapText="1"/>
    </xf>
    <xf numFmtId="0" fontId="24" fillId="6" borderId="0" xfId="0" applyFont="1" applyFill="1" applyAlignment="1">
      <alignment wrapText="1"/>
    </xf>
    <xf numFmtId="0" fontId="18" fillId="0" borderId="0" xfId="0" applyFont="1" applyAlignment="1">
      <alignment horizontal="left" wrapText="1"/>
    </xf>
    <xf numFmtId="0" fontId="28" fillId="0" borderId="0" xfId="0" applyFont="1" applyAlignment="1">
      <alignment wrapText="1"/>
    </xf>
    <xf numFmtId="0" fontId="28" fillId="0" borderId="0" xfId="0" applyFont="1" applyAlignment="1">
      <alignment vertical="center" wrapText="1"/>
    </xf>
    <xf numFmtId="0" fontId="144" fillId="0" borderId="0" xfId="0" applyFont="1" applyAlignment="1">
      <alignment horizontal="left" vertical="center" wrapText="1"/>
    </xf>
    <xf numFmtId="0" fontId="28" fillId="28" borderId="0" xfId="0" applyFont="1" applyFill="1" applyAlignment="1">
      <alignment wrapText="1"/>
    </xf>
    <xf numFmtId="0" fontId="32" fillId="7" borderId="1" xfId="0"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27" borderId="0" xfId="0" applyFont="1" applyFill="1" applyAlignment="1">
      <alignment horizontal="left" vertical="center" wrapText="1"/>
    </xf>
    <xf numFmtId="0" fontId="79" fillId="6" borderId="0" xfId="0" applyFont="1" applyFill="1" applyAlignment="1">
      <alignment horizontal="left" vertical="center" wrapText="1"/>
    </xf>
    <xf numFmtId="0" fontId="50" fillId="0" borderId="54" xfId="0" applyFont="1" applyBorder="1" applyAlignment="1">
      <alignment horizontal="left" vertical="center" wrapText="1"/>
    </xf>
    <xf numFmtId="0" fontId="0" fillId="52" borderId="54" xfId="0" applyFill="1" applyBorder="1" applyAlignment="1">
      <alignment horizontal="left" vertical="center" wrapText="1"/>
    </xf>
    <xf numFmtId="0" fontId="0" fillId="36" borderId="1" xfId="0" applyFill="1" applyBorder="1" applyAlignment="1">
      <alignment horizontal="left" vertical="center" wrapText="1"/>
    </xf>
    <xf numFmtId="0" fontId="50" fillId="0" borderId="1" xfId="0" applyFont="1" applyBorder="1" applyAlignment="1">
      <alignment horizontal="left" vertical="center" wrapText="1"/>
    </xf>
    <xf numFmtId="0" fontId="12" fillId="53" borderId="1" xfId="0" applyFont="1" applyFill="1" applyBorder="1" applyAlignment="1">
      <alignment horizontal="center" vertical="center" wrapText="1"/>
    </xf>
    <xf numFmtId="0" fontId="12" fillId="53" borderId="1" xfId="0" applyFont="1" applyFill="1" applyBorder="1" applyAlignment="1">
      <alignment horizontal="left" vertical="center" wrapText="1"/>
    </xf>
    <xf numFmtId="0" fontId="50" fillId="42" borderId="63" xfId="0" applyFont="1" applyFill="1" applyBorder="1" applyAlignment="1">
      <alignment horizontal="left" vertical="center" wrapText="1"/>
    </xf>
    <xf numFmtId="0" fontId="145" fillId="28" borderId="0" xfId="0" applyFont="1" applyFill="1" applyAlignment="1">
      <alignment wrapText="1"/>
    </xf>
    <xf numFmtId="0" fontId="0" fillId="32" borderId="59" xfId="0" applyFill="1" applyBorder="1" applyAlignment="1">
      <alignment horizontal="left" vertical="center" wrapText="1"/>
    </xf>
    <xf numFmtId="0" fontId="0" fillId="7" borderId="59" xfId="0" applyFill="1" applyBorder="1" applyAlignment="1">
      <alignment horizontal="left" vertical="center" wrapText="1"/>
    </xf>
    <xf numFmtId="0" fontId="0" fillId="8" borderId="19" xfId="0" applyFill="1" applyBorder="1" applyAlignment="1">
      <alignment horizontal="center" textRotation="90"/>
    </xf>
    <xf numFmtId="0" fontId="0" fillId="8" borderId="20" xfId="0" applyFill="1" applyBorder="1" applyAlignment="1">
      <alignment horizontal="center" textRotation="90"/>
    </xf>
    <xf numFmtId="0" fontId="0" fillId="8" borderId="0" xfId="0" applyFill="1" applyAlignment="1">
      <alignment horizontal="center" vertical="center"/>
    </xf>
    <xf numFmtId="0" fontId="0" fillId="8" borderId="0" xfId="0" applyFill="1" applyAlignment="1">
      <alignment horizontal="left" vertical="center"/>
    </xf>
    <xf numFmtId="1" fontId="0" fillId="8" borderId="0" xfId="0" applyNumberFormat="1" applyFill="1" applyAlignment="1">
      <alignment horizontal="center" vertical="center"/>
    </xf>
    <xf numFmtId="0" fontId="7" fillId="8" borderId="0" xfId="0" applyFont="1" applyFill="1" applyAlignment="1">
      <alignment horizontal="center" vertical="center"/>
    </xf>
    <xf numFmtId="9" fontId="0" fillId="8" borderId="0" xfId="0" applyNumberFormat="1" applyFill="1" applyAlignment="1">
      <alignment horizontal="center" vertical="center"/>
    </xf>
    <xf numFmtId="9" fontId="0" fillId="8" borderId="0" xfId="0" applyNumberFormat="1" applyFill="1" applyAlignment="1">
      <alignment vertical="center"/>
    </xf>
    <xf numFmtId="9" fontId="0" fillId="8" borderId="0" xfId="2" applyFont="1" applyFill="1" applyAlignment="1">
      <alignment horizontal="center" vertical="center"/>
    </xf>
    <xf numFmtId="0" fontId="15" fillId="8" borderId="18" xfId="0" applyFont="1" applyFill="1" applyBorder="1" applyAlignment="1">
      <alignment horizontal="center"/>
    </xf>
    <xf numFmtId="1" fontId="27" fillId="0" borderId="40" xfId="0" applyNumberFormat="1" applyFont="1" applyBorder="1" applyAlignment="1">
      <alignment horizontal="center" vertical="center" wrapText="1"/>
    </xf>
    <xf numFmtId="1" fontId="29" fillId="0" borderId="35"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0" fillId="0" borderId="0" xfId="0" applyNumberFormat="1" applyAlignment="1">
      <alignment vertical="top"/>
    </xf>
    <xf numFmtId="1" fontId="0" fillId="0" borderId="10" xfId="0" applyNumberFormat="1" applyBorder="1"/>
    <xf numFmtId="1" fontId="0" fillId="0" borderId="10" xfId="0" applyNumberFormat="1" applyBorder="1" applyAlignment="1">
      <alignment horizontal="center"/>
    </xf>
    <xf numFmtId="1" fontId="0" fillId="0" borderId="10" xfId="0" applyNumberFormat="1" applyBorder="1" applyAlignment="1">
      <alignment horizontal="center" vertical="center"/>
    </xf>
    <xf numFmtId="0" fontId="0" fillId="0" borderId="100" xfId="0" applyBorder="1" applyAlignment="1">
      <alignment horizontal="center"/>
    </xf>
    <xf numFmtId="0" fontId="0" fillId="0" borderId="99" xfId="0" applyBorder="1" applyAlignment="1">
      <alignment horizontal="center"/>
    </xf>
    <xf numFmtId="1" fontId="0" fillId="0" borderId="100" xfId="0" applyNumberFormat="1" applyBorder="1"/>
    <xf numFmtId="1" fontId="0" fillId="0" borderId="100" xfId="0" applyNumberFormat="1" applyBorder="1" applyAlignment="1">
      <alignment horizontal="center"/>
    </xf>
    <xf numFmtId="0" fontId="0" fillId="18" borderId="0" xfId="0" applyFill="1" applyAlignment="1">
      <alignment horizontal="left"/>
    </xf>
    <xf numFmtId="0" fontId="119" fillId="0" borderId="0" xfId="0" applyFont="1" applyAlignment="1">
      <alignment horizontal="left"/>
    </xf>
    <xf numFmtId="1" fontId="0" fillId="27" borderId="10" xfId="0" applyNumberFormat="1" applyFill="1" applyBorder="1"/>
    <xf numFmtId="1" fontId="0" fillId="27" borderId="0" xfId="0" applyNumberFormat="1" applyFill="1"/>
    <xf numFmtId="1" fontId="0" fillId="26" borderId="0" xfId="0" applyNumberFormat="1" applyFill="1" applyAlignment="1">
      <alignment horizontal="center"/>
    </xf>
    <xf numFmtId="1" fontId="0" fillId="6" borderId="0" xfId="0" applyNumberFormat="1" applyFill="1" applyAlignment="1">
      <alignment horizontal="right"/>
    </xf>
    <xf numFmtId="1" fontId="8" fillId="27" borderId="0" xfId="0" applyNumberFormat="1" applyFont="1" applyFill="1" applyAlignment="1">
      <alignment horizontal="center"/>
    </xf>
    <xf numFmtId="0" fontId="8" fillId="18" borderId="0" xfId="0" applyFont="1" applyFill="1" applyAlignment="1">
      <alignment horizontal="right"/>
    </xf>
    <xf numFmtId="0" fontId="8" fillId="6" borderId="0" xfId="0" applyFont="1" applyFill="1" applyAlignment="1">
      <alignment horizontal="center"/>
    </xf>
    <xf numFmtId="0" fontId="119" fillId="6" borderId="0" xfId="0" applyFont="1" applyFill="1" applyAlignment="1">
      <alignment horizontal="center"/>
    </xf>
    <xf numFmtId="0" fontId="8" fillId="6" borderId="0" xfId="0" applyFont="1" applyFill="1" applyAlignment="1">
      <alignment horizontal="right"/>
    </xf>
    <xf numFmtId="0" fontId="146" fillId="6" borderId="0" xfId="0" applyFont="1" applyFill="1" applyAlignment="1">
      <alignment horizontal="left"/>
    </xf>
    <xf numFmtId="0" fontId="123" fillId="0" borderId="0" xfId="0" applyFont="1"/>
    <xf numFmtId="0" fontId="18" fillId="0" borderId="0" xfId="0" applyFont="1"/>
    <xf numFmtId="1" fontId="0" fillId="6" borderId="0" xfId="0" applyNumberFormat="1" applyFill="1" applyAlignment="1">
      <alignment horizontal="left"/>
    </xf>
    <xf numFmtId="1" fontId="2" fillId="18" borderId="10" xfId="0" applyNumberFormat="1" applyFont="1" applyFill="1" applyBorder="1" applyAlignment="1">
      <alignment horizontal="left"/>
    </xf>
    <xf numFmtId="0" fontId="0" fillId="6" borderId="10" xfId="0" applyFill="1" applyBorder="1" applyAlignment="1">
      <alignment horizontal="center"/>
    </xf>
    <xf numFmtId="1" fontId="2" fillId="27" borderId="10" xfId="0" applyNumberFormat="1" applyFont="1" applyFill="1" applyBorder="1" applyAlignment="1">
      <alignment horizontal="center"/>
    </xf>
    <xf numFmtId="0" fontId="0" fillId="0" borderId="100" xfId="0" applyBorder="1" applyAlignment="1">
      <alignment horizontal="center" vertical="center" wrapText="1"/>
    </xf>
    <xf numFmtId="0" fontId="0" fillId="27" borderId="0" xfId="0" applyFill="1" applyAlignment="1">
      <alignment horizontal="left" vertical="center"/>
    </xf>
    <xf numFmtId="0" fontId="0" fillId="27" borderId="10" xfId="0" applyFill="1" applyBorder="1" applyAlignment="1">
      <alignment horizontal="left"/>
    </xf>
    <xf numFmtId="1" fontId="0" fillId="27" borderId="0" xfId="0" applyNumberFormat="1" applyFill="1" applyAlignment="1">
      <alignment horizontal="left"/>
    </xf>
    <xf numFmtId="0" fontId="0" fillId="27" borderId="0" xfId="0" applyFill="1" applyAlignment="1">
      <alignment wrapText="1"/>
    </xf>
    <xf numFmtId="0" fontId="147" fillId="0" borderId="0" xfId="0" applyFont="1" applyAlignment="1">
      <alignment horizontal="center" vertical="center"/>
    </xf>
    <xf numFmtId="0" fontId="148" fillId="0" borderId="0" xfId="0" applyFont="1"/>
    <xf numFmtId="0" fontId="34" fillId="0" borderId="0" xfId="0" applyFont="1"/>
    <xf numFmtId="0" fontId="73" fillId="21" borderId="0" xfId="0" applyFont="1" applyFill="1" applyAlignment="1">
      <alignment horizontal="center" vertical="center"/>
    </xf>
    <xf numFmtId="0" fontId="14" fillId="0" borderId="0" xfId="0" applyFont="1" applyAlignment="1">
      <alignment horizontal="left"/>
    </xf>
    <xf numFmtId="0" fontId="0" fillId="18" borderId="0" xfId="0" applyFill="1" applyAlignment="1">
      <alignment horizontal="center"/>
    </xf>
    <xf numFmtId="0" fontId="7" fillId="56" borderId="0" xfId="0" applyFont="1" applyFill="1" applyAlignment="1">
      <alignment horizontal="center"/>
    </xf>
    <xf numFmtId="0" fontId="13" fillId="56" borderId="21" xfId="0" applyFont="1" applyFill="1" applyBorder="1" applyAlignment="1">
      <alignment horizontal="center"/>
    </xf>
    <xf numFmtId="0" fontId="13" fillId="6" borderId="21" xfId="0" applyFont="1" applyFill="1" applyBorder="1" applyAlignment="1">
      <alignment horizontal="center"/>
    </xf>
    <xf numFmtId="0" fontId="0" fillId="26" borderId="0" xfId="0" applyFill="1" applyAlignment="1">
      <alignment horizontal="center"/>
    </xf>
    <xf numFmtId="0" fontId="13" fillId="27" borderId="0" xfId="0" applyFont="1" applyFill="1" applyAlignment="1">
      <alignment horizontal="center"/>
    </xf>
    <xf numFmtId="0" fontId="7" fillId="19" borderId="0" xfId="0" applyFont="1" applyFill="1" applyAlignment="1">
      <alignment horizontal="center"/>
    </xf>
    <xf numFmtId="0" fontId="7" fillId="32" borderId="0" xfId="0" applyFont="1" applyFill="1" applyAlignment="1">
      <alignment horizontal="center"/>
    </xf>
    <xf numFmtId="0" fontId="7" fillId="3" borderId="0" xfId="0" applyFont="1" applyFill="1" applyAlignment="1">
      <alignment horizontal="center"/>
    </xf>
    <xf numFmtId="0" fontId="0" fillId="0" borderId="53" xfId="0" applyBorder="1"/>
    <xf numFmtId="0" fontId="0" fillId="0" borderId="54" xfId="0" applyBorder="1" applyAlignment="1">
      <alignment horizontal="right"/>
    </xf>
    <xf numFmtId="0" fontId="0" fillId="19" borderId="54" xfId="0" applyFill="1" applyBorder="1"/>
    <xf numFmtId="0" fontId="0" fillId="32" borderId="54" xfId="0" applyFill="1" applyBorder="1"/>
    <xf numFmtId="0" fontId="0" fillId="3" borderId="54" xfId="0" applyFill="1" applyBorder="1"/>
    <xf numFmtId="0" fontId="0" fillId="3" borderId="55" xfId="0" applyFill="1" applyBorder="1"/>
    <xf numFmtId="0" fontId="0" fillId="19" borderId="0" xfId="0" applyFill="1" applyAlignment="1">
      <alignment horizontal="center"/>
    </xf>
    <xf numFmtId="0" fontId="0" fillId="3" borderId="0" xfId="0" applyFill="1" applyAlignment="1">
      <alignment horizontal="center"/>
    </xf>
    <xf numFmtId="0" fontId="0" fillId="3" borderId="56" xfId="0" applyFill="1" applyBorder="1" applyAlignment="1">
      <alignment horizontal="center"/>
    </xf>
    <xf numFmtId="0" fontId="0" fillId="0" borderId="1" xfId="0" applyBorder="1" applyAlignment="1">
      <alignment horizontal="right"/>
    </xf>
    <xf numFmtId="1" fontId="0" fillId="0" borderId="1" xfId="0" applyNumberFormat="1" applyBorder="1"/>
    <xf numFmtId="0" fontId="0" fillId="19" borderId="1" xfId="0" applyFill="1" applyBorder="1" applyAlignment="1">
      <alignment horizontal="center"/>
    </xf>
    <xf numFmtId="0" fontId="0" fillId="32" borderId="1" xfId="0" applyFill="1" applyBorder="1" applyAlignment="1">
      <alignment horizontal="center"/>
    </xf>
    <xf numFmtId="0" fontId="0" fillId="3" borderId="1" xfId="0" applyFill="1" applyBorder="1" applyAlignment="1">
      <alignment horizontal="center"/>
    </xf>
    <xf numFmtId="0" fontId="0" fillId="3" borderId="63" xfId="0" applyFill="1" applyBorder="1" applyAlignment="1">
      <alignment horizontal="center"/>
    </xf>
    <xf numFmtId="0" fontId="0" fillId="0" borderId="64" xfId="0" applyBorder="1"/>
    <xf numFmtId="0" fontId="0" fillId="0" borderId="78" xfId="0" applyBorder="1" applyAlignment="1">
      <alignment horizontal="right"/>
    </xf>
    <xf numFmtId="1" fontId="0" fillId="0" borderId="78" xfId="0" applyNumberFormat="1" applyBorder="1"/>
    <xf numFmtId="0" fontId="0" fillId="19" borderId="78" xfId="0" applyFill="1" applyBorder="1" applyAlignment="1">
      <alignment horizontal="center"/>
    </xf>
    <xf numFmtId="0" fontId="0" fillId="32" borderId="78" xfId="0" applyFill="1" applyBorder="1" applyAlignment="1">
      <alignment horizontal="center"/>
    </xf>
    <xf numFmtId="0" fontId="0" fillId="3" borderId="78" xfId="0" applyFill="1" applyBorder="1" applyAlignment="1">
      <alignment horizontal="center"/>
    </xf>
    <xf numFmtId="0" fontId="0" fillId="3" borderId="59" xfId="0" applyFill="1" applyBorder="1" applyAlignment="1">
      <alignment horizontal="center"/>
    </xf>
    <xf numFmtId="0" fontId="0" fillId="7" borderId="54" xfId="0" applyFill="1" applyBorder="1"/>
    <xf numFmtId="0" fontId="0" fillId="7" borderId="54" xfId="0" applyFill="1" applyBorder="1" applyAlignment="1">
      <alignment horizontal="right"/>
    </xf>
    <xf numFmtId="1" fontId="0" fillId="0" borderId="54" xfId="0" applyNumberFormat="1" applyBorder="1"/>
    <xf numFmtId="1" fontId="0" fillId="19" borderId="0" xfId="0" applyNumberFormat="1" applyFill="1"/>
    <xf numFmtId="1" fontId="0" fillId="32" borderId="0" xfId="0" applyNumberFormat="1" applyFill="1"/>
    <xf numFmtId="1" fontId="0" fillId="3" borderId="0" xfId="0" applyNumberFormat="1" applyFill="1"/>
    <xf numFmtId="1" fontId="0" fillId="3" borderId="56" xfId="0" applyNumberFormat="1" applyFill="1" applyBorder="1"/>
    <xf numFmtId="1" fontId="0" fillId="19" borderId="1" xfId="0" applyNumberFormat="1" applyFill="1" applyBorder="1"/>
    <xf numFmtId="1" fontId="0" fillId="32" borderId="1" xfId="0" applyNumberFormat="1" applyFill="1" applyBorder="1"/>
    <xf numFmtId="1" fontId="0" fillId="3" borderId="1" xfId="0" applyNumberFormat="1" applyFill="1" applyBorder="1"/>
    <xf numFmtId="1" fontId="0" fillId="3" borderId="63" xfId="0" applyNumberFormat="1" applyFill="1" applyBorder="1"/>
    <xf numFmtId="1" fontId="6" fillId="0" borderId="0" xfId="0" applyNumberFormat="1" applyFont="1" applyAlignment="1">
      <alignment horizontal="right" indent="2"/>
    </xf>
    <xf numFmtId="0" fontId="119" fillId="0" borderId="0" xfId="0" applyFont="1" applyAlignment="1">
      <alignment horizontal="left" wrapText="1"/>
    </xf>
    <xf numFmtId="1" fontId="2" fillId="0" borderId="0" xfId="0" applyNumberFormat="1" applyFont="1" applyAlignment="1">
      <alignment horizontal="center"/>
    </xf>
    <xf numFmtId="0" fontId="149" fillId="0" borderId="0" xfId="0" applyFont="1"/>
    <xf numFmtId="0" fontId="19" fillId="0" borderId="0" xfId="0" applyFont="1" applyAlignment="1">
      <alignment vertical="center"/>
    </xf>
    <xf numFmtId="1" fontId="2" fillId="0" borderId="0" xfId="0" applyNumberFormat="1" applyFont="1" applyAlignment="1">
      <alignment horizontal="right"/>
    </xf>
    <xf numFmtId="1" fontId="2" fillId="6" borderId="0" xfId="0" applyNumberFormat="1" applyFont="1" applyFill="1" applyAlignment="1">
      <alignment horizontal="center"/>
    </xf>
    <xf numFmtId="0" fontId="39" fillId="0" borderId="0" xfId="0" applyFont="1" applyAlignment="1">
      <alignment vertical="center"/>
    </xf>
    <xf numFmtId="0" fontId="0" fillId="0" borderId="10" xfId="0" applyBorder="1" applyAlignment="1">
      <alignment horizontal="center" vertical="center" wrapText="1"/>
    </xf>
    <xf numFmtId="0" fontId="19" fillId="0" borderId="0" xfId="0" applyFont="1" applyAlignment="1">
      <alignment vertical="top"/>
    </xf>
    <xf numFmtId="0" fontId="119" fillId="0" borderId="0" xfId="0" applyFont="1" applyAlignment="1">
      <alignment horizontal="center"/>
    </xf>
    <xf numFmtId="0" fontId="0" fillId="0" borderId="0" xfId="0" quotePrefix="1" applyAlignment="1">
      <alignment horizontal="right" vertical="center" wrapText="1"/>
    </xf>
    <xf numFmtId="0" fontId="119" fillId="0" borderId="0" xfId="0" applyFont="1" applyAlignment="1">
      <alignment wrapText="1"/>
    </xf>
    <xf numFmtId="0" fontId="119" fillId="0" borderId="0" xfId="0" applyFont="1"/>
    <xf numFmtId="0" fontId="150" fillId="0" borderId="0" xfId="0" applyFont="1" applyAlignment="1">
      <alignment horizontal="left"/>
    </xf>
    <xf numFmtId="0" fontId="92" fillId="0" borderId="0" xfId="3" applyAlignment="1">
      <alignment horizontal="left"/>
    </xf>
    <xf numFmtId="0" fontId="0" fillId="18" borderId="0" xfId="0" applyFill="1" applyAlignment="1">
      <alignment horizontal="center" wrapText="1"/>
    </xf>
    <xf numFmtId="0" fontId="0" fillId="18" borderId="10" xfId="0" applyFill="1" applyBorder="1" applyAlignment="1">
      <alignment horizontal="left"/>
    </xf>
    <xf numFmtId="1" fontId="0" fillId="0" borderId="0" xfId="0" applyNumberFormat="1" applyAlignment="1">
      <alignment horizontal="left"/>
    </xf>
    <xf numFmtId="1" fontId="0" fillId="27" borderId="10" xfId="0" applyNumberFormat="1" applyFill="1" applyBorder="1" applyAlignment="1">
      <alignment horizontal="center"/>
    </xf>
    <xf numFmtId="0" fontId="151" fillId="0" borderId="0" xfId="0" applyFont="1" applyAlignment="1">
      <alignment horizontal="center"/>
    </xf>
    <xf numFmtId="0" fontId="151" fillId="0" borderId="0" xfId="0" applyFont="1" applyAlignment="1">
      <alignment horizontal="left"/>
    </xf>
    <xf numFmtId="0" fontId="152" fillId="0" borderId="0" xfId="0" applyFont="1" applyAlignment="1">
      <alignment horizontal="left"/>
    </xf>
    <xf numFmtId="0" fontId="151" fillId="0" borderId="0" xfId="0" applyFont="1"/>
    <xf numFmtId="0" fontId="0" fillId="0" borderId="0" xfId="0" pivotButton="1"/>
    <xf numFmtId="0" fontId="0" fillId="0" borderId="0" xfId="0" applyAlignment="1">
      <alignment horizontal="left" indent="1"/>
    </xf>
    <xf numFmtId="0" fontId="153" fillId="0" borderId="0" xfId="0" applyFont="1" applyAlignment="1">
      <alignment horizontal="center" vertical="center"/>
    </xf>
    <xf numFmtId="0" fontId="28" fillId="0" borderId="0" xfId="0" applyFont="1" applyAlignment="1">
      <alignment horizontal="left" vertical="center"/>
    </xf>
    <xf numFmtId="0" fontId="41" fillId="0" borderId="0" xfId="0" applyFont="1" applyAlignment="1">
      <alignment horizontal="left"/>
    </xf>
    <xf numFmtId="0" fontId="111" fillId="0" borderId="0" xfId="0" applyFont="1" applyAlignment="1">
      <alignment horizontal="right"/>
    </xf>
    <xf numFmtId="1" fontId="14" fillId="0" borderId="2" xfId="0" applyNumberFormat="1" applyFont="1" applyBorder="1" applyAlignment="1">
      <alignment horizontal="center"/>
    </xf>
    <xf numFmtId="0" fontId="76" fillId="0" borderId="0" xfId="0" applyFont="1" applyAlignment="1">
      <alignment horizontal="right"/>
    </xf>
    <xf numFmtId="1" fontId="76" fillId="0" borderId="0" xfId="0" applyNumberFormat="1" applyFont="1" applyAlignment="1">
      <alignment horizontal="right"/>
    </xf>
    <xf numFmtId="0" fontId="154" fillId="0" borderId="0" xfId="0" applyFont="1"/>
    <xf numFmtId="0" fontId="155" fillId="0" borderId="0" xfId="0" applyFont="1"/>
    <xf numFmtId="0" fontId="7" fillId="0" borderId="0" xfId="0" applyFont="1" applyAlignment="1">
      <alignment horizontal="center"/>
    </xf>
    <xf numFmtId="0" fontId="13" fillId="0" borderId="0" xfId="0" applyFont="1" applyAlignment="1">
      <alignment horizontal="center"/>
    </xf>
    <xf numFmtId="0" fontId="0" fillId="0" borderId="0" xfId="0" applyAlignment="1">
      <alignment horizontal="left" wrapText="1"/>
    </xf>
    <xf numFmtId="0" fontId="119" fillId="0" borderId="0" xfId="0" applyFont="1" applyAlignment="1">
      <alignment horizontal="center" wrapText="1"/>
    </xf>
    <xf numFmtId="0" fontId="16" fillId="0" borderId="0" xfId="0" applyFont="1" applyAlignment="1">
      <alignment horizontal="center" wrapText="1"/>
    </xf>
    <xf numFmtId="0" fontId="10" fillId="0" borderId="0" xfId="0" applyFont="1" applyAlignment="1">
      <alignment horizontal="center" wrapText="1"/>
    </xf>
    <xf numFmtId="0" fontId="0" fillId="0" borderId="0" xfId="0" applyAlignment="1">
      <alignment horizontal="center"/>
    </xf>
    <xf numFmtId="0" fontId="2" fillId="0" borderId="0" xfId="0" applyFont="1" applyAlignment="1">
      <alignment horizontal="center"/>
    </xf>
    <xf numFmtId="0" fontId="0" fillId="0" borderId="0" xfId="0" applyAlignment="1">
      <alignment horizontal="center" vertical="center" wrapText="1"/>
    </xf>
    <xf numFmtId="0" fontId="119" fillId="0" borderId="0" xfId="0" applyFont="1" applyAlignment="1">
      <alignment horizontal="left" wrapText="1"/>
    </xf>
    <xf numFmtId="0" fontId="0" fillId="0" borderId="0" xfId="0" applyAlignment="1">
      <alignment horizontal="center" wrapText="1"/>
    </xf>
    <xf numFmtId="0" fontId="5" fillId="6" borderId="0" xfId="0" applyFont="1" applyFill="1" applyAlignment="1">
      <alignment horizontal="center"/>
    </xf>
    <xf numFmtId="0" fontId="0" fillId="27" borderId="0" xfId="0" applyFill="1" applyAlignment="1">
      <alignment horizontal="center"/>
    </xf>
    <xf numFmtId="0" fontId="6" fillId="35" borderId="0" xfId="0" applyFont="1" applyFill="1" applyAlignment="1">
      <alignment horizontal="center"/>
    </xf>
    <xf numFmtId="0" fontId="15" fillId="0" borderId="0" xfId="0" applyFont="1" applyAlignment="1">
      <alignment horizontal="center" vertical="center"/>
    </xf>
    <xf numFmtId="0" fontId="15" fillId="0" borderId="1" xfId="0" applyFont="1" applyBorder="1" applyAlignment="1">
      <alignment horizontal="center" vertical="center" wrapText="1"/>
    </xf>
    <xf numFmtId="0" fontId="0" fillId="55" borderId="0" xfId="0" applyFill="1" applyAlignment="1">
      <alignment horizontal="center" vertical="center" wrapText="1"/>
    </xf>
    <xf numFmtId="0" fontId="12" fillId="0" borderId="58" xfId="0" applyFont="1" applyBorder="1" applyAlignment="1">
      <alignment horizontal="center" vertical="center" wrapText="1"/>
    </xf>
    <xf numFmtId="0" fontId="81" fillId="0" borderId="0" xfId="0" applyFont="1" applyAlignment="1">
      <alignment horizontal="center" vertical="center" wrapText="1"/>
    </xf>
    <xf numFmtId="0" fontId="27" fillId="0" borderId="0" xfId="0" applyFont="1" applyAlignment="1">
      <alignment horizontal="center" vertical="center" wrapText="1"/>
    </xf>
    <xf numFmtId="0" fontId="27" fillId="0" borderId="0" xfId="0" applyFont="1" applyAlignment="1">
      <alignment horizontal="center" vertical="center"/>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15" fillId="0" borderId="70" xfId="0" applyFont="1" applyBorder="1" applyAlignment="1">
      <alignment horizontal="center" vertical="center"/>
    </xf>
    <xf numFmtId="0" fontId="6" fillId="0" borderId="0" xfId="0" applyFont="1" applyAlignment="1">
      <alignment horizontal="center" vertical="center" wrapText="1"/>
    </xf>
    <xf numFmtId="0" fontId="0" fillId="27" borderId="0" xfId="0" applyFill="1" applyAlignment="1">
      <alignment horizontal="center" vertical="center"/>
    </xf>
    <xf numFmtId="0" fontId="0" fillId="0" borderId="11" xfId="0" applyBorder="1" applyAlignment="1">
      <alignment horizontal="center" vertical="center"/>
    </xf>
    <xf numFmtId="0" fontId="15" fillId="0" borderId="10" xfId="0" applyFont="1" applyBorder="1" applyAlignment="1">
      <alignment horizontal="center" vertical="center"/>
    </xf>
    <xf numFmtId="0" fontId="0" fillId="0" borderId="0" xfId="0" applyAlignment="1">
      <alignment horizontal="center" textRotation="90" wrapText="1"/>
    </xf>
    <xf numFmtId="0" fontId="0" fillId="0" borderId="10" xfId="0" applyBorder="1" applyAlignment="1">
      <alignment horizontal="center" textRotation="90" wrapText="1"/>
    </xf>
    <xf numFmtId="0" fontId="0" fillId="0" borderId="6" xfId="0" applyBorder="1" applyAlignment="1">
      <alignment horizontal="center" textRotation="90" wrapText="1"/>
    </xf>
    <xf numFmtId="0" fontId="0" fillId="0" borderId="14" xfId="0" applyBorder="1" applyAlignment="1">
      <alignment horizontal="center" textRotation="90" wrapText="1"/>
    </xf>
    <xf numFmtId="0" fontId="15" fillId="18" borderId="18" xfId="0" applyFont="1" applyFill="1" applyBorder="1" applyAlignment="1">
      <alignment horizontal="center"/>
    </xf>
    <xf numFmtId="0" fontId="15" fillId="18" borderId="11" xfId="0" applyFont="1" applyFill="1" applyBorder="1" applyAlignment="1">
      <alignment horizontal="center"/>
    </xf>
    <xf numFmtId="0" fontId="15" fillId="18" borderId="13" xfId="0" applyFont="1" applyFill="1" applyBorder="1" applyAlignment="1">
      <alignment horizontal="center"/>
    </xf>
    <xf numFmtId="0" fontId="0" fillId="0" borderId="19" xfId="0" applyBorder="1" applyAlignment="1">
      <alignment horizontal="center" textRotation="90"/>
    </xf>
    <xf numFmtId="0" fontId="0" fillId="0" borderId="20" xfId="0" applyBorder="1" applyAlignment="1">
      <alignment horizontal="center" textRotation="90"/>
    </xf>
    <xf numFmtId="0" fontId="0" fillId="0" borderId="7" xfId="0" applyBorder="1" applyAlignment="1">
      <alignment horizontal="center" textRotation="90"/>
    </xf>
    <xf numFmtId="0" fontId="0" fillId="0" borderId="9" xfId="0" applyBorder="1" applyAlignment="1">
      <alignment horizontal="center" textRotation="90"/>
    </xf>
    <xf numFmtId="0" fontId="0" fillId="0" borderId="8" xfId="0" applyBorder="1" applyAlignment="1">
      <alignment horizontal="center" textRotation="90"/>
    </xf>
    <xf numFmtId="0" fontId="0" fillId="0" borderId="6" xfId="0" applyBorder="1" applyAlignment="1">
      <alignment horizontal="center" textRotation="90"/>
    </xf>
    <xf numFmtId="0" fontId="0" fillId="0" borderId="14" xfId="0" applyBorder="1" applyAlignment="1">
      <alignment horizontal="center" textRotation="90"/>
    </xf>
    <xf numFmtId="0" fontId="0" fillId="0" borderId="0" xfId="0" applyAlignment="1">
      <alignment horizontal="center" textRotation="90"/>
    </xf>
    <xf numFmtId="0" fontId="0" fillId="0" borderId="10" xfId="0" applyBorder="1" applyAlignment="1">
      <alignment horizontal="center" textRotation="90"/>
    </xf>
    <xf numFmtId="0" fontId="15" fillId="12" borderId="18" xfId="0" applyFont="1" applyFill="1" applyBorder="1" applyAlignment="1">
      <alignment horizontal="center"/>
    </xf>
    <xf numFmtId="0" fontId="15" fillId="12" borderId="11" xfId="0" applyFont="1" applyFill="1" applyBorder="1" applyAlignment="1">
      <alignment horizontal="center"/>
    </xf>
    <xf numFmtId="0" fontId="15" fillId="12" borderId="13" xfId="0" applyFont="1" applyFill="1" applyBorder="1" applyAlignment="1">
      <alignment horizontal="center"/>
    </xf>
    <xf numFmtId="0" fontId="0" fillId="8" borderId="7" xfId="0" applyFill="1" applyBorder="1" applyAlignment="1">
      <alignment horizontal="center" textRotation="90"/>
    </xf>
    <xf numFmtId="0" fontId="0" fillId="8" borderId="9" xfId="0" applyFill="1" applyBorder="1" applyAlignment="1">
      <alignment horizontal="center" textRotation="90"/>
    </xf>
    <xf numFmtId="0" fontId="0" fillId="8" borderId="8" xfId="0" applyFill="1" applyBorder="1" applyAlignment="1">
      <alignment horizontal="center" textRotation="90"/>
    </xf>
    <xf numFmtId="0" fontId="30" fillId="0" borderId="0" xfId="0" applyFont="1" applyAlignment="1">
      <alignment horizontal="center"/>
    </xf>
    <xf numFmtId="0" fontId="89" fillId="28" borderId="0" xfId="0" applyFont="1" applyFill="1" applyAlignment="1">
      <alignment horizontal="left" vertical="center" wrapText="1"/>
    </xf>
    <xf numFmtId="0" fontId="0" fillId="0" borderId="0" xfId="0" applyAlignment="1">
      <alignment horizontal="center" vertical="center"/>
    </xf>
    <xf numFmtId="0" fontId="27" fillId="12" borderId="0" xfId="0" applyFont="1" applyFill="1" applyAlignment="1">
      <alignment horizontal="center" vertical="center" wrapText="1"/>
    </xf>
    <xf numFmtId="0" fontId="0" fillId="7" borderId="15" xfId="0" applyFill="1" applyBorder="1" applyAlignment="1">
      <alignment horizontal="left" vertical="center" wrapText="1"/>
    </xf>
    <xf numFmtId="0" fontId="0" fillId="7" borderId="12" xfId="0" applyFill="1" applyBorder="1" applyAlignment="1">
      <alignment horizontal="left" vertical="center" wrapText="1"/>
    </xf>
    <xf numFmtId="0" fontId="0" fillId="7" borderId="3" xfId="0" applyFill="1" applyBorder="1" applyAlignment="1">
      <alignment horizontal="left" vertical="center" wrapText="1"/>
    </xf>
    <xf numFmtId="0" fontId="0" fillId="0" borderId="12" xfId="0" applyBorder="1" applyAlignment="1">
      <alignment horizontal="left" vertical="center" wrapText="1"/>
    </xf>
    <xf numFmtId="0" fontId="0" fillId="0" borderId="3" xfId="0" applyBorder="1" applyAlignment="1">
      <alignment horizontal="left" vertical="center" wrapText="1"/>
    </xf>
    <xf numFmtId="0" fontId="27" fillId="37" borderId="0" xfId="0" applyFont="1" applyFill="1" applyAlignment="1">
      <alignment horizontal="center" vertical="center" wrapText="1"/>
    </xf>
    <xf numFmtId="0" fontId="27" fillId="37" borderId="92" xfId="0" applyFont="1" applyFill="1" applyBorder="1" applyAlignment="1">
      <alignment horizontal="center" vertical="center" wrapText="1"/>
    </xf>
    <xf numFmtId="0" fontId="0" fillId="8" borderId="0" xfId="0" applyFill="1" applyAlignment="1">
      <alignment horizontal="center" vertical="center" wrapText="1"/>
    </xf>
    <xf numFmtId="0" fontId="0" fillId="6" borderId="0" xfId="0" applyFill="1" applyAlignment="1">
      <alignment horizontal="center"/>
    </xf>
    <xf numFmtId="0" fontId="28" fillId="0" borderId="16" xfId="0" applyFont="1" applyBorder="1" applyAlignment="1">
      <alignment horizontal="left" wrapText="1"/>
    </xf>
    <xf numFmtId="0" fontId="28" fillId="0" borderId="16" xfId="0" applyFont="1" applyBorder="1" applyAlignment="1">
      <alignment horizontal="left" vertical="center" wrapText="1"/>
    </xf>
    <xf numFmtId="0" fontId="4" fillId="34" borderId="0" xfId="0" applyFont="1" applyFill="1" applyAlignment="1">
      <alignment horizontal="center" vertical="center" wrapText="1"/>
    </xf>
    <xf numFmtId="0" fontId="28" fillId="0" borderId="15" xfId="0" applyFont="1" applyBorder="1" applyAlignment="1">
      <alignment horizontal="left" vertical="center" wrapText="1"/>
    </xf>
    <xf numFmtId="0" fontId="28" fillId="0" borderId="16" xfId="0" applyFont="1" applyBorder="1" applyAlignment="1">
      <alignment horizontal="left" vertical="top" wrapText="1"/>
    </xf>
    <xf numFmtId="0" fontId="8" fillId="0" borderId="0" xfId="0" applyFont="1" applyAlignment="1">
      <alignment horizontal="left" wrapText="1"/>
    </xf>
    <xf numFmtId="0" fontId="4" fillId="14" borderId="0" xfId="0" applyFont="1" applyFill="1" applyAlignment="1">
      <alignment horizontal="center" vertical="center" wrapText="1"/>
    </xf>
    <xf numFmtId="0" fontId="4" fillId="32" borderId="0" xfId="0" applyFont="1" applyFill="1" applyAlignment="1">
      <alignment horizontal="center" vertical="center" wrapText="1"/>
    </xf>
    <xf numFmtId="0" fontId="24" fillId="0" borderId="0" xfId="0" applyFont="1" applyAlignment="1">
      <alignment horizontal="center" vertical="center"/>
    </xf>
    <xf numFmtId="0" fontId="12" fillId="32" borderId="0" xfId="0" applyFont="1" applyFill="1" applyAlignment="1">
      <alignment horizontal="center" vertical="center" wrapText="1"/>
    </xf>
    <xf numFmtId="0" fontId="0" fillId="0" borderId="79"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6" fillId="0" borderId="0" xfId="0" applyFont="1" applyAlignment="1">
      <alignment horizontal="center"/>
    </xf>
    <xf numFmtId="0" fontId="0" fillId="0" borderId="53" xfId="0" applyBorder="1" applyAlignment="1">
      <alignment horizontal="left" vertical="center" wrapText="1"/>
    </xf>
    <xf numFmtId="0" fontId="0" fillId="0" borderId="62" xfId="0" applyBorder="1" applyAlignment="1">
      <alignment horizontal="left" vertical="center" wrapText="1"/>
    </xf>
    <xf numFmtId="0" fontId="14" fillId="6" borderId="0" xfId="0" applyFont="1" applyFill="1" applyAlignment="1">
      <alignment horizontal="center" vertical="center" textRotation="90"/>
    </xf>
    <xf numFmtId="0" fontId="7" fillId="56" borderId="0" xfId="0" applyFont="1" applyFill="1" applyAlignment="1">
      <alignment horizontal="center"/>
    </xf>
    <xf numFmtId="0" fontId="87" fillId="73" borderId="36" xfId="0" applyFont="1" applyFill="1" applyBorder="1" applyAlignment="1">
      <alignment horizontal="center" vertical="center" wrapText="1"/>
    </xf>
    <xf numFmtId="0" fontId="87" fillId="73" borderId="0" xfId="0" applyFont="1" applyFill="1" applyAlignment="1">
      <alignment horizontal="center" vertical="center" wrapText="1"/>
    </xf>
    <xf numFmtId="0" fontId="87" fillId="73" borderId="0" xfId="0" applyFont="1" applyFill="1" applyAlignment="1">
      <alignment horizontal="center" vertical="center"/>
    </xf>
    <xf numFmtId="0" fontId="87" fillId="73" borderId="56" xfId="0" applyFont="1" applyFill="1" applyBorder="1" applyAlignment="1">
      <alignment horizontal="center" vertical="center"/>
    </xf>
    <xf numFmtId="0" fontId="124" fillId="62" borderId="36" xfId="0" applyFont="1" applyFill="1" applyBorder="1" applyAlignment="1">
      <alignment horizontal="center" vertical="center" wrapText="1"/>
    </xf>
    <xf numFmtId="0" fontId="124" fillId="62" borderId="0" xfId="0" applyFont="1" applyFill="1" applyAlignment="1">
      <alignment horizontal="center" vertical="center" wrapText="1"/>
    </xf>
    <xf numFmtId="0" fontId="124" fillId="62" borderId="56" xfId="0" applyFont="1" applyFill="1" applyBorder="1" applyAlignment="1">
      <alignment horizontal="center" vertical="center" wrapText="1"/>
    </xf>
    <xf numFmtId="0" fontId="125" fillId="73" borderId="36" xfId="0" applyFont="1" applyFill="1" applyBorder="1" applyAlignment="1">
      <alignment horizontal="center" vertical="center" wrapText="1"/>
    </xf>
    <xf numFmtId="0" fontId="125" fillId="73" borderId="0" xfId="0" applyFont="1" applyFill="1" applyAlignment="1">
      <alignment horizontal="center" vertical="center" wrapText="1"/>
    </xf>
    <xf numFmtId="0" fontId="125" fillId="73" borderId="56" xfId="0" applyFont="1" applyFill="1" applyBorder="1" applyAlignment="1">
      <alignment horizontal="center" vertical="center" wrapText="1"/>
    </xf>
    <xf numFmtId="0" fontId="18" fillId="16" borderId="0" xfId="0" applyFont="1" applyFill="1" applyAlignment="1">
      <alignment horizontal="center" vertical="center"/>
    </xf>
    <xf numFmtId="0" fontId="18" fillId="16" borderId="0" xfId="0" applyFont="1" applyFill="1" applyAlignment="1">
      <alignment horizontal="center" vertical="center" wrapText="1"/>
    </xf>
    <xf numFmtId="0" fontId="0" fillId="0" borderId="0" xfId="0" applyAlignment="1">
      <alignment horizontal="left" vertical="center" wrapText="1"/>
    </xf>
    <xf numFmtId="0" fontId="18" fillId="16" borderId="54" xfId="0" applyFont="1" applyFill="1" applyBorder="1" applyAlignment="1">
      <alignment horizontal="center" vertical="center" wrapText="1"/>
    </xf>
    <xf numFmtId="0" fontId="0" fillId="27" borderId="0" xfId="0" applyFill="1" applyAlignment="1">
      <alignment horizontal="center" vertical="center" wrapText="1"/>
    </xf>
    <xf numFmtId="0" fontId="0" fillId="16" borderId="53" xfId="0" applyFill="1" applyBorder="1" applyAlignment="1">
      <alignment horizontal="left" vertical="top" wrapText="1"/>
    </xf>
    <xf numFmtId="0" fontId="0" fillId="16" borderId="54" xfId="0" applyFill="1" applyBorder="1" applyAlignment="1">
      <alignment horizontal="left" vertical="top" wrapText="1"/>
    </xf>
    <xf numFmtId="0" fontId="0" fillId="16" borderId="55" xfId="0" applyFill="1" applyBorder="1" applyAlignment="1">
      <alignment horizontal="left" vertical="top" wrapText="1"/>
    </xf>
    <xf numFmtId="0" fontId="0" fillId="16" borderId="53" xfId="0" applyFill="1" applyBorder="1" applyAlignment="1">
      <alignment horizontal="left" vertical="center" wrapText="1"/>
    </xf>
    <xf numFmtId="0" fontId="0" fillId="16" borderId="54" xfId="0" applyFill="1" applyBorder="1" applyAlignment="1">
      <alignment horizontal="left" vertical="center" wrapText="1"/>
    </xf>
    <xf numFmtId="0" fontId="0" fillId="16" borderId="55" xfId="0" applyFill="1" applyBorder="1" applyAlignment="1">
      <alignment horizontal="left" vertical="center" wrapText="1"/>
    </xf>
    <xf numFmtId="0" fontId="7" fillId="6" borderId="0" xfId="0" applyFont="1" applyFill="1" applyAlignment="1">
      <alignment horizontal="center"/>
    </xf>
    <xf numFmtId="0" fontId="28" fillId="9" borderId="0" xfId="0" applyFont="1" applyFill="1" applyAlignment="1">
      <alignment horizontal="center" wrapText="1"/>
    </xf>
    <xf numFmtId="0" fontId="24" fillId="10" borderId="0" xfId="0" applyFont="1" applyFill="1" applyAlignment="1">
      <alignment horizontal="center" vertical="center" textRotation="90"/>
    </xf>
    <xf numFmtId="0" fontId="116" fillId="21" borderId="0" xfId="0" applyFont="1" applyFill="1" applyAlignment="1">
      <alignment horizontal="center" wrapText="1"/>
    </xf>
    <xf numFmtId="0" fontId="116" fillId="21" borderId="0" xfId="0" applyFont="1" applyFill="1" applyAlignment="1">
      <alignment horizontal="center"/>
    </xf>
    <xf numFmtId="0" fontId="0" fillId="0" borderId="0" xfId="0" applyAlignment="1">
      <alignment vertical="center" wrapText="1"/>
    </xf>
    <xf numFmtId="0" fontId="0" fillId="63" borderId="0" xfId="0" applyFill="1" applyAlignment="1">
      <alignment horizontal="center" vertical="center" textRotation="45"/>
    </xf>
    <xf numFmtId="164" fontId="0" fillId="6" borderId="0" xfId="1" applyNumberFormat="1" applyFont="1" applyFill="1" applyAlignment="1">
      <alignment horizontal="center" vertical="center"/>
    </xf>
    <xf numFmtId="0" fontId="28" fillId="0" borderId="0" xfId="0" applyFont="1" applyAlignment="1">
      <alignment horizontal="center" vertical="center" wrapText="1"/>
    </xf>
    <xf numFmtId="0" fontId="0" fillId="0" borderId="0" xfId="0" quotePrefix="1" applyAlignment="1">
      <alignment horizontal="center" vertical="center"/>
    </xf>
    <xf numFmtId="0" fontId="33" fillId="0" borderId="0" xfId="0" applyFont="1" applyAlignment="1">
      <alignment horizontal="center" vertical="center" wrapText="1"/>
    </xf>
    <xf numFmtId="0" fontId="7" fillId="6" borderId="0" xfId="0" applyFont="1" applyFill="1" applyAlignment="1">
      <alignment horizontal="left"/>
    </xf>
    <xf numFmtId="0" fontId="4" fillId="0" borderId="53" xfId="0" applyFont="1" applyBorder="1" applyAlignment="1">
      <alignment horizontal="center" wrapText="1"/>
    </xf>
    <xf numFmtId="0" fontId="4" fillId="0" borderId="54" xfId="0" applyFont="1" applyBorder="1" applyAlignment="1">
      <alignment horizontal="center" wrapText="1"/>
    </xf>
    <xf numFmtId="0" fontId="4" fillId="0" borderId="55" xfId="0" applyFont="1" applyBorder="1" applyAlignment="1">
      <alignment horizontal="center" wrapText="1"/>
    </xf>
    <xf numFmtId="0" fontId="0" fillId="17" borderId="0" xfId="2" applyNumberFormat="1" applyFont="1" applyFill="1" applyBorder="1" applyAlignment="1">
      <alignment horizontal="center" vertical="center" wrapText="1"/>
    </xf>
    <xf numFmtId="0" fontId="5" fillId="16" borderId="0" xfId="0" applyFont="1" applyFill="1" applyAlignment="1">
      <alignment horizontal="center"/>
    </xf>
    <xf numFmtId="0" fontId="7" fillId="27" borderId="0" xfId="0" applyFont="1" applyFill="1" applyAlignment="1">
      <alignment horizontal="center" vertical="center"/>
    </xf>
    <xf numFmtId="0" fontId="0" fillId="18" borderId="0" xfId="0" applyFill="1" applyAlignment="1">
      <alignment horizontal="center"/>
    </xf>
    <xf numFmtId="0" fontId="0" fillId="0" borderId="0" xfId="0" applyAlignment="1">
      <alignment horizontal="left"/>
    </xf>
    <xf numFmtId="0" fontId="27" fillId="0" borderId="0" xfId="0" applyFont="1" applyAlignment="1">
      <alignment horizontal="center" wrapText="1"/>
    </xf>
    <xf numFmtId="0" fontId="2" fillId="31" borderId="0" xfId="0" applyFont="1" applyFill="1" applyAlignment="1">
      <alignment horizontal="center" wrapText="1"/>
    </xf>
    <xf numFmtId="164" fontId="0" fillId="17" borderId="0" xfId="2" applyNumberFormat="1" applyFont="1" applyFill="1" applyBorder="1" applyAlignment="1">
      <alignment horizontal="center" vertical="center" wrapText="1"/>
    </xf>
    <xf numFmtId="0" fontId="2" fillId="31" borderId="0" xfId="0" applyFont="1" applyFill="1" applyAlignment="1">
      <alignment horizontal="center" vertical="top" wrapText="1"/>
    </xf>
    <xf numFmtId="0" fontId="0" fillId="0" borderId="56" xfId="0" applyBorder="1" applyAlignment="1">
      <alignment horizontal="center" wrapText="1"/>
    </xf>
    <xf numFmtId="0" fontId="0" fillId="16" borderId="19" xfId="0" applyFill="1" applyBorder="1" applyAlignment="1">
      <alignment horizontal="center" vertical="center"/>
    </xf>
  </cellXfs>
  <cellStyles count="5">
    <cellStyle name="Comma" xfId="1" builtinId="3"/>
    <cellStyle name="Hyperlink" xfId="3" builtinId="8"/>
    <cellStyle name="Normal" xfId="0" builtinId="0"/>
    <cellStyle name="Normal 2" xfId="4" xr:uid="{3ACDA4FE-6E48-074E-A740-4B631A3B71B2}"/>
    <cellStyle name="Percent" xfId="2" builtinId="5"/>
  </cellStyles>
  <dxfs count="18">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20004"/>
      <color rgb="FFFF7E79"/>
      <color rgb="FFF4E6FF"/>
      <color rgb="FFEED7FC"/>
      <color rgb="FFFF2600"/>
      <color rgb="FFECA0BF"/>
      <color rgb="FFEED0B0"/>
      <color rgb="FFE984AF"/>
      <color rgb="FFF5FAF0"/>
      <color rgb="FFF1EB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Structure" Target="richData/rdrichvaluestructure.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Valeur</a:t>
            </a:r>
            <a:r>
              <a:rPr lang="fr-CA" baseline="0"/>
              <a:t> de l'échelle de fréquence proposée </a:t>
            </a:r>
          </a:p>
          <a:p>
            <a:pPr>
              <a:defRPr/>
            </a:pPr>
            <a:r>
              <a:rPr lang="fr-CA" baseline="0"/>
              <a:t>(à tester)</a:t>
            </a:r>
            <a:endParaRPr lang="fr-CA"/>
          </a:p>
        </c:rich>
      </c:tx>
      <c:layout>
        <c:manualLayout>
          <c:xMode val="edge"/>
          <c:yMode val="edge"/>
          <c:x val="0.32970261808423218"/>
          <c:y val="1.8927444794952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Test_Bible!$F$51:$K$51</c:f>
              <c:numCache>
                <c:formatCode>General</c:formatCode>
                <c:ptCount val="6"/>
              </c:numCache>
            </c:numRef>
          </c:cat>
          <c:val>
            <c:numRef>
              <c:f>Test_Bible!$E$52:$K$52</c:f>
              <c:numCache>
                <c:formatCode>0</c:formatCode>
                <c:ptCount val="7"/>
                <c:pt idx="0">
                  <c:v>0</c:v>
                </c:pt>
                <c:pt idx="1">
                  <c:v>0</c:v>
                </c:pt>
                <c:pt idx="2">
                  <c:v>1</c:v>
                </c:pt>
                <c:pt idx="3">
                  <c:v>2</c:v>
                </c:pt>
                <c:pt idx="4">
                  <c:v>4</c:v>
                </c:pt>
                <c:pt idx="5">
                  <c:v>7</c:v>
                </c:pt>
                <c:pt idx="6">
                  <c:v>10</c:v>
                </c:pt>
              </c:numCache>
            </c:numRef>
          </c:val>
          <c:smooth val="0"/>
          <c:extLst>
            <c:ext xmlns:c16="http://schemas.microsoft.com/office/drawing/2014/chart" uri="{C3380CC4-5D6E-409C-BE32-E72D297353CC}">
              <c16:uniqueId val="{00000000-FB0A-A141-B05A-8848D90B1C3C}"/>
            </c:ext>
          </c:extLst>
        </c:ser>
        <c:dLbls>
          <c:showLegendKey val="0"/>
          <c:showVal val="0"/>
          <c:showCatName val="0"/>
          <c:showSerName val="0"/>
          <c:showPercent val="0"/>
          <c:showBubbleSize val="0"/>
        </c:dLbls>
        <c:smooth val="0"/>
        <c:axId val="244597247"/>
        <c:axId val="1911571008"/>
      </c:lineChart>
      <c:catAx>
        <c:axId val="2445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571008"/>
        <c:crosses val="autoZero"/>
        <c:auto val="1"/>
        <c:lblAlgn val="ctr"/>
        <c:lblOffset val="100"/>
        <c:noMultiLvlLbl val="0"/>
      </c:catAx>
      <c:valAx>
        <c:axId val="191157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Valeur de fréquernce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2E-3745-8E93-BCEB5D6FEE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2E-3745-8E93-BCEB5D6FEE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2E-3745-8E93-BCEB5D6FEE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2E-3745-8E93-BCEB5D6FEEA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02E-3745-8E93-BCEB5D6FEEA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02E-3745-8E93-BCEB5D6FEEA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02E-3745-8E93-BCEB5D6FEEA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02E-3745-8E93-BCEB5D6FEEA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02E-3745-8E93-BCEB5D6FEEAD}"/>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02E-3745-8E93-BCEB5D6FEEAD}"/>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02E-3745-8E93-BCEB5D6FEEAD}"/>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02E-3745-8E93-BCEB5D6FEEAD}"/>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02E-3745-8E93-BCEB5D6FEEA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02E-3745-8E93-BCEB5D6FEEAD}"/>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02E-3745-8E93-BCEB5D6FEEAD}"/>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02E-3745-8E93-BCEB5D6FEEA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Baromètre!$U$7:$U$14</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Baromètre!$V$7:$V$14</c:f>
              <c:numCache>
                <c:formatCode>0%</c:formatCode>
                <c:ptCount val="8"/>
                <c:pt idx="0">
                  <c:v>3.7135278514588858E-2</c:v>
                </c:pt>
                <c:pt idx="1">
                  <c:v>8.7533156498673742E-2</c:v>
                </c:pt>
                <c:pt idx="2">
                  <c:v>0.10344827586206896</c:v>
                </c:pt>
                <c:pt idx="3">
                  <c:v>0.15649867374005305</c:v>
                </c:pt>
                <c:pt idx="4">
                  <c:v>0.20954907161803712</c:v>
                </c:pt>
                <c:pt idx="5">
                  <c:v>0.21485411140583555</c:v>
                </c:pt>
                <c:pt idx="6">
                  <c:v>0.10610079575596817</c:v>
                </c:pt>
                <c:pt idx="7">
                  <c:v>8.4880636604774531E-2</c:v>
                </c:pt>
              </c:numCache>
            </c:numRef>
          </c:val>
          <c:extLst>
            <c:ext xmlns:c16="http://schemas.microsoft.com/office/drawing/2014/chart" uri="{C3380CC4-5D6E-409C-BE32-E72D297353CC}">
              <c16:uniqueId val="{00000010-B02E-3745-8E93-BCEB5D6FEE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fr-CA"/>
              <a:t>Impact</a:t>
            </a:r>
            <a:r>
              <a:rPr lang="fr-CA" baseline="0"/>
              <a:t> chez l'enfant selon les catégories</a:t>
            </a:r>
            <a:endParaRPr lang="fr-CA"/>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AF-DC42-95D6-0DFC85D9CAA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F-DC42-95D6-0DFC85D9CAA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F-DC42-95D6-0DFC85D9CAA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7AF-DC42-95D6-0DFC85D9CAA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7AF-DC42-95D6-0DFC85D9CAA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E7AF-DC42-95D6-0DFC85D9CAA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E7AF-DC42-95D6-0DFC85D9CAA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E7AF-DC42-95D6-0DFC85D9CAA7}"/>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7AF-DC42-95D6-0DFC85D9CAA7}"/>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7AF-DC42-95D6-0DFC85D9CAA7}"/>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E7AF-DC42-95D6-0DFC85D9CAA7}"/>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E7AF-DC42-95D6-0DFC85D9CAA7}"/>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E7AF-DC42-95D6-0DFC85D9CAA7}"/>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E7AF-DC42-95D6-0DFC85D9CAA7}"/>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E7AF-DC42-95D6-0DFC85D9CAA7}"/>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E7AF-DC42-95D6-0DFC85D9CA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Baromètre!$U$38:$U$45</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Baromètre!$V$38:$V$45</c:f>
              <c:numCache>
                <c:formatCode>0%</c:formatCode>
                <c:ptCount val="8"/>
                <c:pt idx="0">
                  <c:v>0.11382113821138211</c:v>
                </c:pt>
                <c:pt idx="1">
                  <c:v>4.878048780487805E-2</c:v>
                </c:pt>
                <c:pt idx="2">
                  <c:v>4.878048780487805E-2</c:v>
                </c:pt>
                <c:pt idx="3">
                  <c:v>7.3170731707317069E-2</c:v>
                </c:pt>
                <c:pt idx="4">
                  <c:v>0.24390243902439024</c:v>
                </c:pt>
                <c:pt idx="5">
                  <c:v>0.11382113821138211</c:v>
                </c:pt>
                <c:pt idx="6">
                  <c:v>0.15040650406504066</c:v>
                </c:pt>
                <c:pt idx="7">
                  <c:v>0.2073170731707317</c:v>
                </c:pt>
              </c:numCache>
            </c:numRef>
          </c:val>
          <c:extLst>
            <c:ext xmlns:c16="http://schemas.microsoft.com/office/drawing/2014/chart" uri="{C3380CC4-5D6E-409C-BE32-E72D297353CC}">
              <c16:uniqueId val="{00000010-E7AF-DC42-95D6-0DFC85D9CAA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b="1"/>
              <a:t>Les comportements les</a:t>
            </a:r>
            <a:r>
              <a:rPr lang="fr-CA" b="1" baseline="0"/>
              <a:t> plus fréquents adoptés par l'enfant en réaction aux comportements aliénants</a:t>
            </a:r>
            <a:endParaRPr lang="fr-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41275" cap="rnd">
              <a:solidFill>
                <a:srgbClr val="FF0000"/>
              </a:solidFill>
              <a:round/>
              <a:headEnd type="oval"/>
            </a:ln>
            <a:effectLst/>
          </c:spPr>
          <c:marker>
            <c:symbol val="none"/>
          </c:marker>
          <c:cat>
            <c:strRef>
              <c:f>Baromètre!$R$81:$R$95</c:f>
              <c:strCache>
                <c:ptCount val="11"/>
                <c:pt idx="0">
                  <c:v>ne doit pas raconter ce qui se passe</c:v>
                </c:pt>
                <c:pt idx="4">
                  <c:v>déforme les souvenirs</c:v>
                </c:pt>
                <c:pt idx="7">
                  <c:v>vous salue lorsqu'il vous croise à l'école</c:v>
                </c:pt>
                <c:pt idx="10">
                  <c:v>est informé du contexte juridique ou autre sujet associé au conflit</c:v>
                </c:pt>
              </c:strCache>
            </c:strRef>
          </c:cat>
          <c:val>
            <c:numRef>
              <c:f>Baromètre!$V$81:$V$95</c:f>
              <c:numCache>
                <c:formatCode>0</c:formatCode>
                <c:ptCount val="15"/>
                <c:pt idx="0">
                  <c:v>34</c:v>
                </c:pt>
                <c:pt idx="1">
                  <c:v>8</c:v>
                </c:pt>
                <c:pt idx="2">
                  <c:v>12</c:v>
                </c:pt>
                <c:pt idx="3">
                  <c:v>2</c:v>
                </c:pt>
                <c:pt idx="4">
                  <c:v>42</c:v>
                </c:pt>
                <c:pt idx="5">
                  <c:v>2</c:v>
                </c:pt>
                <c:pt idx="6">
                  <c:v>8</c:v>
                </c:pt>
                <c:pt idx="7">
                  <c:v>22</c:v>
                </c:pt>
                <c:pt idx="8">
                  <c:v>8</c:v>
                </c:pt>
                <c:pt idx="9">
                  <c:v>21</c:v>
                </c:pt>
                <c:pt idx="10">
                  <c:v>28</c:v>
                </c:pt>
                <c:pt idx="11">
                  <c:v>20</c:v>
                </c:pt>
                <c:pt idx="12">
                  <c:v>3</c:v>
                </c:pt>
                <c:pt idx="13">
                  <c:v>0</c:v>
                </c:pt>
                <c:pt idx="14">
                  <c:v>0</c:v>
                </c:pt>
              </c:numCache>
            </c:numRef>
          </c:val>
          <c:extLst>
            <c:ext xmlns:c16="http://schemas.microsoft.com/office/drawing/2014/chart" uri="{C3380CC4-5D6E-409C-BE32-E72D297353CC}">
              <c16:uniqueId val="{00000000-BFF3-674A-864F-7EC1940A538D}"/>
            </c:ext>
          </c:extLst>
        </c:ser>
        <c:dLbls>
          <c:showLegendKey val="0"/>
          <c:showVal val="0"/>
          <c:showCatName val="0"/>
          <c:showSerName val="0"/>
          <c:showPercent val="0"/>
          <c:showBubbleSize val="0"/>
        </c:dLbls>
        <c:axId val="790389904"/>
        <c:axId val="790391552"/>
      </c:radarChart>
      <c:catAx>
        <c:axId val="79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0391552"/>
        <c:crosses val="autoZero"/>
        <c:auto val="1"/>
        <c:lblAlgn val="ctr"/>
        <c:lblOffset val="100"/>
        <c:noMultiLvlLbl val="0"/>
      </c:catAx>
      <c:valAx>
        <c:axId val="790391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TEMP_Différentiel!$AO$9:$AO$29</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xVal>
          <c:yVal>
            <c:numRef>
              <c:f>TEMP_Différentiel!$AP$9:$AP$29</c:f>
              <c:numCache>
                <c:formatCode>0%</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yVal>
          <c:smooth val="0"/>
          <c:extLst>
            <c:ext xmlns:c16="http://schemas.microsoft.com/office/drawing/2014/chart" uri="{C3380CC4-5D6E-409C-BE32-E72D297353CC}">
              <c16:uniqueId val="{00000000-743C-5E4D-ABD0-65C45871E242}"/>
            </c:ext>
          </c:extLst>
        </c:ser>
        <c:dLbls>
          <c:showLegendKey val="0"/>
          <c:showVal val="0"/>
          <c:showCatName val="0"/>
          <c:showSerName val="0"/>
          <c:showPercent val="0"/>
          <c:showBubbleSize val="0"/>
        </c:dLbls>
        <c:axId val="1988786336"/>
        <c:axId val="1989140928"/>
      </c:scatterChart>
      <c:valAx>
        <c:axId val="198878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40928"/>
        <c:crosses val="autoZero"/>
        <c:crossBetween val="midCat"/>
      </c:valAx>
      <c:valAx>
        <c:axId val="198914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86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tx>
            <cx:txData>
              <cx:f>_xlchart.v2.1</cx:f>
              <cx:v>Écart (opposé | aligné) entre les comportements des parents</cx:v>
            </cx:txData>
          </cx:tx>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tx>
            <cx:txData>
              <cx:f>_xlchart.v2.4</cx:f>
              <cx:v>Écart (opposé | aligné) entre les comportements des parents</cx:v>
            </cx:txData>
          </cx:tx>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3.jpeg"/><Relationship Id="rId5" Type="http://schemas.microsoft.com/office/2014/relationships/chartEx" Target="../charts/chartEx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pn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292100</xdr:colOff>
      <xdr:row>1</xdr:row>
      <xdr:rowOff>88900</xdr:rowOff>
    </xdr:from>
    <xdr:to>
      <xdr:col>3</xdr:col>
      <xdr:colOff>850900</xdr:colOff>
      <xdr:row>1</xdr:row>
      <xdr:rowOff>495300</xdr:rowOff>
    </xdr:to>
    <xdr:sp macro="" textlink="">
      <xdr:nvSpPr>
        <xdr:cNvPr id="2" name="Flèche vers le bas 1">
          <a:extLst>
            <a:ext uri="{FF2B5EF4-FFF2-40B4-BE49-F238E27FC236}">
              <a16:creationId xmlns:a16="http://schemas.microsoft.com/office/drawing/2014/main" id="{300AA781-593E-BD88-5B65-ABA1DA854BB7}"/>
            </a:ext>
          </a:extLst>
        </xdr:cNvPr>
        <xdr:cNvSpPr/>
      </xdr:nvSpPr>
      <xdr:spPr>
        <a:xfrm>
          <a:off x="13843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292100</xdr:colOff>
      <xdr:row>1</xdr:row>
      <xdr:rowOff>88900</xdr:rowOff>
    </xdr:from>
    <xdr:to>
      <xdr:col>4</xdr:col>
      <xdr:colOff>850900</xdr:colOff>
      <xdr:row>1</xdr:row>
      <xdr:rowOff>495300</xdr:rowOff>
    </xdr:to>
    <xdr:sp macro="" textlink="">
      <xdr:nvSpPr>
        <xdr:cNvPr id="3" name="Flèche vers le bas 2">
          <a:extLst>
            <a:ext uri="{FF2B5EF4-FFF2-40B4-BE49-F238E27FC236}">
              <a16:creationId xmlns:a16="http://schemas.microsoft.com/office/drawing/2014/main" id="{FCA9AFF8-1DB3-0C49-8B89-07B569ED3039}"/>
            </a:ext>
          </a:extLst>
        </xdr:cNvPr>
        <xdr:cNvSpPr/>
      </xdr:nvSpPr>
      <xdr:spPr>
        <a:xfrm>
          <a:off x="26289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685800</xdr:colOff>
      <xdr:row>1</xdr:row>
      <xdr:rowOff>63500</xdr:rowOff>
    </xdr:from>
    <xdr:to>
      <xdr:col>5</xdr:col>
      <xdr:colOff>1244600</xdr:colOff>
      <xdr:row>1</xdr:row>
      <xdr:rowOff>533400</xdr:rowOff>
    </xdr:to>
    <xdr:sp macro="" textlink="">
      <xdr:nvSpPr>
        <xdr:cNvPr id="4" name="Flèche vers le bas 3">
          <a:extLst>
            <a:ext uri="{FF2B5EF4-FFF2-40B4-BE49-F238E27FC236}">
              <a16:creationId xmlns:a16="http://schemas.microsoft.com/office/drawing/2014/main" id="{0752B411-A2D6-3A4B-A40B-C32846C1E49D}"/>
            </a:ext>
          </a:extLst>
        </xdr:cNvPr>
        <xdr:cNvSpPr/>
      </xdr:nvSpPr>
      <xdr:spPr>
        <a:xfrm>
          <a:off x="4178300" y="1536700"/>
          <a:ext cx="558800" cy="469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774700</xdr:colOff>
      <xdr:row>1</xdr:row>
      <xdr:rowOff>88900</xdr:rowOff>
    </xdr:from>
    <xdr:to>
      <xdr:col>6</xdr:col>
      <xdr:colOff>1333500</xdr:colOff>
      <xdr:row>1</xdr:row>
      <xdr:rowOff>495300</xdr:rowOff>
    </xdr:to>
    <xdr:sp macro="" textlink="">
      <xdr:nvSpPr>
        <xdr:cNvPr id="5" name="Flèche vers le bas 4">
          <a:extLst>
            <a:ext uri="{FF2B5EF4-FFF2-40B4-BE49-F238E27FC236}">
              <a16:creationId xmlns:a16="http://schemas.microsoft.com/office/drawing/2014/main" id="{D1BB089A-84F7-D341-9534-D87D26FCA1C5}"/>
            </a:ext>
          </a:extLst>
        </xdr:cNvPr>
        <xdr:cNvSpPr/>
      </xdr:nvSpPr>
      <xdr:spPr>
        <a:xfrm>
          <a:off x="60071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8</xdr:col>
      <xdr:colOff>958942</xdr:colOff>
      <xdr:row>646</xdr:row>
      <xdr:rowOff>71476</xdr:rowOff>
    </xdr:from>
    <xdr:to>
      <xdr:col>10</xdr:col>
      <xdr:colOff>68884</xdr:colOff>
      <xdr:row>651</xdr:row>
      <xdr:rowOff>167479</xdr:rowOff>
    </xdr:to>
    <xdr:pic>
      <xdr:nvPicPr>
        <xdr:cNvPr id="7" name="Image 6">
          <a:extLst>
            <a:ext uri="{FF2B5EF4-FFF2-40B4-BE49-F238E27FC236}">
              <a16:creationId xmlns:a16="http://schemas.microsoft.com/office/drawing/2014/main" id="{662C513E-64C6-159C-9987-733F8D9286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21659" y="145652128"/>
          <a:ext cx="1636137" cy="1296981"/>
        </a:xfrm>
        <a:prstGeom prst="rect">
          <a:avLst/>
        </a:prstGeom>
      </xdr:spPr>
    </xdr:pic>
    <xdr:clientData/>
  </xdr:twoCellAnchor>
  <xdr:twoCellAnchor editAs="oneCell">
    <xdr:from>
      <xdr:col>6</xdr:col>
      <xdr:colOff>870105</xdr:colOff>
      <xdr:row>577</xdr:row>
      <xdr:rowOff>23682</xdr:rowOff>
    </xdr:from>
    <xdr:to>
      <xdr:col>10</xdr:col>
      <xdr:colOff>1043096</xdr:colOff>
      <xdr:row>601</xdr:row>
      <xdr:rowOff>56139</xdr:rowOff>
    </xdr:to>
    <xdr:pic>
      <xdr:nvPicPr>
        <xdr:cNvPr id="10" name="Image 9">
          <a:extLst>
            <a:ext uri="{FF2B5EF4-FFF2-40B4-BE49-F238E27FC236}">
              <a16:creationId xmlns:a16="http://schemas.microsoft.com/office/drawing/2014/main" id="{153CE82D-BEFB-BF8A-514E-C25F1E9E83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6083" y="130488573"/>
          <a:ext cx="5045926" cy="5002022"/>
        </a:xfrm>
        <a:prstGeom prst="rect">
          <a:avLst/>
        </a:prstGeom>
      </xdr:spPr>
    </xdr:pic>
    <xdr:clientData/>
  </xdr:twoCellAnchor>
  <xdr:twoCellAnchor editAs="oneCell">
    <xdr:from>
      <xdr:col>5</xdr:col>
      <xdr:colOff>437064</xdr:colOff>
      <xdr:row>614</xdr:row>
      <xdr:rowOff>38101</xdr:rowOff>
    </xdr:from>
    <xdr:to>
      <xdr:col>10</xdr:col>
      <xdr:colOff>451617</xdr:colOff>
      <xdr:row>631</xdr:row>
      <xdr:rowOff>98777</xdr:rowOff>
    </xdr:to>
    <xdr:pic>
      <xdr:nvPicPr>
        <xdr:cNvPr id="11" name="Image 10">
          <a:extLst>
            <a:ext uri="{FF2B5EF4-FFF2-40B4-BE49-F238E27FC236}">
              <a16:creationId xmlns:a16="http://schemas.microsoft.com/office/drawing/2014/main" id="{90B49B7A-FA5C-023E-B67E-F7DCA98E6E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79731" y="128660879"/>
          <a:ext cx="6060857" cy="3419121"/>
        </a:xfrm>
        <a:prstGeom prst="rect">
          <a:avLst/>
        </a:prstGeom>
      </xdr:spPr>
    </xdr:pic>
    <xdr:clientData/>
  </xdr:twoCellAnchor>
  <xdr:twoCellAnchor editAs="oneCell">
    <xdr:from>
      <xdr:col>7</xdr:col>
      <xdr:colOff>685495</xdr:colOff>
      <xdr:row>478</xdr:row>
      <xdr:rowOff>50618</xdr:rowOff>
    </xdr:from>
    <xdr:to>
      <xdr:col>10</xdr:col>
      <xdr:colOff>1445469</xdr:colOff>
      <xdr:row>499</xdr:row>
      <xdr:rowOff>92891</xdr:rowOff>
    </xdr:to>
    <xdr:pic>
      <xdr:nvPicPr>
        <xdr:cNvPr id="15" name="Image 14">
          <a:extLst>
            <a:ext uri="{FF2B5EF4-FFF2-40B4-BE49-F238E27FC236}">
              <a16:creationId xmlns:a16="http://schemas.microsoft.com/office/drawing/2014/main" id="{A0E15277-9F37-614E-9457-F53A17A6C4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74843" y="105860944"/>
          <a:ext cx="4459539" cy="4404447"/>
        </a:xfrm>
        <a:prstGeom prst="rect">
          <a:avLst/>
        </a:prstGeom>
      </xdr:spPr>
    </xdr:pic>
    <xdr:clientData/>
  </xdr:twoCellAnchor>
  <xdr:twoCellAnchor editAs="oneCell">
    <xdr:from>
      <xdr:col>7</xdr:col>
      <xdr:colOff>606094</xdr:colOff>
      <xdr:row>420</xdr:row>
      <xdr:rowOff>66234</xdr:rowOff>
    </xdr:from>
    <xdr:to>
      <xdr:col>13</xdr:col>
      <xdr:colOff>682247</xdr:colOff>
      <xdr:row>427</xdr:row>
      <xdr:rowOff>25108</xdr:rowOff>
    </xdr:to>
    <xdr:pic>
      <xdr:nvPicPr>
        <xdr:cNvPr id="16" name="Image 15">
          <a:extLst>
            <a:ext uri="{FF2B5EF4-FFF2-40B4-BE49-F238E27FC236}">
              <a16:creationId xmlns:a16="http://schemas.microsoft.com/office/drawing/2014/main" id="{D7FE4CCB-3DAF-5DEC-7A3E-59DDD367B1F4}"/>
            </a:ext>
          </a:extLst>
        </xdr:cNvPr>
        <xdr:cNvPicPr>
          <a:picLocks noChangeAspect="1"/>
        </xdr:cNvPicPr>
      </xdr:nvPicPr>
      <xdr:blipFill>
        <a:blip xmlns:r="http://schemas.openxmlformats.org/officeDocument/2006/relationships" r:embed="rId4"/>
        <a:stretch>
          <a:fillRect/>
        </a:stretch>
      </xdr:blipFill>
      <xdr:spPr>
        <a:xfrm>
          <a:off x="10766094" y="86354685"/>
          <a:ext cx="7228554" cy="2069578"/>
        </a:xfrm>
        <a:prstGeom prst="rect">
          <a:avLst/>
        </a:prstGeom>
      </xdr:spPr>
    </xdr:pic>
    <xdr:clientData/>
  </xdr:twoCellAnchor>
  <xdr:twoCellAnchor editAs="oneCell">
    <xdr:from>
      <xdr:col>8</xdr:col>
      <xdr:colOff>1326445</xdr:colOff>
      <xdr:row>451</xdr:row>
      <xdr:rowOff>246082</xdr:rowOff>
    </xdr:from>
    <xdr:to>
      <xdr:col>15</xdr:col>
      <xdr:colOff>457003</xdr:colOff>
      <xdr:row>453</xdr:row>
      <xdr:rowOff>157745</xdr:rowOff>
    </xdr:to>
    <xdr:pic>
      <xdr:nvPicPr>
        <xdr:cNvPr id="18" name="Image 17">
          <a:extLst>
            <a:ext uri="{FF2B5EF4-FFF2-40B4-BE49-F238E27FC236}">
              <a16:creationId xmlns:a16="http://schemas.microsoft.com/office/drawing/2014/main" id="{70CD4159-B540-3CA2-BB97-922369365665}"/>
            </a:ext>
          </a:extLst>
        </xdr:cNvPr>
        <xdr:cNvPicPr>
          <a:picLocks noChangeAspect="1"/>
        </xdr:cNvPicPr>
      </xdr:nvPicPr>
      <xdr:blipFill>
        <a:blip xmlns:r="http://schemas.openxmlformats.org/officeDocument/2006/relationships" r:embed="rId5"/>
        <a:stretch>
          <a:fillRect/>
        </a:stretch>
      </xdr:blipFill>
      <xdr:spPr>
        <a:xfrm>
          <a:off x="12745206" y="96754843"/>
          <a:ext cx="6897460" cy="518566"/>
        </a:xfrm>
        <a:prstGeom prst="rect">
          <a:avLst/>
        </a:prstGeom>
      </xdr:spPr>
    </xdr:pic>
    <xdr:clientData/>
  </xdr:twoCellAnchor>
  <xdr:twoCellAnchor editAs="oneCell">
    <xdr:from>
      <xdr:col>9</xdr:col>
      <xdr:colOff>25351</xdr:colOff>
      <xdr:row>453</xdr:row>
      <xdr:rowOff>112388</xdr:rowOff>
    </xdr:from>
    <xdr:to>
      <xdr:col>11</xdr:col>
      <xdr:colOff>278744</xdr:colOff>
      <xdr:row>454</xdr:row>
      <xdr:rowOff>123628</xdr:rowOff>
    </xdr:to>
    <xdr:pic>
      <xdr:nvPicPr>
        <xdr:cNvPr id="19" name="Image 18">
          <a:extLst>
            <a:ext uri="{FF2B5EF4-FFF2-40B4-BE49-F238E27FC236}">
              <a16:creationId xmlns:a16="http://schemas.microsoft.com/office/drawing/2014/main" id="{C76C8F15-98A8-904D-967D-76E8E32CE2F5}"/>
            </a:ext>
          </a:extLst>
        </xdr:cNvPr>
        <xdr:cNvPicPr>
          <a:picLocks noChangeAspect="1"/>
        </xdr:cNvPicPr>
      </xdr:nvPicPr>
      <xdr:blipFill>
        <a:blip xmlns:r="http://schemas.openxmlformats.org/officeDocument/2006/relationships" r:embed="rId5"/>
        <a:stretch>
          <a:fillRect/>
        </a:stretch>
      </xdr:blipFill>
      <xdr:spPr>
        <a:xfrm>
          <a:off x="12804024" y="97228052"/>
          <a:ext cx="3214609" cy="292213"/>
        </a:xfrm>
        <a:prstGeom prst="rect">
          <a:avLst/>
        </a:prstGeom>
      </xdr:spPr>
    </xdr:pic>
    <xdr:clientData/>
  </xdr:twoCellAnchor>
  <xdr:twoCellAnchor editAs="oneCell">
    <xdr:from>
      <xdr:col>26</xdr:col>
      <xdr:colOff>103352</xdr:colOff>
      <xdr:row>432</xdr:row>
      <xdr:rowOff>162777</xdr:rowOff>
    </xdr:from>
    <xdr:to>
      <xdr:col>31</xdr:col>
      <xdr:colOff>449073</xdr:colOff>
      <xdr:row>447</xdr:row>
      <xdr:rowOff>222619</xdr:rowOff>
    </xdr:to>
    <xdr:pic>
      <xdr:nvPicPr>
        <xdr:cNvPr id="20" name="Image 19">
          <a:extLst>
            <a:ext uri="{FF2B5EF4-FFF2-40B4-BE49-F238E27FC236}">
              <a16:creationId xmlns:a16="http://schemas.microsoft.com/office/drawing/2014/main" id="{00CADC3E-214F-5CDB-6682-7482B770266B}"/>
            </a:ext>
          </a:extLst>
        </xdr:cNvPr>
        <xdr:cNvPicPr>
          <a:picLocks noChangeAspect="1"/>
        </xdr:cNvPicPr>
      </xdr:nvPicPr>
      <xdr:blipFill>
        <a:blip xmlns:r="http://schemas.openxmlformats.org/officeDocument/2006/relationships" r:embed="rId6"/>
        <a:stretch>
          <a:fillRect/>
        </a:stretch>
      </xdr:blipFill>
      <xdr:spPr>
        <a:xfrm>
          <a:off x="28329549" y="90010805"/>
          <a:ext cx="4459806" cy="3136462"/>
        </a:xfrm>
        <a:prstGeom prst="rect">
          <a:avLst/>
        </a:prstGeom>
      </xdr:spPr>
    </xdr:pic>
    <xdr:clientData/>
  </xdr:twoCellAnchor>
  <xdr:twoCellAnchor editAs="oneCell">
    <xdr:from>
      <xdr:col>7</xdr:col>
      <xdr:colOff>385771</xdr:colOff>
      <xdr:row>457</xdr:row>
      <xdr:rowOff>2813875</xdr:rowOff>
    </xdr:from>
    <xdr:to>
      <xdr:col>8</xdr:col>
      <xdr:colOff>122523</xdr:colOff>
      <xdr:row>471</xdr:row>
      <xdr:rowOff>95011</xdr:rowOff>
    </xdr:to>
    <xdr:pic>
      <xdr:nvPicPr>
        <xdr:cNvPr id="21" name="Image 20">
          <a:extLst>
            <a:ext uri="{FF2B5EF4-FFF2-40B4-BE49-F238E27FC236}">
              <a16:creationId xmlns:a16="http://schemas.microsoft.com/office/drawing/2014/main" id="{B72AE501-0975-DE95-BDBC-B9850D6DFA70}"/>
            </a:ext>
          </a:extLst>
        </xdr:cNvPr>
        <xdr:cNvPicPr>
          <a:picLocks noChangeAspect="1"/>
        </xdr:cNvPicPr>
      </xdr:nvPicPr>
      <xdr:blipFill>
        <a:blip xmlns:r="http://schemas.openxmlformats.org/officeDocument/2006/relationships" r:embed="rId7"/>
        <a:stretch>
          <a:fillRect/>
        </a:stretch>
      </xdr:blipFill>
      <xdr:spPr>
        <a:xfrm>
          <a:off x="10545771" y="98242748"/>
          <a:ext cx="906039" cy="2682929"/>
        </a:xfrm>
        <a:prstGeom prst="rect">
          <a:avLst/>
        </a:prstGeom>
      </xdr:spPr>
    </xdr:pic>
    <xdr:clientData/>
  </xdr:twoCellAnchor>
  <xdr:twoCellAnchor editAs="oneCell">
    <xdr:from>
      <xdr:col>4</xdr:col>
      <xdr:colOff>870518</xdr:colOff>
      <xdr:row>545</xdr:row>
      <xdr:rowOff>596643</xdr:rowOff>
    </xdr:from>
    <xdr:to>
      <xdr:col>5</xdr:col>
      <xdr:colOff>1134869</xdr:colOff>
      <xdr:row>553</xdr:row>
      <xdr:rowOff>115588</xdr:rowOff>
    </xdr:to>
    <xdr:pic>
      <xdr:nvPicPr>
        <xdr:cNvPr id="22" name="Image 21">
          <a:extLst>
            <a:ext uri="{FF2B5EF4-FFF2-40B4-BE49-F238E27FC236}">
              <a16:creationId xmlns:a16="http://schemas.microsoft.com/office/drawing/2014/main" id="{D5FBA5BB-687F-4CD9-CE08-B6046E192BBB}"/>
            </a:ext>
          </a:extLst>
        </xdr:cNvPr>
        <xdr:cNvPicPr>
          <a:picLocks noChangeAspect="1"/>
        </xdr:cNvPicPr>
      </xdr:nvPicPr>
      <xdr:blipFill>
        <a:blip xmlns:r="http://schemas.openxmlformats.org/officeDocument/2006/relationships" r:embed="rId8"/>
        <a:stretch>
          <a:fillRect/>
        </a:stretch>
      </xdr:blipFill>
      <xdr:spPr>
        <a:xfrm>
          <a:off x="5439757" y="122047295"/>
          <a:ext cx="1437721" cy="2086554"/>
        </a:xfrm>
        <a:prstGeom prst="rect">
          <a:avLst/>
        </a:prstGeom>
      </xdr:spPr>
    </xdr:pic>
    <xdr:clientData/>
  </xdr:twoCellAnchor>
  <xdr:twoCellAnchor editAs="oneCell">
    <xdr:from>
      <xdr:col>5</xdr:col>
      <xdr:colOff>507199</xdr:colOff>
      <xdr:row>510</xdr:row>
      <xdr:rowOff>53460</xdr:rowOff>
    </xdr:from>
    <xdr:to>
      <xdr:col>6</xdr:col>
      <xdr:colOff>290697</xdr:colOff>
      <xdr:row>524</xdr:row>
      <xdr:rowOff>122836</xdr:rowOff>
    </xdr:to>
    <xdr:pic>
      <xdr:nvPicPr>
        <xdr:cNvPr id="23" name="Image 22">
          <a:extLst>
            <a:ext uri="{FF2B5EF4-FFF2-40B4-BE49-F238E27FC236}">
              <a16:creationId xmlns:a16="http://schemas.microsoft.com/office/drawing/2014/main" id="{7D5FE83B-C08E-D346-BDAC-D310CF39DFFB}"/>
            </a:ext>
          </a:extLst>
        </xdr:cNvPr>
        <xdr:cNvPicPr>
          <a:picLocks noChangeAspect="1"/>
        </xdr:cNvPicPr>
      </xdr:nvPicPr>
      <xdr:blipFill>
        <a:blip xmlns:r="http://schemas.openxmlformats.org/officeDocument/2006/relationships" r:embed="rId7"/>
        <a:stretch>
          <a:fillRect/>
        </a:stretch>
      </xdr:blipFill>
      <xdr:spPr>
        <a:xfrm>
          <a:off x="6249808" y="113014438"/>
          <a:ext cx="956867" cy="2968289"/>
        </a:xfrm>
        <a:prstGeom prst="rect">
          <a:avLst/>
        </a:prstGeom>
      </xdr:spPr>
    </xdr:pic>
    <xdr:clientData/>
  </xdr:twoCellAnchor>
  <xdr:twoCellAnchor editAs="oneCell">
    <xdr:from>
      <xdr:col>1</xdr:col>
      <xdr:colOff>2088445</xdr:colOff>
      <xdr:row>647</xdr:row>
      <xdr:rowOff>84667</xdr:rowOff>
    </xdr:from>
    <xdr:to>
      <xdr:col>7</xdr:col>
      <xdr:colOff>915688</xdr:colOff>
      <xdr:row>649</xdr:row>
      <xdr:rowOff>38413</xdr:rowOff>
    </xdr:to>
    <xdr:pic>
      <xdr:nvPicPr>
        <xdr:cNvPr id="24" name="Image 23">
          <a:extLst>
            <a:ext uri="{FF2B5EF4-FFF2-40B4-BE49-F238E27FC236}">
              <a16:creationId xmlns:a16="http://schemas.microsoft.com/office/drawing/2014/main" id="{24F6581D-8AF5-194C-B2E8-743BFEAAE7E3}"/>
            </a:ext>
          </a:extLst>
        </xdr:cNvPr>
        <xdr:cNvPicPr>
          <a:picLocks noChangeAspect="1"/>
        </xdr:cNvPicPr>
      </xdr:nvPicPr>
      <xdr:blipFill>
        <a:blip xmlns:r="http://schemas.openxmlformats.org/officeDocument/2006/relationships" r:embed="rId5"/>
        <a:stretch>
          <a:fillRect/>
        </a:stretch>
      </xdr:blipFill>
      <xdr:spPr>
        <a:xfrm>
          <a:off x="2088445" y="135367889"/>
          <a:ext cx="6914443" cy="520564"/>
        </a:xfrm>
        <a:prstGeom prst="rect">
          <a:avLst/>
        </a:prstGeom>
      </xdr:spPr>
    </xdr:pic>
    <xdr:clientData/>
  </xdr:twoCellAnchor>
  <xdr:twoCellAnchor editAs="oneCell">
    <xdr:from>
      <xdr:col>4</xdr:col>
      <xdr:colOff>719665</xdr:colOff>
      <xdr:row>658</xdr:row>
      <xdr:rowOff>197553</xdr:rowOff>
    </xdr:from>
    <xdr:to>
      <xdr:col>7</xdr:col>
      <xdr:colOff>56748</xdr:colOff>
      <xdr:row>669</xdr:row>
      <xdr:rowOff>70556</xdr:rowOff>
    </xdr:to>
    <xdr:pic>
      <xdr:nvPicPr>
        <xdr:cNvPr id="25" name="Image 24">
          <a:extLst>
            <a:ext uri="{FF2B5EF4-FFF2-40B4-BE49-F238E27FC236}">
              <a16:creationId xmlns:a16="http://schemas.microsoft.com/office/drawing/2014/main" id="{1E2B173A-3FAC-6FAF-BB01-2E9C164F4D91}"/>
            </a:ext>
          </a:extLst>
        </xdr:cNvPr>
        <xdr:cNvPicPr>
          <a:picLocks noChangeAspect="1"/>
        </xdr:cNvPicPr>
      </xdr:nvPicPr>
      <xdr:blipFill>
        <a:blip xmlns:r="http://schemas.openxmlformats.org/officeDocument/2006/relationships" r:embed="rId9"/>
        <a:stretch>
          <a:fillRect/>
        </a:stretch>
      </xdr:blipFill>
      <xdr:spPr>
        <a:xfrm>
          <a:off x="6505221" y="138232442"/>
          <a:ext cx="2851057" cy="2836336"/>
        </a:xfrm>
        <a:prstGeom prst="rect">
          <a:avLst/>
        </a:prstGeom>
      </xdr:spPr>
    </xdr:pic>
    <xdr:clientData/>
  </xdr:twoCellAnchor>
  <xdr:twoCellAnchor editAs="oneCell">
    <xdr:from>
      <xdr:col>6</xdr:col>
      <xdr:colOff>1080685</xdr:colOff>
      <xdr:row>658</xdr:row>
      <xdr:rowOff>254002</xdr:rowOff>
    </xdr:from>
    <xdr:to>
      <xdr:col>9</xdr:col>
      <xdr:colOff>344495</xdr:colOff>
      <xdr:row>669</xdr:row>
      <xdr:rowOff>62045</xdr:rowOff>
    </xdr:to>
    <xdr:pic>
      <xdr:nvPicPr>
        <xdr:cNvPr id="26" name="Image 25">
          <a:extLst>
            <a:ext uri="{FF2B5EF4-FFF2-40B4-BE49-F238E27FC236}">
              <a16:creationId xmlns:a16="http://schemas.microsoft.com/office/drawing/2014/main" id="{C2AD8FAD-04B8-DB47-A02A-660F4BD16BF3}"/>
            </a:ext>
          </a:extLst>
        </xdr:cNvPr>
        <xdr:cNvPicPr>
          <a:picLocks noChangeAspect="1"/>
        </xdr:cNvPicPr>
      </xdr:nvPicPr>
      <xdr:blipFill>
        <a:blip xmlns:r="http://schemas.openxmlformats.org/officeDocument/2006/relationships" r:embed="rId9"/>
        <a:stretch>
          <a:fillRect/>
        </a:stretch>
      </xdr:blipFill>
      <xdr:spPr>
        <a:xfrm>
          <a:off x="9759018" y="138486446"/>
          <a:ext cx="2785760" cy="2771376"/>
        </a:xfrm>
        <a:prstGeom prst="rect">
          <a:avLst/>
        </a:prstGeom>
      </xdr:spPr>
    </xdr:pic>
    <xdr:clientData/>
  </xdr:twoCellAnchor>
  <xdr:twoCellAnchor editAs="oneCell">
    <xdr:from>
      <xdr:col>6</xdr:col>
      <xdr:colOff>807046</xdr:colOff>
      <xdr:row>556</xdr:row>
      <xdr:rowOff>29756</xdr:rowOff>
    </xdr:from>
    <xdr:to>
      <xdr:col>10</xdr:col>
      <xdr:colOff>786398</xdr:colOff>
      <xdr:row>566</xdr:row>
      <xdr:rowOff>238242</xdr:rowOff>
    </xdr:to>
    <xdr:pic>
      <xdr:nvPicPr>
        <xdr:cNvPr id="27" name="Image 26">
          <a:extLst>
            <a:ext uri="{FF2B5EF4-FFF2-40B4-BE49-F238E27FC236}">
              <a16:creationId xmlns:a16="http://schemas.microsoft.com/office/drawing/2014/main" id="{588F6068-7674-A2B3-AE7A-F416BC8F6ACA}"/>
            </a:ext>
          </a:extLst>
        </xdr:cNvPr>
        <xdr:cNvPicPr>
          <a:picLocks noChangeAspect="1"/>
        </xdr:cNvPicPr>
      </xdr:nvPicPr>
      <xdr:blipFill>
        <a:blip xmlns:r="http://schemas.openxmlformats.org/officeDocument/2006/relationships" r:embed="rId10"/>
        <a:stretch>
          <a:fillRect/>
        </a:stretch>
      </xdr:blipFill>
      <xdr:spPr>
        <a:xfrm>
          <a:off x="7723024" y="124986713"/>
          <a:ext cx="4852287" cy="3314464"/>
        </a:xfrm>
        <a:prstGeom prst="rect">
          <a:avLst/>
        </a:prstGeom>
      </xdr:spPr>
    </xdr:pic>
    <xdr:clientData/>
  </xdr:twoCellAnchor>
  <xdr:twoCellAnchor>
    <xdr:from>
      <xdr:col>7</xdr:col>
      <xdr:colOff>325508</xdr:colOff>
      <xdr:row>556</xdr:row>
      <xdr:rowOff>325928</xdr:rowOff>
    </xdr:from>
    <xdr:to>
      <xdr:col>7</xdr:col>
      <xdr:colOff>485475</xdr:colOff>
      <xdr:row>557</xdr:row>
      <xdr:rowOff>157346</xdr:rowOff>
    </xdr:to>
    <xdr:sp macro="" textlink="">
      <xdr:nvSpPr>
        <xdr:cNvPr id="28" name="Ellipse 27">
          <a:extLst>
            <a:ext uri="{FF2B5EF4-FFF2-40B4-BE49-F238E27FC236}">
              <a16:creationId xmlns:a16="http://schemas.microsoft.com/office/drawing/2014/main" id="{BEDE2903-9F07-0537-A932-713EB58E8BBD}"/>
            </a:ext>
          </a:extLst>
        </xdr:cNvPr>
        <xdr:cNvSpPr/>
      </xdr:nvSpPr>
      <xdr:spPr>
        <a:xfrm>
          <a:off x="8414856" y="125282885"/>
          <a:ext cx="159967" cy="1627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408382</xdr:colOff>
      <xdr:row>564</xdr:row>
      <xdr:rowOff>134867</xdr:rowOff>
    </xdr:from>
    <xdr:to>
      <xdr:col>8</xdr:col>
      <xdr:colOff>565729</xdr:colOff>
      <xdr:row>564</xdr:row>
      <xdr:rowOff>292213</xdr:rowOff>
    </xdr:to>
    <xdr:sp macro="" textlink="">
      <xdr:nvSpPr>
        <xdr:cNvPr id="29" name="Ellipse 28">
          <a:extLst>
            <a:ext uri="{FF2B5EF4-FFF2-40B4-BE49-F238E27FC236}">
              <a16:creationId xmlns:a16="http://schemas.microsoft.com/office/drawing/2014/main" id="{0155DE65-DCF0-D64B-B103-A7EE57B23215}"/>
            </a:ext>
          </a:extLst>
        </xdr:cNvPr>
        <xdr:cNvSpPr/>
      </xdr:nvSpPr>
      <xdr:spPr>
        <a:xfrm>
          <a:off x="9671099" y="127590410"/>
          <a:ext cx="15734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483968</xdr:colOff>
      <xdr:row>557</xdr:row>
      <xdr:rowOff>247257</xdr:rowOff>
    </xdr:from>
    <xdr:to>
      <xdr:col>9</xdr:col>
      <xdr:colOff>627667</xdr:colOff>
      <xdr:row>558</xdr:row>
      <xdr:rowOff>71302</xdr:rowOff>
    </xdr:to>
    <xdr:sp macro="" textlink="">
      <xdr:nvSpPr>
        <xdr:cNvPr id="34" name="Ellipse 33">
          <a:extLst>
            <a:ext uri="{FF2B5EF4-FFF2-40B4-BE49-F238E27FC236}">
              <a16:creationId xmlns:a16="http://schemas.microsoft.com/office/drawing/2014/main" id="{7D46377B-BC32-9E48-9692-00FA4D871AE6}"/>
            </a:ext>
          </a:extLst>
        </xdr:cNvPr>
        <xdr:cNvSpPr/>
      </xdr:nvSpPr>
      <xdr:spPr>
        <a:xfrm>
          <a:off x="10920055" y="125535518"/>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3</xdr:col>
      <xdr:colOff>194433</xdr:colOff>
      <xdr:row>558</xdr:row>
      <xdr:rowOff>150625</xdr:rowOff>
    </xdr:from>
    <xdr:to>
      <xdr:col>3</xdr:col>
      <xdr:colOff>376505</xdr:colOff>
      <xdr:row>559</xdr:row>
      <xdr:rowOff>9841</xdr:rowOff>
    </xdr:to>
    <xdr:sp macro="" textlink="">
      <xdr:nvSpPr>
        <xdr:cNvPr id="38" name="Ellipse 37">
          <a:extLst>
            <a:ext uri="{FF2B5EF4-FFF2-40B4-BE49-F238E27FC236}">
              <a16:creationId xmlns:a16="http://schemas.microsoft.com/office/drawing/2014/main" id="{2F4F5C98-2191-6B42-82BC-ECFD7AE3AC64}"/>
            </a:ext>
          </a:extLst>
        </xdr:cNvPr>
        <xdr:cNvSpPr/>
      </xdr:nvSpPr>
      <xdr:spPr>
        <a:xfrm>
          <a:off x="3590303" y="125783995"/>
          <a:ext cx="182072" cy="16291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976764</xdr:colOff>
      <xdr:row>464</xdr:row>
      <xdr:rowOff>14783</xdr:rowOff>
    </xdr:from>
    <xdr:to>
      <xdr:col>7</xdr:col>
      <xdr:colOff>1119374</xdr:colOff>
      <xdr:row>464</xdr:row>
      <xdr:rowOff>169025</xdr:rowOff>
    </xdr:to>
    <xdr:sp macro="" textlink="">
      <xdr:nvSpPr>
        <xdr:cNvPr id="47" name="Ellipse 46">
          <a:extLst>
            <a:ext uri="{FF2B5EF4-FFF2-40B4-BE49-F238E27FC236}">
              <a16:creationId xmlns:a16="http://schemas.microsoft.com/office/drawing/2014/main" id="{8D2ACC7A-B99F-E64E-868C-6787B4FFCB3E}"/>
            </a:ext>
          </a:extLst>
        </xdr:cNvPr>
        <xdr:cNvSpPr/>
      </xdr:nvSpPr>
      <xdr:spPr>
        <a:xfrm>
          <a:off x="9066112" y="102801957"/>
          <a:ext cx="142610" cy="15424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11</xdr:col>
      <xdr:colOff>821709</xdr:colOff>
      <xdr:row>453</xdr:row>
      <xdr:rowOff>99094</xdr:rowOff>
    </xdr:from>
    <xdr:to>
      <xdr:col>13</xdr:col>
      <xdr:colOff>610896</xdr:colOff>
      <xdr:row>455</xdr:row>
      <xdr:rowOff>826679</xdr:rowOff>
    </xdr:to>
    <xdr:pic>
      <xdr:nvPicPr>
        <xdr:cNvPr id="49" name="Image 48">
          <a:extLst>
            <a:ext uri="{FF2B5EF4-FFF2-40B4-BE49-F238E27FC236}">
              <a16:creationId xmlns:a16="http://schemas.microsoft.com/office/drawing/2014/main" id="{A2668039-6B0F-DD4C-93BC-125A2EE60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22695" y="94812474"/>
          <a:ext cx="1631580" cy="1246317"/>
        </a:xfrm>
        <a:prstGeom prst="rect">
          <a:avLst/>
        </a:prstGeom>
      </xdr:spPr>
    </xdr:pic>
    <xdr:clientData/>
  </xdr:twoCellAnchor>
  <xdr:twoCellAnchor editAs="oneCell">
    <xdr:from>
      <xdr:col>13</xdr:col>
      <xdr:colOff>358577</xdr:colOff>
      <xdr:row>455</xdr:row>
      <xdr:rowOff>195223</xdr:rowOff>
    </xdr:from>
    <xdr:to>
      <xdr:col>14</xdr:col>
      <xdr:colOff>410219</xdr:colOff>
      <xdr:row>455</xdr:row>
      <xdr:rowOff>866688</xdr:rowOff>
    </xdr:to>
    <xdr:pic>
      <xdr:nvPicPr>
        <xdr:cNvPr id="50" name="Image 49">
          <a:extLst>
            <a:ext uri="{FF2B5EF4-FFF2-40B4-BE49-F238E27FC236}">
              <a16:creationId xmlns:a16="http://schemas.microsoft.com/office/drawing/2014/main" id="{AF1EE010-B656-0648-A048-9604DC0B64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601957" y="95427336"/>
          <a:ext cx="874459" cy="671465"/>
        </a:xfrm>
        <a:prstGeom prst="rect">
          <a:avLst/>
        </a:prstGeom>
      </xdr:spPr>
    </xdr:pic>
    <xdr:clientData/>
  </xdr:twoCellAnchor>
  <xdr:twoCellAnchor>
    <xdr:from>
      <xdr:col>7</xdr:col>
      <xdr:colOff>395563</xdr:colOff>
      <xdr:row>557</xdr:row>
      <xdr:rowOff>157346</xdr:rowOff>
    </xdr:from>
    <xdr:to>
      <xdr:col>7</xdr:col>
      <xdr:colOff>405492</xdr:colOff>
      <xdr:row>561</xdr:row>
      <xdr:rowOff>67434</xdr:rowOff>
    </xdr:to>
    <xdr:cxnSp macro="">
      <xdr:nvCxnSpPr>
        <xdr:cNvPr id="53" name="Connecteur droit avec flèche 52">
          <a:extLst>
            <a:ext uri="{FF2B5EF4-FFF2-40B4-BE49-F238E27FC236}">
              <a16:creationId xmlns:a16="http://schemas.microsoft.com/office/drawing/2014/main" id="{32CABA23-F3A2-1D8B-36EE-4F68C3463613}"/>
            </a:ext>
          </a:extLst>
        </xdr:cNvPr>
        <xdr:cNvCxnSpPr>
          <a:stCxn id="28" idx="4"/>
        </xdr:cNvCxnSpPr>
      </xdr:nvCxnSpPr>
      <xdr:spPr>
        <a:xfrm flipH="1">
          <a:off x="8484911" y="125445607"/>
          <a:ext cx="9929" cy="116628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561705</xdr:colOff>
      <xdr:row>558</xdr:row>
      <xdr:rowOff>51325</xdr:rowOff>
    </xdr:from>
    <xdr:to>
      <xdr:col>9</xdr:col>
      <xdr:colOff>571473</xdr:colOff>
      <xdr:row>564</xdr:row>
      <xdr:rowOff>224779</xdr:rowOff>
    </xdr:to>
    <xdr:cxnSp macro="">
      <xdr:nvCxnSpPr>
        <xdr:cNvPr id="54" name="Connecteur droit avec flèche 53">
          <a:extLst>
            <a:ext uri="{FF2B5EF4-FFF2-40B4-BE49-F238E27FC236}">
              <a16:creationId xmlns:a16="http://schemas.microsoft.com/office/drawing/2014/main" id="{F1E95870-A6A3-FD46-A0E3-2E691AE26375}"/>
            </a:ext>
          </a:extLst>
        </xdr:cNvPr>
        <xdr:cNvCxnSpPr/>
      </xdr:nvCxnSpPr>
      <xdr:spPr>
        <a:xfrm>
          <a:off x="10997792" y="125684695"/>
          <a:ext cx="9768" cy="199562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506158</xdr:colOff>
      <xdr:row>557</xdr:row>
      <xdr:rowOff>278302</xdr:rowOff>
    </xdr:from>
    <xdr:to>
      <xdr:col>10</xdr:col>
      <xdr:colOff>508938</xdr:colOff>
      <xdr:row>559</xdr:row>
      <xdr:rowOff>219281</xdr:rowOff>
    </xdr:to>
    <xdr:cxnSp macro="">
      <xdr:nvCxnSpPr>
        <xdr:cNvPr id="56" name="Connecteur droit avec flèche 55">
          <a:extLst>
            <a:ext uri="{FF2B5EF4-FFF2-40B4-BE49-F238E27FC236}">
              <a16:creationId xmlns:a16="http://schemas.microsoft.com/office/drawing/2014/main" id="{2703D0E4-5818-2E41-A87B-FEF2149F1E5D}"/>
            </a:ext>
          </a:extLst>
        </xdr:cNvPr>
        <xdr:cNvCxnSpPr/>
      </xdr:nvCxnSpPr>
      <xdr:spPr>
        <a:xfrm flipH="1">
          <a:off x="12295071" y="125566563"/>
          <a:ext cx="2780" cy="58978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509534</xdr:colOff>
      <xdr:row>561</xdr:row>
      <xdr:rowOff>27608</xdr:rowOff>
    </xdr:from>
    <xdr:to>
      <xdr:col>8</xdr:col>
      <xdr:colOff>510761</xdr:colOff>
      <xdr:row>564</xdr:row>
      <xdr:rowOff>134868</xdr:rowOff>
    </xdr:to>
    <xdr:cxnSp macro="">
      <xdr:nvCxnSpPr>
        <xdr:cNvPr id="58" name="Connecteur droit avec flèche 57">
          <a:extLst>
            <a:ext uri="{FF2B5EF4-FFF2-40B4-BE49-F238E27FC236}">
              <a16:creationId xmlns:a16="http://schemas.microsoft.com/office/drawing/2014/main" id="{E5422E45-8384-6C45-80ED-5C668C2E9062}"/>
            </a:ext>
          </a:extLst>
        </xdr:cNvPr>
        <xdr:cNvCxnSpPr/>
      </xdr:nvCxnSpPr>
      <xdr:spPr>
        <a:xfrm flipV="1">
          <a:off x="9772251" y="126572065"/>
          <a:ext cx="1227" cy="1018346"/>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134866</xdr:colOff>
      <xdr:row>529</xdr:row>
      <xdr:rowOff>280972</xdr:rowOff>
    </xdr:from>
    <xdr:to>
      <xdr:col>10</xdr:col>
      <xdr:colOff>125459</xdr:colOff>
      <xdr:row>540</xdr:row>
      <xdr:rowOff>33716</xdr:rowOff>
    </xdr:to>
    <xdr:pic>
      <xdr:nvPicPr>
        <xdr:cNvPr id="61" name="Image 60">
          <a:extLst>
            <a:ext uri="{FF2B5EF4-FFF2-40B4-BE49-F238E27FC236}">
              <a16:creationId xmlns:a16="http://schemas.microsoft.com/office/drawing/2014/main" id="{4291FD14-BD98-054C-B6D7-6889D21E331B}"/>
            </a:ext>
          </a:extLst>
        </xdr:cNvPr>
        <xdr:cNvPicPr>
          <a:picLocks noChangeAspect="1"/>
        </xdr:cNvPicPr>
      </xdr:nvPicPr>
      <xdr:blipFill>
        <a:blip xmlns:r="http://schemas.openxmlformats.org/officeDocument/2006/relationships" r:embed="rId10"/>
        <a:stretch>
          <a:fillRect/>
        </a:stretch>
      </xdr:blipFill>
      <xdr:spPr>
        <a:xfrm>
          <a:off x="8923716" y="113479556"/>
          <a:ext cx="4877699" cy="2641151"/>
        </a:xfrm>
        <a:prstGeom prst="rect">
          <a:avLst/>
        </a:prstGeom>
      </xdr:spPr>
    </xdr:pic>
    <xdr:clientData/>
  </xdr:twoCellAnchor>
  <xdr:twoCellAnchor>
    <xdr:from>
      <xdr:col>6</xdr:col>
      <xdr:colOff>817412</xdr:colOff>
      <xdr:row>535</xdr:row>
      <xdr:rowOff>2372</xdr:rowOff>
    </xdr:from>
    <xdr:to>
      <xdr:col>6</xdr:col>
      <xdr:colOff>977379</xdr:colOff>
      <xdr:row>535</xdr:row>
      <xdr:rowOff>159718</xdr:rowOff>
    </xdr:to>
    <xdr:sp macro="" textlink="">
      <xdr:nvSpPr>
        <xdr:cNvPr id="62" name="Ellipse 61">
          <a:extLst>
            <a:ext uri="{FF2B5EF4-FFF2-40B4-BE49-F238E27FC236}">
              <a16:creationId xmlns:a16="http://schemas.microsoft.com/office/drawing/2014/main" id="{1308ED5F-6199-864A-B745-CB5AE116AA74}"/>
            </a:ext>
          </a:extLst>
        </xdr:cNvPr>
        <xdr:cNvSpPr/>
      </xdr:nvSpPr>
      <xdr:spPr>
        <a:xfrm>
          <a:off x="9606262" y="114909275"/>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897397</xdr:colOff>
      <xdr:row>535</xdr:row>
      <xdr:rowOff>103523</xdr:rowOff>
    </xdr:from>
    <xdr:to>
      <xdr:col>6</xdr:col>
      <xdr:colOff>899115</xdr:colOff>
      <xdr:row>537</xdr:row>
      <xdr:rowOff>191062</xdr:rowOff>
    </xdr:to>
    <xdr:cxnSp macro="">
      <xdr:nvCxnSpPr>
        <xdr:cNvPr id="66" name="Connecteur droit avec flèche 65">
          <a:extLst>
            <a:ext uri="{FF2B5EF4-FFF2-40B4-BE49-F238E27FC236}">
              <a16:creationId xmlns:a16="http://schemas.microsoft.com/office/drawing/2014/main" id="{8A64E35C-B40D-D040-A6FD-C1ACCB24A004}"/>
            </a:ext>
          </a:extLst>
        </xdr:cNvPr>
        <xdr:cNvCxnSpPr/>
      </xdr:nvCxnSpPr>
      <xdr:spPr>
        <a:xfrm>
          <a:off x="9686247" y="115010426"/>
          <a:ext cx="1718" cy="6045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909983</xdr:colOff>
      <xdr:row>531</xdr:row>
      <xdr:rowOff>67434</xdr:rowOff>
    </xdr:from>
    <xdr:to>
      <xdr:col>7</xdr:col>
      <xdr:colOff>1069950</xdr:colOff>
      <xdr:row>531</xdr:row>
      <xdr:rowOff>224780</xdr:rowOff>
    </xdr:to>
    <xdr:sp macro="" textlink="">
      <xdr:nvSpPr>
        <xdr:cNvPr id="79" name="Ellipse 78">
          <a:extLst>
            <a:ext uri="{FF2B5EF4-FFF2-40B4-BE49-F238E27FC236}">
              <a16:creationId xmlns:a16="http://schemas.microsoft.com/office/drawing/2014/main" id="{CFEBA1C1-1EE2-BF4B-BF14-2C74F3D5BE80}"/>
            </a:ext>
          </a:extLst>
        </xdr:cNvPr>
        <xdr:cNvSpPr/>
      </xdr:nvSpPr>
      <xdr:spPr>
        <a:xfrm>
          <a:off x="8999331" y="117846130"/>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988656</xdr:colOff>
      <xdr:row>531</xdr:row>
      <xdr:rowOff>168585</xdr:rowOff>
    </xdr:from>
    <xdr:to>
      <xdr:col>7</xdr:col>
      <xdr:colOff>989968</xdr:colOff>
      <xdr:row>534</xdr:row>
      <xdr:rowOff>44956</xdr:rowOff>
    </xdr:to>
    <xdr:cxnSp macro="">
      <xdr:nvCxnSpPr>
        <xdr:cNvPr id="80" name="Connecteur droit avec flèche 79">
          <a:extLst>
            <a:ext uri="{FF2B5EF4-FFF2-40B4-BE49-F238E27FC236}">
              <a16:creationId xmlns:a16="http://schemas.microsoft.com/office/drawing/2014/main" id="{D131FA73-C6EE-7943-8227-80B2C33578F6}"/>
            </a:ext>
          </a:extLst>
        </xdr:cNvPr>
        <xdr:cNvCxnSpPr/>
      </xdr:nvCxnSpPr>
      <xdr:spPr>
        <a:xfrm flipH="1">
          <a:off x="9078004" y="117947281"/>
          <a:ext cx="1312" cy="62180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1040327</xdr:colOff>
      <xdr:row>531</xdr:row>
      <xdr:rowOff>33717</xdr:rowOff>
    </xdr:from>
    <xdr:to>
      <xdr:col>9</xdr:col>
      <xdr:colOff>26924</xdr:colOff>
      <xdr:row>531</xdr:row>
      <xdr:rowOff>191063</xdr:rowOff>
    </xdr:to>
    <xdr:sp macro="" textlink="">
      <xdr:nvSpPr>
        <xdr:cNvPr id="84" name="Ellipse 83">
          <a:extLst>
            <a:ext uri="{FF2B5EF4-FFF2-40B4-BE49-F238E27FC236}">
              <a16:creationId xmlns:a16="http://schemas.microsoft.com/office/drawing/2014/main" id="{BC8E768A-C4B7-6849-AB4F-BC1D6AF9B8B9}"/>
            </a:ext>
          </a:extLst>
        </xdr:cNvPr>
        <xdr:cNvSpPr/>
      </xdr:nvSpPr>
      <xdr:spPr>
        <a:xfrm>
          <a:off x="10303044" y="117812413"/>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1119000</xdr:colOff>
      <xdr:row>531</xdr:row>
      <xdr:rowOff>134868</xdr:rowOff>
    </xdr:from>
    <xdr:to>
      <xdr:col>8</xdr:col>
      <xdr:colOff>1120312</xdr:colOff>
      <xdr:row>532</xdr:row>
      <xdr:rowOff>123628</xdr:rowOff>
    </xdr:to>
    <xdr:cxnSp macro="">
      <xdr:nvCxnSpPr>
        <xdr:cNvPr id="85" name="Connecteur droit avec flèche 84">
          <a:extLst>
            <a:ext uri="{FF2B5EF4-FFF2-40B4-BE49-F238E27FC236}">
              <a16:creationId xmlns:a16="http://schemas.microsoft.com/office/drawing/2014/main" id="{9A2E642B-272C-FD4B-AF08-BB3FA1A3A13B}"/>
            </a:ext>
          </a:extLst>
        </xdr:cNvPr>
        <xdr:cNvCxnSpPr/>
      </xdr:nvCxnSpPr>
      <xdr:spPr>
        <a:xfrm flipH="1">
          <a:off x="10381717" y="117913564"/>
          <a:ext cx="1312" cy="2372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1116072</xdr:colOff>
      <xdr:row>530</xdr:row>
      <xdr:rowOff>81237</xdr:rowOff>
    </xdr:from>
    <xdr:to>
      <xdr:col>9</xdr:col>
      <xdr:colOff>1276039</xdr:colOff>
      <xdr:row>530</xdr:row>
      <xdr:rowOff>238583</xdr:rowOff>
    </xdr:to>
    <xdr:sp macro="" textlink="">
      <xdr:nvSpPr>
        <xdr:cNvPr id="87" name="Ellipse 86">
          <a:extLst>
            <a:ext uri="{FF2B5EF4-FFF2-40B4-BE49-F238E27FC236}">
              <a16:creationId xmlns:a16="http://schemas.microsoft.com/office/drawing/2014/main" id="{AD22951C-16ED-824C-812B-325E6D56407B}"/>
            </a:ext>
          </a:extLst>
        </xdr:cNvPr>
        <xdr:cNvSpPr/>
      </xdr:nvSpPr>
      <xdr:spPr>
        <a:xfrm>
          <a:off x="11552159" y="117611454"/>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1194745</xdr:colOff>
      <xdr:row>530</xdr:row>
      <xdr:rowOff>182388</xdr:rowOff>
    </xdr:from>
    <xdr:to>
      <xdr:col>9</xdr:col>
      <xdr:colOff>1196057</xdr:colOff>
      <xdr:row>531</xdr:row>
      <xdr:rowOff>171149</xdr:rowOff>
    </xdr:to>
    <xdr:cxnSp macro="">
      <xdr:nvCxnSpPr>
        <xdr:cNvPr id="88" name="Connecteur droit avec flèche 87">
          <a:extLst>
            <a:ext uri="{FF2B5EF4-FFF2-40B4-BE49-F238E27FC236}">
              <a16:creationId xmlns:a16="http://schemas.microsoft.com/office/drawing/2014/main" id="{CB5A46B6-7410-9148-ACD0-414C610E9E32}"/>
            </a:ext>
          </a:extLst>
        </xdr:cNvPr>
        <xdr:cNvCxnSpPr/>
      </xdr:nvCxnSpPr>
      <xdr:spPr>
        <a:xfrm flipH="1">
          <a:off x="11630832" y="117712605"/>
          <a:ext cx="1312" cy="2372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405770</xdr:colOff>
      <xdr:row>432</xdr:row>
      <xdr:rowOff>26054</xdr:rowOff>
    </xdr:from>
    <xdr:to>
      <xdr:col>13</xdr:col>
      <xdr:colOff>92938</xdr:colOff>
      <xdr:row>445</xdr:row>
      <xdr:rowOff>190943</xdr:rowOff>
    </xdr:to>
    <xdr:pic>
      <xdr:nvPicPr>
        <xdr:cNvPr id="6" name="Image 5">
          <a:extLst>
            <a:ext uri="{FF2B5EF4-FFF2-40B4-BE49-F238E27FC236}">
              <a16:creationId xmlns:a16="http://schemas.microsoft.com/office/drawing/2014/main" id="{E7FF9510-95B7-C3EC-53DF-743F686C4D0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821966" y="94144097"/>
          <a:ext cx="5678254" cy="289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980109</xdr:colOff>
      <xdr:row>435</xdr:row>
      <xdr:rowOff>55218</xdr:rowOff>
    </xdr:from>
    <xdr:to>
      <xdr:col>9</xdr:col>
      <xdr:colOff>952501</xdr:colOff>
      <xdr:row>436</xdr:row>
      <xdr:rowOff>193261</xdr:rowOff>
    </xdr:to>
    <xdr:sp macro="" textlink="">
      <xdr:nvSpPr>
        <xdr:cNvPr id="8" name="ZoneTexte 7">
          <a:extLst>
            <a:ext uri="{FF2B5EF4-FFF2-40B4-BE49-F238E27FC236}">
              <a16:creationId xmlns:a16="http://schemas.microsoft.com/office/drawing/2014/main" id="{7D027F3E-404B-07F6-2AA5-16FD1A45B90F}"/>
            </a:ext>
          </a:extLst>
        </xdr:cNvPr>
        <xdr:cNvSpPr txBox="1"/>
      </xdr:nvSpPr>
      <xdr:spPr>
        <a:xfrm>
          <a:off x="12396305" y="94808261"/>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Parent répondant</a:t>
          </a:r>
        </a:p>
      </xdr:txBody>
    </xdr:sp>
    <xdr:clientData/>
  </xdr:twoCellAnchor>
  <xdr:twoCellAnchor>
    <xdr:from>
      <xdr:col>11</xdr:col>
      <xdr:colOff>235227</xdr:colOff>
      <xdr:row>435</xdr:row>
      <xdr:rowOff>69574</xdr:rowOff>
    </xdr:from>
    <xdr:to>
      <xdr:col>12</xdr:col>
      <xdr:colOff>538923</xdr:colOff>
      <xdr:row>437</xdr:row>
      <xdr:rowOff>552</xdr:rowOff>
    </xdr:to>
    <xdr:sp macro="" textlink="">
      <xdr:nvSpPr>
        <xdr:cNvPr id="9" name="ZoneTexte 8">
          <a:extLst>
            <a:ext uri="{FF2B5EF4-FFF2-40B4-BE49-F238E27FC236}">
              <a16:creationId xmlns:a16="http://schemas.microsoft.com/office/drawing/2014/main" id="{F5D9A09D-2452-0A42-954B-DF45601D72A5}"/>
            </a:ext>
          </a:extLst>
        </xdr:cNvPr>
        <xdr:cNvSpPr txBox="1"/>
      </xdr:nvSpPr>
      <xdr:spPr>
        <a:xfrm>
          <a:off x="15640879" y="94822617"/>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Coparent</a:t>
          </a:r>
        </a:p>
      </xdr:txBody>
    </xdr:sp>
    <xdr:clientData/>
  </xdr:twoCellAnchor>
  <xdr:twoCellAnchor>
    <xdr:from>
      <xdr:col>9</xdr:col>
      <xdr:colOff>842065</xdr:colOff>
      <xdr:row>440</xdr:row>
      <xdr:rowOff>138043</xdr:rowOff>
    </xdr:from>
    <xdr:to>
      <xdr:col>11</xdr:col>
      <xdr:colOff>427935</xdr:colOff>
      <xdr:row>442</xdr:row>
      <xdr:rowOff>193261</xdr:rowOff>
    </xdr:to>
    <xdr:sp macro="" textlink="">
      <xdr:nvSpPr>
        <xdr:cNvPr id="12" name="ZoneTexte 11">
          <a:extLst>
            <a:ext uri="{FF2B5EF4-FFF2-40B4-BE49-F238E27FC236}">
              <a16:creationId xmlns:a16="http://schemas.microsoft.com/office/drawing/2014/main" id="{4362C3F8-50AB-6430-7A7F-D9D70335354C}"/>
            </a:ext>
          </a:extLst>
        </xdr:cNvPr>
        <xdr:cNvSpPr txBox="1"/>
      </xdr:nvSpPr>
      <xdr:spPr>
        <a:xfrm>
          <a:off x="13611087" y="95926413"/>
          <a:ext cx="2222500" cy="469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Il faudrait possiblement tester la légende au milieu et sur le côté ! </a:t>
          </a:r>
        </a:p>
      </xdr:txBody>
    </xdr:sp>
    <xdr:clientData/>
  </xdr:twoCellAnchor>
  <xdr:twoCellAnchor>
    <xdr:from>
      <xdr:col>5</xdr:col>
      <xdr:colOff>1131956</xdr:colOff>
      <xdr:row>520</xdr:row>
      <xdr:rowOff>96631</xdr:rowOff>
    </xdr:from>
    <xdr:to>
      <xdr:col>6</xdr:col>
      <xdr:colOff>96631</xdr:colOff>
      <xdr:row>521</xdr:row>
      <xdr:rowOff>13805</xdr:rowOff>
    </xdr:to>
    <xdr:sp macro="" textlink="">
      <xdr:nvSpPr>
        <xdr:cNvPr id="17" name="Ellipse 16">
          <a:extLst>
            <a:ext uri="{FF2B5EF4-FFF2-40B4-BE49-F238E27FC236}">
              <a16:creationId xmlns:a16="http://schemas.microsoft.com/office/drawing/2014/main" id="{8A4BC642-BB17-7D4E-8D9F-72C1F9A255C3}"/>
            </a:ext>
          </a:extLst>
        </xdr:cNvPr>
        <xdr:cNvSpPr/>
      </xdr:nvSpPr>
      <xdr:spPr>
        <a:xfrm>
          <a:off x="6874565" y="115128261"/>
          <a:ext cx="138044" cy="1242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10</xdr:col>
      <xdr:colOff>443108</xdr:colOff>
      <xdr:row>557</xdr:row>
      <xdr:rowOff>192592</xdr:rowOff>
    </xdr:from>
    <xdr:to>
      <xdr:col>10</xdr:col>
      <xdr:colOff>586807</xdr:colOff>
      <xdr:row>558</xdr:row>
      <xdr:rowOff>16637</xdr:rowOff>
    </xdr:to>
    <xdr:sp macro="" textlink="">
      <xdr:nvSpPr>
        <xdr:cNvPr id="32" name="Ellipse 31">
          <a:extLst>
            <a:ext uri="{FF2B5EF4-FFF2-40B4-BE49-F238E27FC236}">
              <a16:creationId xmlns:a16="http://schemas.microsoft.com/office/drawing/2014/main" id="{9CC66C03-B829-964A-8585-DA9AD5BB2AD6}"/>
            </a:ext>
          </a:extLst>
        </xdr:cNvPr>
        <xdr:cNvSpPr/>
      </xdr:nvSpPr>
      <xdr:spPr>
        <a:xfrm>
          <a:off x="12232021" y="125480853"/>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67</xdr:col>
      <xdr:colOff>482181</xdr:colOff>
      <xdr:row>1</xdr:row>
      <xdr:rowOff>15282</xdr:rowOff>
    </xdr:from>
    <xdr:to>
      <xdr:col>74</xdr:col>
      <xdr:colOff>612247</xdr:colOff>
      <xdr:row>24</xdr:row>
      <xdr:rowOff>30382</xdr:rowOff>
    </xdr:to>
    <xdr:graphicFrame macro="">
      <xdr:nvGraphicFramePr>
        <xdr:cNvPr id="2" name="Graphique 1">
          <a:extLst>
            <a:ext uri="{FF2B5EF4-FFF2-40B4-BE49-F238E27FC236}">
              <a16:creationId xmlns:a16="http://schemas.microsoft.com/office/drawing/2014/main" id="{DF7743F4-B330-097C-F85A-5B04777AC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647700</xdr:colOff>
      <xdr:row>26</xdr:row>
      <xdr:rowOff>469900</xdr:rowOff>
    </xdr:from>
    <xdr:to>
      <xdr:col>12</xdr:col>
      <xdr:colOff>112945</xdr:colOff>
      <xdr:row>35</xdr:row>
      <xdr:rowOff>224174</xdr:rowOff>
    </xdr:to>
    <xdr:pic>
      <xdr:nvPicPr>
        <xdr:cNvPr id="2" name="Image 1" descr="Icône de risque sur l&amp;#39;illustration vectorielle du compteur - vecteur stock  | Crushpixel">
          <a:extLst>
            <a:ext uri="{FF2B5EF4-FFF2-40B4-BE49-F238E27FC236}">
              <a16:creationId xmlns:a16="http://schemas.microsoft.com/office/drawing/2014/main" id="{F72808A7-9D28-2A4A-8073-7C60430D1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12500" y="82931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673100</xdr:colOff>
      <xdr:row>26</xdr:row>
      <xdr:rowOff>457200</xdr:rowOff>
    </xdr:from>
    <xdr:to>
      <xdr:col>16</xdr:col>
      <xdr:colOff>138345</xdr:colOff>
      <xdr:row>35</xdr:row>
      <xdr:rowOff>211474</xdr:rowOff>
    </xdr:to>
    <xdr:pic>
      <xdr:nvPicPr>
        <xdr:cNvPr id="3" name="Image 2" descr="Icône de risque sur l&amp;#39;illustration vectorielle du compteur - vecteur stock  | Crushpixel">
          <a:extLst>
            <a:ext uri="{FF2B5EF4-FFF2-40B4-BE49-F238E27FC236}">
              <a16:creationId xmlns:a16="http://schemas.microsoft.com/office/drawing/2014/main" id="{87CD9C53-7C23-3844-9974-27F66BCDF0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39900" y="82804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546100</xdr:colOff>
      <xdr:row>26</xdr:row>
      <xdr:rowOff>508000</xdr:rowOff>
    </xdr:from>
    <xdr:to>
      <xdr:col>20</xdr:col>
      <xdr:colOff>11345</xdr:colOff>
      <xdr:row>35</xdr:row>
      <xdr:rowOff>262274</xdr:rowOff>
    </xdr:to>
    <xdr:pic>
      <xdr:nvPicPr>
        <xdr:cNvPr id="4" name="Image 3" descr="Icône de risque sur l&amp;#39;illustration vectorielle du compteur - vecteur stock  | Crushpixel">
          <a:extLst>
            <a:ext uri="{FF2B5EF4-FFF2-40B4-BE49-F238E27FC236}">
              <a16:creationId xmlns:a16="http://schemas.microsoft.com/office/drawing/2014/main" id="{76E372E6-1FAC-A54A-914D-B4C42C3BBB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614900" y="83312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1016000</xdr:colOff>
      <xdr:row>12</xdr:row>
      <xdr:rowOff>114300</xdr:rowOff>
    </xdr:from>
    <xdr:to>
      <xdr:col>5</xdr:col>
      <xdr:colOff>358545</xdr:colOff>
      <xdr:row>19</xdr:row>
      <xdr:rowOff>256412</xdr:rowOff>
    </xdr:to>
    <xdr:pic>
      <xdr:nvPicPr>
        <xdr:cNvPr id="56" name="Image 55" descr="Icône de risque sur l&amp;#39;illustration vectorielle du compteur - vecteur stock  | Crushpixel">
          <a:extLst>
            <a:ext uri="{FF2B5EF4-FFF2-40B4-BE49-F238E27FC236}">
              <a16:creationId xmlns:a16="http://schemas.microsoft.com/office/drawing/2014/main" id="{A9365FBE-F893-E243-8939-0B5154B15F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6000" y="3007691"/>
          <a:ext cx="3126409" cy="236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337038</xdr:colOff>
      <xdr:row>36</xdr:row>
      <xdr:rowOff>145562</xdr:rowOff>
    </xdr:from>
    <xdr:to>
      <xdr:col>6</xdr:col>
      <xdr:colOff>129957</xdr:colOff>
      <xdr:row>48</xdr:row>
      <xdr:rowOff>191935</xdr:rowOff>
    </xdr:to>
    <xdr:pic>
      <xdr:nvPicPr>
        <xdr:cNvPr id="57" name="Image 56" descr="Icône de risque sur l&amp;#39;illustration vectorielle du compteur - vecteur stock  | Crushpixel">
          <a:extLst>
            <a:ext uri="{FF2B5EF4-FFF2-40B4-BE49-F238E27FC236}">
              <a16:creationId xmlns:a16="http://schemas.microsoft.com/office/drawing/2014/main" id="{D89F2DCA-5A53-0F4D-A8AA-96C754326F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99" y="7235475"/>
          <a:ext cx="2785804" cy="243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22086</xdr:colOff>
      <xdr:row>5</xdr:row>
      <xdr:rowOff>176697</xdr:rowOff>
    </xdr:from>
    <xdr:to>
      <xdr:col>19</xdr:col>
      <xdr:colOff>121478</xdr:colOff>
      <xdr:row>28</xdr:row>
      <xdr:rowOff>55217</xdr:rowOff>
    </xdr:to>
    <xdr:graphicFrame macro="">
      <xdr:nvGraphicFramePr>
        <xdr:cNvPr id="8" name="Graphique 7">
          <a:extLst>
            <a:ext uri="{FF2B5EF4-FFF2-40B4-BE49-F238E27FC236}">
              <a16:creationId xmlns:a16="http://schemas.microsoft.com/office/drawing/2014/main" id="{5E42327B-53D6-4E45-BD39-4F9364A5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199908</xdr:colOff>
      <xdr:row>30</xdr:row>
      <xdr:rowOff>0</xdr:rowOff>
    </xdr:from>
    <xdr:to>
      <xdr:col>19</xdr:col>
      <xdr:colOff>1916759</xdr:colOff>
      <xdr:row>51</xdr:row>
      <xdr:rowOff>223426</xdr:rowOff>
    </xdr:to>
    <xdr:graphicFrame macro="">
      <xdr:nvGraphicFramePr>
        <xdr:cNvPr id="9" name="Graphique 8">
          <a:extLst>
            <a:ext uri="{FF2B5EF4-FFF2-40B4-BE49-F238E27FC236}">
              <a16:creationId xmlns:a16="http://schemas.microsoft.com/office/drawing/2014/main" id="{38B9AE22-D775-564A-ADF7-F819272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863600</xdr:colOff>
      <xdr:row>78</xdr:row>
      <xdr:rowOff>101601</xdr:rowOff>
    </xdr:from>
    <xdr:to>
      <xdr:col>13</xdr:col>
      <xdr:colOff>787400</xdr:colOff>
      <xdr:row>98</xdr:row>
      <xdr:rowOff>50801</xdr:rowOff>
    </xdr:to>
    <xdr:graphicFrame macro="">
      <xdr:nvGraphicFramePr>
        <xdr:cNvPr id="11" name="Graphique 10">
          <a:extLst>
            <a:ext uri="{FF2B5EF4-FFF2-40B4-BE49-F238E27FC236}">
              <a16:creationId xmlns:a16="http://schemas.microsoft.com/office/drawing/2014/main" id="{30CC2128-4270-6143-B4E9-2A121A57C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594809</xdr:colOff>
      <xdr:row>101</xdr:row>
      <xdr:rowOff>0</xdr:rowOff>
    </xdr:from>
    <xdr:to>
      <xdr:col>15</xdr:col>
      <xdr:colOff>337594</xdr:colOff>
      <xdr:row>115</xdr:row>
      <xdr:rowOff>305878</xdr:rowOff>
    </xdr:to>
    <mc:AlternateContent xmlns:mc="http://schemas.openxmlformats.org/markup-compatibility/2006">
      <mc:Choice xmlns:cx2="http://schemas.microsoft.com/office/drawing/2015/10/21/chartex" Requires="cx2">
        <xdr:graphicFrame macro="">
          <xdr:nvGraphicFramePr>
            <xdr:cNvPr id="12" name="Graphique 11">
              <a:extLst>
                <a:ext uri="{FF2B5EF4-FFF2-40B4-BE49-F238E27FC236}">
                  <a16:creationId xmlns:a16="http://schemas.microsoft.com/office/drawing/2014/main" id="{ED5320E9-34B1-8945-B230-0282AC42E9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809" y="31800800"/>
              <a:ext cx="14373185" cy="81290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1675017</xdr:colOff>
      <xdr:row>13</xdr:row>
      <xdr:rowOff>1360051</xdr:rowOff>
    </xdr:from>
    <xdr:to>
      <xdr:col>35</xdr:col>
      <xdr:colOff>1433285</xdr:colOff>
      <xdr:row>21</xdr:row>
      <xdr:rowOff>471715</xdr:rowOff>
    </xdr:to>
    <mc:AlternateContent xmlns:mc="http://schemas.openxmlformats.org/markup-compatibility/2006">
      <mc:Choice xmlns:cx2="http://schemas.microsoft.com/office/drawing/2015/10/21/chartex" Requires="cx2">
        <xdr:graphicFrame macro="">
          <xdr:nvGraphicFramePr>
            <xdr:cNvPr id="3" name="Graphique 2">
              <a:extLst>
                <a:ext uri="{FF2B5EF4-FFF2-40B4-BE49-F238E27FC236}">
                  <a16:creationId xmlns:a16="http://schemas.microsoft.com/office/drawing/2014/main" id="{1BEA8FD8-A2BC-4B6D-00F3-AA1A0773AD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63817" y="11227951"/>
              <a:ext cx="14045768" cy="8941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265984</xdr:colOff>
      <xdr:row>13</xdr:row>
      <xdr:rowOff>544132</xdr:rowOff>
    </xdr:from>
    <xdr:to>
      <xdr:col>28</xdr:col>
      <xdr:colOff>88900</xdr:colOff>
      <xdr:row>13</xdr:row>
      <xdr:rowOff>850900</xdr:rowOff>
    </xdr:to>
    <xdr:sp macro="" textlink="">
      <xdr:nvSpPr>
        <xdr:cNvPr id="4" name="ZoneTexte 3">
          <a:extLst>
            <a:ext uri="{FF2B5EF4-FFF2-40B4-BE49-F238E27FC236}">
              <a16:creationId xmlns:a16="http://schemas.microsoft.com/office/drawing/2014/main" id="{82BA3339-7962-15A3-C557-B424B0EB5317}"/>
            </a:ext>
          </a:extLst>
        </xdr:cNvPr>
        <xdr:cNvSpPr txBox="1"/>
      </xdr:nvSpPr>
      <xdr:spPr>
        <a:xfrm>
          <a:off x="38569184" y="10412032"/>
          <a:ext cx="3188416" cy="306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Le chiffre en négatif doit apparaitre en +</a:t>
          </a:r>
        </a:p>
      </xdr:txBody>
    </xdr:sp>
    <xdr:clientData/>
  </xdr:twoCellAnchor>
  <xdr:twoCellAnchor>
    <xdr:from>
      <xdr:col>33</xdr:col>
      <xdr:colOff>2128589</xdr:colOff>
      <xdr:row>13</xdr:row>
      <xdr:rowOff>858591</xdr:rowOff>
    </xdr:from>
    <xdr:to>
      <xdr:col>34</xdr:col>
      <xdr:colOff>3005070</xdr:colOff>
      <xdr:row>14</xdr:row>
      <xdr:rowOff>17887</xdr:rowOff>
    </xdr:to>
    <xdr:sp macro="" textlink="">
      <xdr:nvSpPr>
        <xdr:cNvPr id="5" name="ZoneTexte 4">
          <a:extLst>
            <a:ext uri="{FF2B5EF4-FFF2-40B4-BE49-F238E27FC236}">
              <a16:creationId xmlns:a16="http://schemas.microsoft.com/office/drawing/2014/main" id="{DFA04AF9-4D52-41BB-C596-E0AB3D7038A1}"/>
            </a:ext>
          </a:extLst>
        </xdr:cNvPr>
        <xdr:cNvSpPr txBox="1"/>
      </xdr:nvSpPr>
      <xdr:spPr>
        <a:xfrm>
          <a:off x="53536758" y="8478591"/>
          <a:ext cx="5634509" cy="46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600"/>
            <a:t>Plus le chiffre est grand, plus</a:t>
          </a:r>
          <a:r>
            <a:rPr lang="fr-CA" sz="1600" baseline="0"/>
            <a:t> il y a des comportements opposés</a:t>
          </a:r>
          <a:endParaRPr lang="fr-CA" sz="16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88900</xdr:colOff>
      <xdr:row>2</xdr:row>
      <xdr:rowOff>57150</xdr:rowOff>
    </xdr:from>
    <xdr:to>
      <xdr:col>39</xdr:col>
      <xdr:colOff>0</xdr:colOff>
      <xdr:row>21</xdr:row>
      <xdr:rowOff>25400</xdr:rowOff>
    </xdr:to>
    <xdr:graphicFrame macro="">
      <xdr:nvGraphicFramePr>
        <xdr:cNvPr id="3" name="Graphique 2">
          <a:extLst>
            <a:ext uri="{FF2B5EF4-FFF2-40B4-BE49-F238E27FC236}">
              <a16:creationId xmlns:a16="http://schemas.microsoft.com/office/drawing/2014/main" id="{FC0237A3-9BFF-2446-99C9-521CCFF77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760215</xdr:colOff>
      <xdr:row>43</xdr:row>
      <xdr:rowOff>587697</xdr:rowOff>
    </xdr:from>
    <xdr:to>
      <xdr:col>18</xdr:col>
      <xdr:colOff>873334</xdr:colOff>
      <xdr:row>51</xdr:row>
      <xdr:rowOff>223265</xdr:rowOff>
    </xdr:to>
    <xdr:grpSp>
      <xdr:nvGrpSpPr>
        <xdr:cNvPr id="36" name="Groupe 35">
          <a:extLst>
            <a:ext uri="{FF2B5EF4-FFF2-40B4-BE49-F238E27FC236}">
              <a16:creationId xmlns:a16="http://schemas.microsoft.com/office/drawing/2014/main" id="{EF4BF2E6-F737-594B-9218-FEEE3C3349B6}"/>
            </a:ext>
          </a:extLst>
        </xdr:cNvPr>
        <xdr:cNvGrpSpPr/>
      </xdr:nvGrpSpPr>
      <xdr:grpSpPr>
        <a:xfrm>
          <a:off x="24013915" y="15954697"/>
          <a:ext cx="1637119" cy="3369368"/>
          <a:chOff x="26123900" y="12877800"/>
          <a:chExt cx="1095602" cy="4899866"/>
        </a:xfrm>
      </xdr:grpSpPr>
      <xdr:pic>
        <xdr:nvPicPr>
          <xdr:cNvPr id="28" name="Image 27">
            <a:extLst>
              <a:ext uri="{FF2B5EF4-FFF2-40B4-BE49-F238E27FC236}">
                <a16:creationId xmlns:a16="http://schemas.microsoft.com/office/drawing/2014/main" id="{E9786A94-79A1-9C4B-B691-B88C27D988B0}"/>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0" name="ZoneTexte 29">
            <a:extLst>
              <a:ext uri="{FF2B5EF4-FFF2-40B4-BE49-F238E27FC236}">
                <a16:creationId xmlns:a16="http://schemas.microsoft.com/office/drawing/2014/main" id="{9DE0FF1D-5206-544D-8508-F0EA16B4379B}"/>
              </a:ext>
            </a:extLst>
          </xdr:cNvPr>
          <xdr:cNvSpPr txBox="1"/>
        </xdr:nvSpPr>
        <xdr:spPr>
          <a:xfrm>
            <a:off x="26319724" y="14136605"/>
            <a:ext cx="843250" cy="431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31" name="ZoneTexte 30">
            <a:extLst>
              <a:ext uri="{FF2B5EF4-FFF2-40B4-BE49-F238E27FC236}">
                <a16:creationId xmlns:a16="http://schemas.microsoft.com/office/drawing/2014/main" id="{D9F28082-85CB-3747-BFEE-13DF4F2AC5AC}"/>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32" name="ZoneTexte 31">
            <a:extLst>
              <a:ext uri="{FF2B5EF4-FFF2-40B4-BE49-F238E27FC236}">
                <a16:creationId xmlns:a16="http://schemas.microsoft.com/office/drawing/2014/main" id="{D93C386A-2EB6-F749-8128-9F81A5125C83}"/>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33" name="ZoneTexte 32">
            <a:extLst>
              <a:ext uri="{FF2B5EF4-FFF2-40B4-BE49-F238E27FC236}">
                <a16:creationId xmlns:a16="http://schemas.microsoft.com/office/drawing/2014/main" id="{B0099C26-8FBA-354E-86A2-50FBD4D901B4}"/>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34" name="ZoneTexte 33">
            <a:extLst>
              <a:ext uri="{FF2B5EF4-FFF2-40B4-BE49-F238E27FC236}">
                <a16:creationId xmlns:a16="http://schemas.microsoft.com/office/drawing/2014/main" id="{9F304333-B7B3-A340-AF9E-9EA1642D20A2}"/>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17</xdr:col>
      <xdr:colOff>751958</xdr:colOff>
      <xdr:row>46</xdr:row>
      <xdr:rowOff>29536</xdr:rowOff>
    </xdr:from>
    <xdr:to>
      <xdr:col>18</xdr:col>
      <xdr:colOff>2658</xdr:colOff>
      <xdr:row>50</xdr:row>
      <xdr:rowOff>80336</xdr:rowOff>
    </xdr:to>
    <xdr:sp macro="" textlink="">
      <xdr:nvSpPr>
        <xdr:cNvPr id="29" name="Flèche vers le bas 28">
          <a:extLst>
            <a:ext uri="{FF2B5EF4-FFF2-40B4-BE49-F238E27FC236}">
              <a16:creationId xmlns:a16="http://schemas.microsoft.com/office/drawing/2014/main" id="{EE897EED-0BF9-DB44-996B-577A2A723B6F}"/>
            </a:ext>
          </a:extLst>
        </xdr:cNvPr>
        <xdr:cNvSpPr/>
      </xdr:nvSpPr>
      <xdr:spPr>
        <a:xfrm>
          <a:off x="26491609" y="14309652"/>
          <a:ext cx="328723" cy="1571847"/>
        </a:xfrm>
        <a:prstGeom prst="downArrow">
          <a:avLst/>
        </a:prstGeom>
        <a:gradFill flip="none" rotWithShape="1">
          <a:gsLst>
            <a:gs pos="35000">
              <a:srgbClr val="FF0000"/>
            </a:gs>
            <a:gs pos="0">
              <a:srgbClr val="FF0000"/>
            </a:gs>
            <a:gs pos="96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4152900</xdr:colOff>
      <xdr:row>44</xdr:row>
      <xdr:rowOff>0</xdr:rowOff>
    </xdr:from>
    <xdr:to>
      <xdr:col>16</xdr:col>
      <xdr:colOff>50800</xdr:colOff>
      <xdr:row>51</xdr:row>
      <xdr:rowOff>353266</xdr:rowOff>
    </xdr:to>
    <xdr:grpSp>
      <xdr:nvGrpSpPr>
        <xdr:cNvPr id="37" name="Groupe 36">
          <a:extLst>
            <a:ext uri="{FF2B5EF4-FFF2-40B4-BE49-F238E27FC236}">
              <a16:creationId xmlns:a16="http://schemas.microsoft.com/office/drawing/2014/main" id="{899A20C6-9B43-9B47-BE43-5DFE82B4676A}"/>
            </a:ext>
          </a:extLst>
        </xdr:cNvPr>
        <xdr:cNvGrpSpPr/>
      </xdr:nvGrpSpPr>
      <xdr:grpSpPr>
        <a:xfrm>
          <a:off x="20523200" y="15951200"/>
          <a:ext cx="1257300" cy="3502866"/>
          <a:chOff x="26123900" y="12877800"/>
          <a:chExt cx="1095602" cy="4899866"/>
        </a:xfrm>
      </xdr:grpSpPr>
      <xdr:pic>
        <xdr:nvPicPr>
          <xdr:cNvPr id="38" name="Image 37">
            <a:extLst>
              <a:ext uri="{FF2B5EF4-FFF2-40B4-BE49-F238E27FC236}">
                <a16:creationId xmlns:a16="http://schemas.microsoft.com/office/drawing/2014/main" id="{AB45FAA3-6C12-C346-A2ED-C468A9F0A463}"/>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9" name="ZoneTexte 38">
            <a:extLst>
              <a:ext uri="{FF2B5EF4-FFF2-40B4-BE49-F238E27FC236}">
                <a16:creationId xmlns:a16="http://schemas.microsoft.com/office/drawing/2014/main" id="{AE96346F-5AFE-CD47-A27E-B5E161DB4B62}"/>
              </a:ext>
            </a:extLst>
          </xdr:cNvPr>
          <xdr:cNvSpPr txBox="1"/>
        </xdr:nvSpPr>
        <xdr:spPr>
          <a:xfrm>
            <a:off x="26278976" y="14113198"/>
            <a:ext cx="843250"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40" name="ZoneTexte 39">
            <a:extLst>
              <a:ext uri="{FF2B5EF4-FFF2-40B4-BE49-F238E27FC236}">
                <a16:creationId xmlns:a16="http://schemas.microsoft.com/office/drawing/2014/main" id="{B1BA33F7-3927-7549-AF5D-2AAF5466BD13}"/>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41" name="ZoneTexte 40">
            <a:extLst>
              <a:ext uri="{FF2B5EF4-FFF2-40B4-BE49-F238E27FC236}">
                <a16:creationId xmlns:a16="http://schemas.microsoft.com/office/drawing/2014/main" id="{335639CE-736B-5549-B936-3C3E1DECA541}"/>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42" name="ZoneTexte 41">
            <a:extLst>
              <a:ext uri="{FF2B5EF4-FFF2-40B4-BE49-F238E27FC236}">
                <a16:creationId xmlns:a16="http://schemas.microsoft.com/office/drawing/2014/main" id="{8B787EA4-2E3B-2C45-8BA1-AB99A4DE8881}"/>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43" name="ZoneTexte 42">
            <a:extLst>
              <a:ext uri="{FF2B5EF4-FFF2-40B4-BE49-F238E27FC236}">
                <a16:creationId xmlns:a16="http://schemas.microsoft.com/office/drawing/2014/main" id="{C0FCDAC5-4C68-924F-94CD-1C95F7A1CA42}"/>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15</xdr:col>
      <xdr:colOff>790058</xdr:colOff>
      <xdr:row>45</xdr:row>
      <xdr:rowOff>446566</xdr:rowOff>
    </xdr:from>
    <xdr:to>
      <xdr:col>16</xdr:col>
      <xdr:colOff>28058</xdr:colOff>
      <xdr:row>46</xdr:row>
      <xdr:rowOff>256067</xdr:rowOff>
    </xdr:to>
    <xdr:sp macro="" textlink="">
      <xdr:nvSpPr>
        <xdr:cNvPr id="44" name="Flèche vers le bas 43">
          <a:extLst>
            <a:ext uri="{FF2B5EF4-FFF2-40B4-BE49-F238E27FC236}">
              <a16:creationId xmlns:a16="http://schemas.microsoft.com/office/drawing/2014/main" id="{53428F99-C023-5B47-9F50-FC4FB2691B0C}"/>
            </a:ext>
          </a:extLst>
        </xdr:cNvPr>
        <xdr:cNvSpPr/>
      </xdr:nvSpPr>
      <xdr:spPr>
        <a:xfrm rot="10800000">
          <a:off x="24314593" y="13870171"/>
          <a:ext cx="227418" cy="282059"/>
        </a:xfrm>
        <a:prstGeom prst="downArrow">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21</xdr:col>
      <xdr:colOff>44892</xdr:colOff>
      <xdr:row>37</xdr:row>
      <xdr:rowOff>191977</xdr:rowOff>
    </xdr:from>
    <xdr:to>
      <xdr:col>22</xdr:col>
      <xdr:colOff>174421</xdr:colOff>
      <xdr:row>39</xdr:row>
      <xdr:rowOff>160376</xdr:rowOff>
    </xdr:to>
    <xdr:pic>
      <xdr:nvPicPr>
        <xdr:cNvPr id="46" name="Image 45">
          <a:extLst>
            <a:ext uri="{FF2B5EF4-FFF2-40B4-BE49-F238E27FC236}">
              <a16:creationId xmlns:a16="http://schemas.microsoft.com/office/drawing/2014/main" id="{41ABB39E-DCF3-5C40-95BC-25B0D72BD0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05939" y="10174768"/>
          <a:ext cx="1653529" cy="1046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733090</xdr:colOff>
      <xdr:row>39</xdr:row>
      <xdr:rowOff>0</xdr:rowOff>
    </xdr:from>
    <xdr:to>
      <xdr:col>17</xdr:col>
      <xdr:colOff>393184</xdr:colOff>
      <xdr:row>39</xdr:row>
      <xdr:rowOff>382033</xdr:rowOff>
    </xdr:to>
    <xdr:sp macro="" textlink="">
      <xdr:nvSpPr>
        <xdr:cNvPr id="4" name="Triangle 3">
          <a:extLst>
            <a:ext uri="{FF2B5EF4-FFF2-40B4-BE49-F238E27FC236}">
              <a16:creationId xmlns:a16="http://schemas.microsoft.com/office/drawing/2014/main" id="{193F5F3C-EB2E-C946-978D-851B235C10AD}"/>
            </a:ext>
          </a:extLst>
        </xdr:cNvPr>
        <xdr:cNvSpPr/>
      </xdr:nvSpPr>
      <xdr:spPr>
        <a:xfrm>
          <a:off x="24037074" y="11037642"/>
          <a:ext cx="878468" cy="382033"/>
        </a:xfrm>
        <a:prstGeom prst="triangle">
          <a:avLst/>
        </a:prstGeom>
        <a:no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16</xdr:col>
      <xdr:colOff>730612</xdr:colOff>
      <xdr:row>40</xdr:row>
      <xdr:rowOff>121424</xdr:rowOff>
    </xdr:from>
    <xdr:to>
      <xdr:col>17</xdr:col>
      <xdr:colOff>390706</xdr:colOff>
      <xdr:row>41</xdr:row>
      <xdr:rowOff>100774</xdr:rowOff>
    </xdr:to>
    <xdr:sp macro="" textlink="">
      <xdr:nvSpPr>
        <xdr:cNvPr id="22" name="Triangle 21">
          <a:extLst>
            <a:ext uri="{FF2B5EF4-FFF2-40B4-BE49-F238E27FC236}">
              <a16:creationId xmlns:a16="http://schemas.microsoft.com/office/drawing/2014/main" id="{8C2ACE2D-3240-2841-B9F0-81368EF65C44}"/>
            </a:ext>
          </a:extLst>
        </xdr:cNvPr>
        <xdr:cNvSpPr/>
      </xdr:nvSpPr>
      <xdr:spPr>
        <a:xfrm rot="10800000">
          <a:off x="24034596" y="11561749"/>
          <a:ext cx="878468" cy="382033"/>
        </a:xfrm>
        <a:prstGeom prst="triangle">
          <a:avLst/>
        </a:prstGeom>
        <a:gradFill flip="none" rotWithShape="1">
          <a:gsLst>
            <a:gs pos="53000">
              <a:schemeClr val="bg1"/>
            </a:gs>
            <a:gs pos="68000">
              <a:schemeClr val="bg1"/>
            </a:gs>
            <a:gs pos="0">
              <a:schemeClr val="bg1"/>
            </a:gs>
            <a:gs pos="8000">
              <a:srgbClr val="F20004"/>
            </a:gs>
            <a:gs pos="16000">
              <a:schemeClr val="bg1"/>
            </a:gs>
            <a:gs pos="100000">
              <a:schemeClr val="accent1">
                <a:lumMod val="30000"/>
                <a:lumOff val="7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19</xdr:col>
      <xdr:colOff>664536</xdr:colOff>
      <xdr:row>43</xdr:row>
      <xdr:rowOff>546395</xdr:rowOff>
    </xdr:from>
    <xdr:to>
      <xdr:col>21</xdr:col>
      <xdr:colOff>201724</xdr:colOff>
      <xdr:row>51</xdr:row>
      <xdr:rowOff>181963</xdr:rowOff>
    </xdr:to>
    <xdr:grpSp>
      <xdr:nvGrpSpPr>
        <xdr:cNvPr id="26" name="Groupe 25">
          <a:extLst>
            <a:ext uri="{FF2B5EF4-FFF2-40B4-BE49-F238E27FC236}">
              <a16:creationId xmlns:a16="http://schemas.microsoft.com/office/drawing/2014/main" id="{21C1C91B-FA6A-1C44-9A88-49FD6E8DDEF9}"/>
            </a:ext>
          </a:extLst>
        </xdr:cNvPr>
        <xdr:cNvGrpSpPr/>
      </xdr:nvGrpSpPr>
      <xdr:grpSpPr>
        <a:xfrm>
          <a:off x="26966236" y="15913395"/>
          <a:ext cx="2585188" cy="3369368"/>
          <a:chOff x="26123900" y="12877800"/>
          <a:chExt cx="1095602" cy="4899866"/>
        </a:xfrm>
      </xdr:grpSpPr>
      <xdr:pic>
        <xdr:nvPicPr>
          <xdr:cNvPr id="27" name="Image 26">
            <a:extLst>
              <a:ext uri="{FF2B5EF4-FFF2-40B4-BE49-F238E27FC236}">
                <a16:creationId xmlns:a16="http://schemas.microsoft.com/office/drawing/2014/main" id="{C56D5BCD-CFE1-E241-A47B-7A579A5E5FD6}"/>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5" name="ZoneTexte 34">
            <a:extLst>
              <a:ext uri="{FF2B5EF4-FFF2-40B4-BE49-F238E27FC236}">
                <a16:creationId xmlns:a16="http://schemas.microsoft.com/office/drawing/2014/main" id="{64140BDB-9D08-0443-B1B3-AE5C1BCA468B}"/>
              </a:ext>
            </a:extLst>
          </xdr:cNvPr>
          <xdr:cNvSpPr txBox="1"/>
        </xdr:nvSpPr>
        <xdr:spPr>
          <a:xfrm>
            <a:off x="26319724" y="14136605"/>
            <a:ext cx="843250" cy="431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45" name="ZoneTexte 44">
            <a:extLst>
              <a:ext uri="{FF2B5EF4-FFF2-40B4-BE49-F238E27FC236}">
                <a16:creationId xmlns:a16="http://schemas.microsoft.com/office/drawing/2014/main" id="{5F4B1C76-D320-BD44-B755-CF7456AF5B41}"/>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47" name="ZoneTexte 46">
            <a:extLst>
              <a:ext uri="{FF2B5EF4-FFF2-40B4-BE49-F238E27FC236}">
                <a16:creationId xmlns:a16="http://schemas.microsoft.com/office/drawing/2014/main" id="{A7B3B005-B571-274F-80B5-6F921E75EF33}"/>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48" name="ZoneTexte 47">
            <a:extLst>
              <a:ext uri="{FF2B5EF4-FFF2-40B4-BE49-F238E27FC236}">
                <a16:creationId xmlns:a16="http://schemas.microsoft.com/office/drawing/2014/main" id="{C4271B23-353C-1E46-BBFD-5BA93AFBFC0D}"/>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49" name="ZoneTexte 48">
            <a:extLst>
              <a:ext uri="{FF2B5EF4-FFF2-40B4-BE49-F238E27FC236}">
                <a16:creationId xmlns:a16="http://schemas.microsoft.com/office/drawing/2014/main" id="{EF3455E1-A964-B343-B747-FDA0D238527A}"/>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19</xdr:col>
      <xdr:colOff>623777</xdr:colOff>
      <xdr:row>47</xdr:row>
      <xdr:rowOff>108098</xdr:rowOff>
    </xdr:from>
    <xdr:to>
      <xdr:col>20</xdr:col>
      <xdr:colOff>125523</xdr:colOff>
      <xdr:row>51</xdr:row>
      <xdr:rowOff>158899</xdr:rowOff>
    </xdr:to>
    <xdr:sp macro="" textlink="">
      <xdr:nvSpPr>
        <xdr:cNvPr id="50" name="Flèche vers le bas 49">
          <a:extLst>
            <a:ext uri="{FF2B5EF4-FFF2-40B4-BE49-F238E27FC236}">
              <a16:creationId xmlns:a16="http://schemas.microsoft.com/office/drawing/2014/main" id="{FECAAEF1-D8B4-1243-B765-5DD6203A64AF}"/>
            </a:ext>
          </a:extLst>
        </xdr:cNvPr>
        <xdr:cNvSpPr/>
      </xdr:nvSpPr>
      <xdr:spPr>
        <a:xfrm>
          <a:off x="28430870" y="14905075"/>
          <a:ext cx="328723" cy="1571847"/>
        </a:xfrm>
        <a:prstGeom prst="downArrow">
          <a:avLst/>
        </a:prstGeom>
        <a:gradFill flip="none" rotWithShape="1">
          <a:gsLst>
            <a:gs pos="35000">
              <a:srgbClr val="FF0000"/>
            </a:gs>
            <a:gs pos="0">
              <a:srgbClr val="FF0000"/>
            </a:gs>
            <a:gs pos="96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oneCellAnchor>
    <xdr:from>
      <xdr:col>16</xdr:col>
      <xdr:colOff>575930</xdr:colOff>
      <xdr:row>77</xdr:row>
      <xdr:rowOff>177210</xdr:rowOff>
    </xdr:from>
    <xdr:ext cx="184731" cy="264560"/>
    <xdr:sp macro="" textlink="">
      <xdr:nvSpPr>
        <xdr:cNvPr id="6" name="ZoneTexte 5">
          <a:extLst>
            <a:ext uri="{FF2B5EF4-FFF2-40B4-BE49-F238E27FC236}">
              <a16:creationId xmlns:a16="http://schemas.microsoft.com/office/drawing/2014/main" id="{C51F9F62-BFAE-7940-B846-64E27F30D495}"/>
            </a:ext>
          </a:extLst>
        </xdr:cNvPr>
        <xdr:cNvSpPr txBox="1"/>
      </xdr:nvSpPr>
      <xdr:spPr>
        <a:xfrm>
          <a:off x="24336744" y="260940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CA"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Library/Mobile%20Documents/com~apple~CloudDocs/e.Constellations/Application%20web/TEST/Mode&#768;le%20eC%20__%2011nov_grand%20me&#769;na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tat Final"/>
      <sheetName val="Baromètre"/>
      <sheetName val="BIBLE"/>
      <sheetName val="Test_Bible"/>
      <sheetName val="Q_qualitatives"/>
      <sheetName val="Indice VC"/>
      <sheetName val="Action-Réaction finale"/>
      <sheetName val="Modèle Calcul A-R"/>
      <sheetName val="Cpts miroirs des parents"/>
      <sheetName val="Modèle Miroir_divergence"/>
      <sheetName val="Modèle miroir_diagnostic"/>
      <sheetName val="Diff"/>
      <sheetName val="CPTS indépendants"/>
      <sheetName val="Modèle_CPTS ind."/>
      <sheetName val="TEMP_Différenti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6">
          <cell r="B6" t="str">
            <v>Sérénité et confidence face à la séparation</v>
          </cell>
        </row>
        <row r="9">
          <cell r="B9" t="str">
            <v>Interrogatoires au retour de garde</v>
          </cell>
        </row>
        <row r="11">
          <cell r="B11" t="str">
            <v>Exigences de coparentalité</v>
          </cell>
          <cell r="G11" t="str">
            <v>PCR10</v>
          </cell>
        </row>
        <row r="13">
          <cell r="B13" t="str">
            <v>Valeur du co-parent</v>
          </cell>
        </row>
        <row r="16">
          <cell r="B16" t="str">
            <v>Prise de décision sans le consentement de l'autre</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ersons/person.xml><?xml version="1.0" encoding="utf-8"?>
<personList xmlns="http://schemas.microsoft.com/office/spreadsheetml/2018/threadedcomments" xmlns:x="http://schemas.openxmlformats.org/spreadsheetml/2006/main">
  <person displayName="Joanna Murphy" id="{5C98A592-1151-094F-8E8F-C848214FE88B}" userId="Joanna Murphy" providerId="None"/>
  <person displayName="Caroline Paradis" id="{2F02F7ED-CA51-A244-B43B-5F2EA8C10B88}" userId="54183e4181ef18af"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78.688796064816" createdVersion="8" refreshedVersion="8" minRefreshableVersion="3" recordCount="75" xr:uid="{52A583FA-7B53-9640-AB5D-2DDDC193EE54}">
  <cacheSource type="worksheet">
    <worksheetSource ref="B5:J80" sheet="Analyse Catégories_CEV"/>
  </cacheSource>
  <cacheFields count="9">
    <cacheField name="Catégories" numFmtId="0">
      <sharedItems count="9">
        <s v="A:Alliance"/>
        <s v="B:Altération/dévoiement de la réalité"/>
        <s v="C: Chantage affectif, loyauté, manipulation"/>
        <s v="C: Chantage affectif et manipulation"/>
        <s v="D: Dénigrement"/>
        <s v="E: Interférence temps et/ou communication"/>
        <s v="F: Interférence lien affectif ou symbolique"/>
        <s v="G: Parentification"/>
        <s v="H: Rôle actif, Réponse au CC, r"/>
      </sharedItems>
    </cacheField>
    <cacheField name="Comportements" numFmtId="0">
      <sharedItems count="72">
        <s v="Demande de garder des secrets"/>
        <s v="Le nouveau ou nouvelle conjointe·e joue un rôle de confident"/>
        <s v="Le rôle de confident de la nouveau ou nouvelle conjointe·e n'est pas sain"/>
        <s v="Abandon de la famille"/>
        <s v="N'aime pas l'enfant"/>
        <s v="Manque de sécurité chez l'autre"/>
        <s v="Accusation d'instabilité psychologique"/>
        <s v="Modification de faits"/>
        <s v="Déforme les souvenirs"/>
        <s v="Aisance avec l'autre parent"/>
        <s v="Marche sur des œufs"/>
        <s v="Fait des compromis"/>
        <s v="Salue l'autre lors de rencontre"/>
        <s v="Questionne l'enfant à son retour de garde chez l'autre"/>
        <s v="Culpabilise l'amour de l'enfant pour l'autre"/>
        <s v="Boude lorsqu'il quitte"/>
        <s v="Se fâche s'il exprime de l'amour pour l'autre"/>
        <s v="Accable de reproches par écrit"/>
        <s v="Fait des menaces"/>
        <s v="Demande à l'enfant à choisir avec qui il veut vivre"/>
        <s v="L'autre parent hausse le ton et impose sa vision"/>
        <s v="Intervient auprès de l'autre parent au retour des enfants"/>
        <s v="Fait des reproches à l'autre parent devant l'enfant"/>
        <s v="Dénigre l'autre devant l'enfant"/>
        <s v="Ridiculise l'autre"/>
        <s v="Menace l'autre"/>
        <s v="Présente à l'entourage une vision négative de l'autre"/>
        <s v="Dénigre la nouvelle famille"/>
        <s v="La vraie famille c'est la nôtre"/>
        <s v="Demande d'appeler le nouveau ou la nouvelle conjoint·e, maman ou papa"/>
        <s v="Accable de reproches l'autre parent téléphone ou courriel"/>
        <s v="Dénigre les compétences parentales de l'autre"/>
        <s v="Communique fréquemment avec l'enfant lorsqu'il est chez l'autre"/>
        <s v="Laisse l'enfant le droit de choisir"/>
        <s v="Change les horaires sans consulter l'autre"/>
        <s v="Ne respecte pas l'heure des changements de garde"/>
        <s v="Propose des activités sur le temps de garde de l'autre"/>
        <s v="Organisme des activités irrésistibles lors du temps de garde de l'autre"/>
        <s v="Se présente à la sortie des classes sur le temps de garde de l'autre"/>
        <s v="Communique les informations concernant l'enfant"/>
        <s v="Bloque les communications de l'entourage de l'enfant à l'autre parent"/>
        <s v="Facilité de communication avec l'enfant lorsqu'il est chez l'autre"/>
        <s v="Contrôle les conversations téléphoniques "/>
        <s v="Se présente sans s'annoncer chez vous ou à votre travail"/>
        <s v="S'impose responsable de la logistique familiale"/>
        <s v="Serein face aux exigences de coparentalité"/>
        <s v="Laisse les jouets et vêtements se promener"/>
        <s v="Prend des décision sans consulter l'autre"/>
        <s v="L'autre parent est votre égal"/>
        <s v="En compétition avec l'autre pour l'amour de l'enfant"/>
        <s v="La maternité | paternité représente la valeur sociale du parent"/>
        <s v="Impose sa présence aux activités destinées aux enfants"/>
        <s v="Cherche à blesser l'autre"/>
        <s v="Appelle l'autre par son prénom"/>
        <s v="Considère son nouveau ou sa nouvelle conjoint·e meilleur· que l'autre"/>
        <s v="Limite les contacts avec la famille élargie de l'autre"/>
        <s v="Jette les objets qui représentent l'autre"/>
        <s v="Impuissant devant les décisions de l'enfant"/>
        <s v="Incite l'enfant à choisir un des deux parents"/>
        <s v="Cherche à exclure l'autre"/>
        <s v="Le nouveau ou la nouvelle conjoint·e demande de faire appeler maman ou papa"/>
        <s v="Le nouveau ou la nouvelle conjoint·e fragilise la relation de l'enfant avec l'autre parent"/>
        <s v="Demande à l'enfant de faire les messages"/>
        <s v="L'enfant de 12 ans est assez mature pour choisir"/>
        <s v="Informe l'enfant sur les enjeux avec l'autre parent"/>
        <s v="Serein face à la séparation"/>
        <s v="Confie à l'enfant ses peines"/>
        <s v="Confie à l'enfant des informations délicates sur l'autre"/>
        <s v="Fait lire à l'enfant des communications de l'autre parent"/>
        <s v="L'enfant est assez mature pour choisir"/>
        <s v="Demande le respect des désirs de l'enfant"/>
        <s v="Encourage un discours haineux envers le ou la nouvelle conjointe de l'autre parent"/>
      </sharedItems>
    </cacheField>
    <cacheField name="Coparent" numFmtId="0">
      <sharedItems containsString="0" containsBlank="1" containsNumber="1" containsInteger="1" minValue="0" maxValue="30"/>
    </cacheField>
    <cacheField name="Nouveau|nouvelle conjoint·e" numFmtId="0">
      <sharedItems containsString="0" containsBlank="1" containsNumber="1" containsInteger="1" minValue="0" maxValue="20"/>
    </cacheField>
    <cacheField name="Parent répondant" numFmtId="0">
      <sharedItems containsString="0" containsBlank="1" containsNumber="1" containsInteger="1" minValue="0" maxValue="14"/>
    </cacheField>
    <cacheField name="Cat_bref" numFmtId="0">
      <sharedItems containsBlank="1"/>
    </cacheField>
    <cacheField name="Total catégorie" numFmtId="0">
      <sharedItems containsString="0" containsBlank="1" containsNumber="1" containsInteger="1" minValue="14" maxValue="107"/>
    </cacheField>
    <cacheField name="Comportements préjudiciables" numFmtId="0">
      <sharedItems count="12">
        <s v=""/>
        <s v="Déforme les souvenirs"/>
        <s v="Fait des compromis"/>
        <s v="Salue l'autre lors de rencontre"/>
        <s v="Dénigre l'autre devant l'enfant"/>
        <s v="Communique fréquemment avec l'enfant lorsqu'il est chez l'autre"/>
        <s v="Change les horaires sans consulter l'autre"/>
        <s v="S'impose responsable de la logistique familiale"/>
        <s v="En compétition avec l'autre pour l'amour de l'enfant"/>
        <s v="Cherche à blesser l'autre"/>
        <s v="L'enfant est assez mature pour choisir"/>
        <s v="Demande à l'enfant de faire les messages"/>
      </sharedItems>
    </cacheField>
    <cacheField name="Intensité des comportements/catégorie" numFmtId="1">
      <sharedItems containsSemiMixedTypes="0" containsString="0" containsNumber="1" containsInteger="1" minValue="0" maxValue="3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n v="14"/>
    <m/>
    <m/>
    <m/>
    <m/>
    <x v="0"/>
    <n v="14"/>
  </r>
  <r>
    <x v="0"/>
    <x v="1"/>
    <m/>
    <n v="0"/>
    <m/>
    <m/>
    <m/>
    <x v="0"/>
    <n v="0"/>
  </r>
  <r>
    <x v="0"/>
    <x v="2"/>
    <m/>
    <n v="0"/>
    <m/>
    <s v="A:Alliance"/>
    <n v="14"/>
    <x v="0"/>
    <n v="0"/>
  </r>
  <r>
    <x v="1"/>
    <x v="3"/>
    <n v="1"/>
    <m/>
    <m/>
    <m/>
    <m/>
    <x v="0"/>
    <n v="1"/>
  </r>
  <r>
    <x v="1"/>
    <x v="4"/>
    <n v="2"/>
    <m/>
    <m/>
    <m/>
    <m/>
    <x v="0"/>
    <n v="2"/>
  </r>
  <r>
    <x v="1"/>
    <x v="5"/>
    <n v="2"/>
    <n v="0"/>
    <m/>
    <m/>
    <m/>
    <x v="0"/>
    <n v="2"/>
  </r>
  <r>
    <x v="1"/>
    <x v="6"/>
    <n v="0"/>
    <m/>
    <m/>
    <m/>
    <m/>
    <x v="0"/>
    <n v="0"/>
  </r>
  <r>
    <x v="1"/>
    <x v="7"/>
    <n v="14"/>
    <m/>
    <m/>
    <m/>
    <m/>
    <x v="0"/>
    <n v="14"/>
  </r>
  <r>
    <x v="1"/>
    <x v="8"/>
    <n v="30"/>
    <m/>
    <m/>
    <s v="B:Altération/dévoiement de la réalité"/>
    <n v="49"/>
    <x v="1"/>
    <n v="30"/>
  </r>
  <r>
    <x v="2"/>
    <x v="9"/>
    <m/>
    <m/>
    <n v="4"/>
    <m/>
    <m/>
    <x v="0"/>
    <n v="4"/>
  </r>
  <r>
    <x v="2"/>
    <x v="10"/>
    <m/>
    <m/>
    <n v="8"/>
    <m/>
    <m/>
    <x v="0"/>
    <n v="8"/>
  </r>
  <r>
    <x v="2"/>
    <x v="11"/>
    <n v="2"/>
    <m/>
    <n v="14"/>
    <m/>
    <m/>
    <x v="2"/>
    <n v="16"/>
  </r>
  <r>
    <x v="2"/>
    <x v="12"/>
    <n v="7"/>
    <n v="7"/>
    <n v="2"/>
    <m/>
    <m/>
    <x v="3"/>
    <n v="16"/>
  </r>
  <r>
    <x v="2"/>
    <x v="13"/>
    <n v="2"/>
    <m/>
    <n v="2"/>
    <m/>
    <m/>
    <x v="0"/>
    <n v="4"/>
  </r>
  <r>
    <x v="2"/>
    <x v="14"/>
    <n v="1"/>
    <m/>
    <m/>
    <m/>
    <m/>
    <x v="0"/>
    <n v="1"/>
  </r>
  <r>
    <x v="2"/>
    <x v="15"/>
    <n v="0"/>
    <m/>
    <m/>
    <m/>
    <m/>
    <x v="0"/>
    <n v="0"/>
  </r>
  <r>
    <x v="2"/>
    <x v="16"/>
    <n v="0"/>
    <m/>
    <m/>
    <m/>
    <m/>
    <x v="0"/>
    <n v="0"/>
  </r>
  <r>
    <x v="2"/>
    <x v="17"/>
    <n v="2"/>
    <m/>
    <m/>
    <m/>
    <m/>
    <x v="0"/>
    <n v="2"/>
  </r>
  <r>
    <x v="3"/>
    <x v="18"/>
    <n v="0"/>
    <m/>
    <m/>
    <m/>
    <m/>
    <x v="0"/>
    <n v="0"/>
  </r>
  <r>
    <x v="2"/>
    <x v="19"/>
    <n v="0"/>
    <m/>
    <m/>
    <s v="C: Chantage affectif, loyauté, manipulation"/>
    <n v="51"/>
    <x v="0"/>
    <n v="0"/>
  </r>
  <r>
    <x v="4"/>
    <x v="20"/>
    <m/>
    <m/>
    <n v="6"/>
    <m/>
    <m/>
    <x v="0"/>
    <n v="6"/>
  </r>
  <r>
    <x v="4"/>
    <x v="21"/>
    <m/>
    <m/>
    <n v="8"/>
    <m/>
    <m/>
    <x v="0"/>
    <n v="8"/>
  </r>
  <r>
    <x v="4"/>
    <x v="22"/>
    <m/>
    <m/>
    <n v="4"/>
    <m/>
    <m/>
    <x v="0"/>
    <n v="4"/>
  </r>
  <r>
    <x v="4"/>
    <x v="23"/>
    <n v="7"/>
    <n v="12"/>
    <m/>
    <m/>
    <m/>
    <x v="4"/>
    <n v="19"/>
  </r>
  <r>
    <x v="4"/>
    <x v="24"/>
    <n v="6"/>
    <m/>
    <m/>
    <m/>
    <m/>
    <x v="0"/>
    <n v="6"/>
  </r>
  <r>
    <x v="4"/>
    <x v="25"/>
    <n v="0"/>
    <m/>
    <m/>
    <m/>
    <m/>
    <x v="0"/>
    <n v="0"/>
  </r>
  <r>
    <x v="4"/>
    <x v="26"/>
    <n v="14"/>
    <m/>
    <m/>
    <m/>
    <m/>
    <x v="0"/>
    <n v="14"/>
  </r>
  <r>
    <x v="4"/>
    <x v="27"/>
    <n v="7"/>
    <n v="6"/>
    <m/>
    <m/>
    <m/>
    <x v="0"/>
    <n v="13"/>
  </r>
  <r>
    <x v="4"/>
    <x v="28"/>
    <n v="2"/>
    <m/>
    <m/>
    <m/>
    <m/>
    <x v="0"/>
    <n v="2"/>
  </r>
  <r>
    <x v="4"/>
    <x v="29"/>
    <n v="0"/>
    <m/>
    <m/>
    <m/>
    <m/>
    <x v="0"/>
    <n v="0"/>
  </r>
  <r>
    <x v="4"/>
    <x v="30"/>
    <n v="0"/>
    <m/>
    <m/>
    <m/>
    <m/>
    <x v="0"/>
    <n v="0"/>
  </r>
  <r>
    <x v="4"/>
    <x v="31"/>
    <m/>
    <n v="6"/>
    <m/>
    <s v="D: Dénigrement"/>
    <n v="78"/>
    <x v="0"/>
    <n v="6"/>
  </r>
  <r>
    <x v="5"/>
    <x v="32"/>
    <n v="21"/>
    <n v="0"/>
    <n v="1"/>
    <m/>
    <m/>
    <x v="5"/>
    <n v="22"/>
  </r>
  <r>
    <x v="5"/>
    <x v="33"/>
    <m/>
    <m/>
    <n v="4"/>
    <m/>
    <m/>
    <x v="0"/>
    <n v="4"/>
  </r>
  <r>
    <x v="5"/>
    <x v="34"/>
    <n v="2"/>
    <n v="14"/>
    <m/>
    <m/>
    <m/>
    <x v="6"/>
    <n v="16"/>
  </r>
  <r>
    <x v="5"/>
    <x v="35"/>
    <n v="0"/>
    <m/>
    <m/>
    <m/>
    <m/>
    <x v="0"/>
    <n v="0"/>
  </r>
  <r>
    <x v="5"/>
    <x v="36"/>
    <n v="0"/>
    <m/>
    <m/>
    <m/>
    <m/>
    <x v="0"/>
    <n v="0"/>
  </r>
  <r>
    <x v="5"/>
    <x v="37"/>
    <n v="0"/>
    <n v="14"/>
    <m/>
    <m/>
    <m/>
    <x v="0"/>
    <n v="14"/>
  </r>
  <r>
    <x v="5"/>
    <x v="38"/>
    <n v="4"/>
    <n v="8"/>
    <m/>
    <m/>
    <m/>
    <x v="0"/>
    <n v="12"/>
  </r>
  <r>
    <x v="5"/>
    <x v="39"/>
    <n v="4"/>
    <m/>
    <m/>
    <m/>
    <m/>
    <x v="0"/>
    <n v="4"/>
  </r>
  <r>
    <x v="5"/>
    <x v="40"/>
    <n v="0"/>
    <n v="6"/>
    <m/>
    <m/>
    <m/>
    <x v="0"/>
    <n v="6"/>
  </r>
  <r>
    <x v="5"/>
    <x v="41"/>
    <n v="1"/>
    <m/>
    <m/>
    <m/>
    <m/>
    <x v="0"/>
    <n v="1"/>
  </r>
  <r>
    <x v="5"/>
    <x v="42"/>
    <n v="0"/>
    <n v="8"/>
    <m/>
    <m/>
    <m/>
    <x v="0"/>
    <n v="8"/>
  </r>
  <r>
    <x v="5"/>
    <x v="43"/>
    <n v="0"/>
    <m/>
    <m/>
    <m/>
    <m/>
    <x v="0"/>
    <n v="0"/>
  </r>
  <r>
    <x v="5"/>
    <x v="44"/>
    <m/>
    <n v="20"/>
    <m/>
    <s v="E: Interférence temps et/ou communication"/>
    <n v="107"/>
    <x v="7"/>
    <n v="20"/>
  </r>
  <r>
    <x v="6"/>
    <x v="45"/>
    <n v="2"/>
    <m/>
    <n v="2"/>
    <m/>
    <m/>
    <x v="0"/>
    <n v="4"/>
  </r>
  <r>
    <x v="6"/>
    <x v="46"/>
    <n v="8"/>
    <m/>
    <n v="2"/>
    <m/>
    <m/>
    <x v="0"/>
    <n v="10"/>
  </r>
  <r>
    <x v="6"/>
    <x v="47"/>
    <n v="0"/>
    <m/>
    <n v="8"/>
    <m/>
    <m/>
    <x v="0"/>
    <n v="8"/>
  </r>
  <r>
    <x v="6"/>
    <x v="48"/>
    <n v="4"/>
    <m/>
    <n v="4"/>
    <m/>
    <m/>
    <x v="0"/>
    <n v="8"/>
  </r>
  <r>
    <x v="6"/>
    <x v="49"/>
    <n v="20"/>
    <m/>
    <m/>
    <m/>
    <m/>
    <x v="8"/>
    <n v="20"/>
  </r>
  <r>
    <x v="6"/>
    <x v="50"/>
    <n v="2"/>
    <m/>
    <m/>
    <m/>
    <m/>
    <x v="0"/>
    <n v="2"/>
  </r>
  <r>
    <x v="6"/>
    <x v="51"/>
    <n v="0"/>
    <m/>
    <m/>
    <m/>
    <m/>
    <x v="0"/>
    <n v="0"/>
  </r>
  <r>
    <x v="6"/>
    <x v="52"/>
    <n v="21"/>
    <m/>
    <m/>
    <m/>
    <m/>
    <x v="9"/>
    <n v="21"/>
  </r>
  <r>
    <x v="6"/>
    <x v="53"/>
    <n v="4"/>
    <m/>
    <m/>
    <m/>
    <m/>
    <x v="0"/>
    <n v="4"/>
  </r>
  <r>
    <x v="6"/>
    <x v="54"/>
    <n v="2"/>
    <m/>
    <m/>
    <m/>
    <m/>
    <x v="0"/>
    <n v="2"/>
  </r>
  <r>
    <x v="6"/>
    <x v="55"/>
    <n v="0"/>
    <m/>
    <m/>
    <m/>
    <m/>
    <x v="0"/>
    <n v="0"/>
  </r>
  <r>
    <x v="6"/>
    <x v="56"/>
    <n v="12"/>
    <m/>
    <m/>
    <m/>
    <m/>
    <x v="0"/>
    <n v="12"/>
  </r>
  <r>
    <x v="6"/>
    <x v="57"/>
    <n v="0"/>
    <m/>
    <m/>
    <m/>
    <m/>
    <x v="0"/>
    <n v="0"/>
  </r>
  <r>
    <x v="6"/>
    <x v="58"/>
    <n v="0"/>
    <m/>
    <m/>
    <m/>
    <m/>
    <x v="0"/>
    <n v="0"/>
  </r>
  <r>
    <x v="6"/>
    <x v="59"/>
    <n v="0"/>
    <m/>
    <m/>
    <m/>
    <m/>
    <x v="0"/>
    <n v="0"/>
  </r>
  <r>
    <x v="6"/>
    <x v="25"/>
    <n v="0"/>
    <m/>
    <m/>
    <m/>
    <m/>
    <x v="0"/>
    <n v="0"/>
  </r>
  <r>
    <x v="6"/>
    <x v="60"/>
    <m/>
    <n v="2"/>
    <m/>
    <m/>
    <m/>
    <x v="0"/>
    <n v="2"/>
  </r>
  <r>
    <x v="6"/>
    <x v="61"/>
    <m/>
    <n v="0"/>
    <m/>
    <s v="F: Interférence lien affectif ou symbolique"/>
    <n v="93"/>
    <x v="0"/>
    <n v="0"/>
  </r>
  <r>
    <x v="7"/>
    <x v="62"/>
    <m/>
    <m/>
    <n v="8"/>
    <m/>
    <m/>
    <x v="0"/>
    <n v="8"/>
  </r>
  <r>
    <x v="7"/>
    <x v="63"/>
    <m/>
    <m/>
    <n v="6"/>
    <m/>
    <m/>
    <x v="0"/>
    <n v="6"/>
  </r>
  <r>
    <x v="7"/>
    <x v="64"/>
    <m/>
    <m/>
    <n v="3"/>
    <m/>
    <m/>
    <x v="0"/>
    <n v="3"/>
  </r>
  <r>
    <x v="7"/>
    <x v="65"/>
    <n v="7"/>
    <m/>
    <n v="1"/>
    <m/>
    <m/>
    <x v="0"/>
    <n v="8"/>
  </r>
  <r>
    <x v="7"/>
    <x v="66"/>
    <n v="8"/>
    <m/>
    <n v="0"/>
    <m/>
    <m/>
    <x v="0"/>
    <n v="8"/>
  </r>
  <r>
    <x v="7"/>
    <x v="67"/>
    <n v="4"/>
    <m/>
    <m/>
    <m/>
    <m/>
    <x v="0"/>
    <n v="4"/>
  </r>
  <r>
    <x v="7"/>
    <x v="68"/>
    <n v="14"/>
    <m/>
    <m/>
    <s v="G: Parentification"/>
    <n v="51"/>
    <x v="0"/>
    <n v="14"/>
  </r>
  <r>
    <x v="8"/>
    <x v="69"/>
    <n v="21"/>
    <m/>
    <m/>
    <m/>
    <m/>
    <x v="10"/>
    <n v="21"/>
  </r>
  <r>
    <x v="8"/>
    <x v="70"/>
    <n v="4"/>
    <n v="0"/>
    <m/>
    <m/>
    <m/>
    <x v="0"/>
    <n v="4"/>
  </r>
  <r>
    <x v="8"/>
    <x v="71"/>
    <n v="8"/>
    <m/>
    <m/>
    <m/>
    <m/>
    <x v="0"/>
    <n v="8"/>
  </r>
  <r>
    <x v="8"/>
    <x v="62"/>
    <n v="21"/>
    <m/>
    <m/>
    <m/>
    <m/>
    <x v="11"/>
    <n v="21"/>
  </r>
  <r>
    <x v="8"/>
    <x v="33"/>
    <n v="0"/>
    <m/>
    <m/>
    <s v="H: Rôle actif, Réponse au CC, r"/>
    <n v="54"/>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0B08F-8116-294E-978D-E4C8716C02A9}" name="Tableau croisé dynamique2"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L4:M34" firstHeaderRow="1" firstDataRow="1" firstDataCol="1"/>
  <pivotFields count="9">
    <pivotField axis="axisRow" showAll="0">
      <items count="10">
        <item x="0"/>
        <item x="1"/>
        <item x="3"/>
        <item x="2"/>
        <item x="4"/>
        <item x="5"/>
        <item x="6"/>
        <item x="7"/>
        <item x="8"/>
        <item t="default"/>
      </items>
    </pivotField>
    <pivotField showAll="0">
      <items count="73">
        <item x="3"/>
        <item x="30"/>
        <item x="17"/>
        <item x="6"/>
        <item x="9"/>
        <item x="53"/>
        <item x="40"/>
        <item x="15"/>
        <item x="34"/>
        <item x="52"/>
        <item x="59"/>
        <item x="32"/>
        <item x="39"/>
        <item x="67"/>
        <item x="66"/>
        <item x="54"/>
        <item x="42"/>
        <item x="14"/>
        <item x="8"/>
        <item x="19"/>
        <item x="62"/>
        <item x="29"/>
        <item x="0"/>
        <item x="70"/>
        <item x="23"/>
        <item x="27"/>
        <item x="31"/>
        <item x="49"/>
        <item x="71"/>
        <item x="41"/>
        <item x="11"/>
        <item x="18"/>
        <item x="22"/>
        <item x="68"/>
        <item x="51"/>
        <item x="57"/>
        <item x="58"/>
        <item x="64"/>
        <item x="21"/>
        <item x="56"/>
        <item x="48"/>
        <item x="20"/>
        <item x="63"/>
        <item x="69"/>
        <item x="50"/>
        <item x="28"/>
        <item x="33"/>
        <item x="46"/>
        <item x="60"/>
        <item x="61"/>
        <item x="1"/>
        <item x="2"/>
        <item x="55"/>
        <item x="5"/>
        <item x="10"/>
        <item x="25"/>
        <item x="7"/>
        <item x="4"/>
        <item x="35"/>
        <item x="37"/>
        <item x="47"/>
        <item x="26"/>
        <item x="36"/>
        <item x="13"/>
        <item x="24"/>
        <item x="44"/>
        <item x="12"/>
        <item x="16"/>
        <item x="38"/>
        <item x="43"/>
        <item x="65"/>
        <item x="45"/>
        <item t="default"/>
      </items>
    </pivotField>
    <pivotField showAll="0"/>
    <pivotField showAll="0"/>
    <pivotField showAll="0"/>
    <pivotField showAll="0"/>
    <pivotField showAll="0"/>
    <pivotField axis="axisRow" showAll="0">
      <items count="13">
        <item x="0"/>
        <item x="6"/>
        <item x="9"/>
        <item x="5"/>
        <item x="1"/>
        <item x="11"/>
        <item x="4"/>
        <item x="8"/>
        <item x="2"/>
        <item x="10"/>
        <item x="7"/>
        <item x="3"/>
        <item t="default"/>
      </items>
    </pivotField>
    <pivotField dataField="1" numFmtId="1" showAll="0"/>
  </pivotFields>
  <rowFields count="2">
    <field x="0"/>
    <field x="7"/>
  </rowFields>
  <rowItems count="30">
    <i>
      <x/>
    </i>
    <i r="1">
      <x/>
    </i>
    <i>
      <x v="1"/>
    </i>
    <i r="1">
      <x/>
    </i>
    <i r="1">
      <x v="4"/>
    </i>
    <i>
      <x v="2"/>
    </i>
    <i r="1">
      <x/>
    </i>
    <i>
      <x v="3"/>
    </i>
    <i r="1">
      <x/>
    </i>
    <i r="1">
      <x v="8"/>
    </i>
    <i r="1">
      <x v="11"/>
    </i>
    <i>
      <x v="4"/>
    </i>
    <i r="1">
      <x/>
    </i>
    <i r="1">
      <x v="6"/>
    </i>
    <i>
      <x v="5"/>
    </i>
    <i r="1">
      <x/>
    </i>
    <i r="1">
      <x v="1"/>
    </i>
    <i r="1">
      <x v="3"/>
    </i>
    <i r="1">
      <x v="10"/>
    </i>
    <i>
      <x v="6"/>
    </i>
    <i r="1">
      <x/>
    </i>
    <i r="1">
      <x v="2"/>
    </i>
    <i r="1">
      <x v="7"/>
    </i>
    <i>
      <x v="7"/>
    </i>
    <i r="1">
      <x/>
    </i>
    <i>
      <x v="8"/>
    </i>
    <i r="1">
      <x/>
    </i>
    <i r="1">
      <x v="5"/>
    </i>
    <i r="1">
      <x v="9"/>
    </i>
    <i t="grand">
      <x/>
    </i>
  </rowItems>
  <colItems count="1">
    <i/>
  </colItems>
  <dataFields count="1">
    <dataField name="Somme de Intensité des comportements/catégori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4</v>
    <v>8</v>
    <v>21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7" dT="2022-12-23T17:49:39.00" personId="{2F02F7ED-CA51-A244-B43B-5F2EA8C10B88}" id="{697B1E9F-53A6-B74D-BF17-7004257BA094}">
    <text xml:space="preserve">Choix multiples
</text>
  </threadedComment>
  <threadedComment ref="C23" dT="2022-12-23T17:49:47.84" personId="{2F02F7ED-CA51-A244-B43B-5F2EA8C10B88}" id="{0B0A78D6-6DB4-654B-AB13-20DB3B9AB0A4}">
    <text>Choix multiples</text>
  </threadedComment>
  <threadedComment ref="C31" dT="2023-01-11T12:25:18.51" personId="{2F02F7ED-CA51-A244-B43B-5F2EA8C10B88}" id="{BC44F449-A1DA-AE49-87A2-8BA2B5703B18}">
    <text>Choix multiples</text>
  </threadedComment>
  <threadedComment ref="C87" dT="2022-12-23T17:50:07.86" personId="{2F02F7ED-CA51-A244-B43B-5F2EA8C10B88}" id="{6BAD718D-189A-0948-B331-8C28778DB747}">
    <text xml:space="preserve">Choix multiples
</text>
  </threadedComment>
  <threadedComment ref="C97" dT="2022-12-23T17:51:43.49" personId="{2F02F7ED-CA51-A244-B43B-5F2EA8C10B88}" id="{852E7277-ACA8-6C46-8E5D-96CD43594B07}">
    <text xml:space="preserve">Choix multiples
</text>
  </threadedComment>
  <threadedComment ref="C109" dT="2022-12-23T18:02:11.70" personId="{2F02F7ED-CA51-A244-B43B-5F2EA8C10B88}" id="{47BF9CD6-1770-A046-A2B1-89341CE1CA30}">
    <text>Choix multiples</text>
  </threadedComment>
  <threadedComment ref="C200" dT="2022-12-23T18:01:37.09" personId="{2F02F7ED-CA51-A244-B43B-5F2EA8C10B88}" id="{B6A740A4-9ECC-6E49-A97C-C6E6A5E1DBAB}">
    <text xml:space="preserve">Choix multiples
</text>
  </threadedComment>
  <threadedComment ref="C210" dT="2022-12-23T18:05:29.69" personId="{2F02F7ED-CA51-A244-B43B-5F2EA8C10B88}" id="{902D2B26-E155-1947-8639-A738AC4A49DE}">
    <text>Choix multiples</text>
  </threadedComment>
  <threadedComment ref="C222" dT="2022-12-23T18:28:26.72" personId="{2F02F7ED-CA51-A244-B43B-5F2EA8C10B88}" id="{68EA85FE-9DF0-5844-9BCE-7D656945FC26}">
    <text>Choix multiples</text>
  </threadedComment>
  <threadedComment ref="C251" dT="2023-01-11T14:05:11.27" personId="{2F02F7ED-CA51-A244-B43B-5F2EA8C10B88}" id="{24E24ECA-2BC8-DC45-97C2-4EB75F0E581E}">
    <text xml:space="preserve">Choix multiples
</text>
  </threadedComment>
  <threadedComment ref="C268" dT="2022-12-23T18:13:50.24" personId="{2F02F7ED-CA51-A244-B43B-5F2EA8C10B88}" id="{B14264B7-A064-9146-BFB9-271E3A2E0D94}">
    <text>Choix multiples</text>
  </threadedComment>
</ThreadedComments>
</file>

<file path=xl/threadedComments/threadedComment2.xml><?xml version="1.0" encoding="utf-8"?>
<ThreadedComments xmlns="http://schemas.microsoft.com/office/spreadsheetml/2018/threadedcomments" xmlns:x="http://schemas.openxmlformats.org/spreadsheetml/2006/main">
  <threadedComment ref="N83" dT="2022-03-31T17:12:30.42" personId="{5C98A592-1151-094F-8E8F-C848214FE88B}" id="{C40D78C1-98D9-7841-8904-71D25DEFAD0E}">
    <text xml:space="preserve">échelle à 2 pôles comme le test de personnalité : 
inconscient 0 0 0 0 0 0 conscient 
(ou sans objet) 
donner des points d’infos sur les dynamiques possibles : Inconscient / Conscient / Fusion / Alliance / Pouvoir </text>
  </threadedComment>
  <threadedComment ref="N138" dT="2022-03-31T18:20:34.98" personId="{5C98A592-1151-094F-8E8F-C848214FE88B}" id="{1EE026BF-86EE-8949-A68A-0C65E0A74BF5}">
    <text xml:space="preserve">attitudes qui trahit le désir d’exclusion : 
- école à la maison 
- déménagement (éloignement physique) sans être avisé / consulté 
- changement d’école (éloignement physique) sans consentement 
- aucun
</text>
  </threadedComment>
  <threadedComment ref="N160" dT="2023-01-04T16:06:39.53" personId="{2F02F7ED-CA51-A244-B43B-5F2EA8C10B88}" id="{949828DD-E770-0845-A7B7-3BF475ECB6F9}">
    <text xml:space="preserve">J’ai enlevé le choix de fréquence
</text>
  </threadedComment>
  <threadedComment ref="N174" dT="2023-01-04T16:06:57.73" personId="{2F02F7ED-CA51-A244-B43B-5F2EA8C10B88}" id="{8E9FB589-98A0-F44C-B4CD-CC555A2469FD}">
    <text xml:space="preserve">J’ai enlevé le choix de fréquence
</text>
  </threadedComment>
</ThreadedComments>
</file>

<file path=xl/threadedComments/threadedComment3.xml><?xml version="1.0" encoding="utf-8"?>
<ThreadedComments xmlns="http://schemas.microsoft.com/office/spreadsheetml/2018/threadedcomments" xmlns:x="http://schemas.openxmlformats.org/spreadsheetml/2006/main">
  <threadedComment ref="AD300" dT="2022-11-20T18:11:31.59" personId="{2F02F7ED-CA51-A244-B43B-5F2EA8C10B88}" id="{D4B32C04-D12F-0B4B-BD9B-C8236FA86327}">
    <text>Question mère silencieuse</text>
  </threadedComment>
  <threadedComment ref="AD302" dT="2022-11-20T18:11:31.59" personId="{2F02F7ED-CA51-A244-B43B-5F2EA8C10B88}" id="{936771B5-C196-1F44-A858-B311094709E1}">
    <text>Question mère silencieuse</text>
  </threadedComment>
  <threadedComment ref="D314" dT="2023-02-19T17:38:59.45" personId="{2F02F7ED-CA51-A244-B43B-5F2EA8C10B88}" id="{D179F174-36D0-8F45-BEA1-5EB2F80D1F9C}">
    <text>Valeur modifié pour permettre le baromètre</text>
  </threadedComment>
  <threadedComment ref="D373" dT="2023-02-19T17:38:45.55" personId="{2F02F7ED-CA51-A244-B43B-5F2EA8C10B88}" id="{96D8F203-BA3B-0E4E-83C9-A7612D383F7E}">
    <text xml:space="preserve">Valeur modifié pour permettre le baromètre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58" dT="2023-02-19T16:39:34.06" personId="{2F02F7ED-CA51-A244-B43B-5F2EA8C10B88}" id="{2BB1C82D-152A-354E-B29B-A0939B719431}">
    <text xml:space="preserve">Il est normal que le total ne soit pas équivalent ici à ce que l’on retrouve dans le test Bible.
Le bon total à prendre est celui du test bible, mais pour répertorier les bons comportements, c’est ici qu’il faut les prendre.
</text>
  </threadedComment>
</ThreadedComments>
</file>

<file path=xl/threadedComments/threadedComment5.xml><?xml version="1.0" encoding="utf-8"?>
<ThreadedComments xmlns="http://schemas.microsoft.com/office/spreadsheetml/2018/threadedcomments" xmlns:x="http://schemas.openxmlformats.org/spreadsheetml/2006/main">
  <threadedComment ref="O5" dT="2022-11-05T18:37:25.94" personId="{5C98A592-1151-094F-8E8F-C848214FE88B}" id="{E7611D64-DAAA-5141-80D3-2AEB08ECD7E6}">
    <text xml:space="preserve">ex.: si le coparent a une piètre opinion de sa valeur parentale / ouvrir dialogue / médiation 
ne pas nourrir l’impasse du préjugé  </text>
  </threadedComment>
  <threadedComment ref="O5" dT="2022-11-06T18:09:22.07" personId="{2F02F7ED-CA51-A244-B43B-5F2EA8C10B88}" id="{E4436B59-2953-814E-95CB-EA036E395AA7}" parentId="{E7611D64-DAAA-5141-80D3-2AEB08ECD7E6}">
    <text xml:space="preserve"> Dans une situation de 1 an et moins ; 
Pas de relation de coparentalité (éducative)
</text>
  </threadedComment>
  <threadedComment ref="O8" dT="2022-11-06T18:13:07.17" personId="{2F02F7ED-CA51-A244-B43B-5F2EA8C10B88}" id="{98AB70AC-AEAE-674A-B0CF-63DCA6F1C9E6}">
    <text xml:space="preserve">PÉRIODE DE TURBULENCE À PRÉVOIR DES DEUX PREMIÈRES ANNÉES
</text>
  </threadedComment>
  <threadedComment ref="O17" dT="2022-11-06T18:16:32.47" personId="{2F02F7ED-CA51-A244-B43B-5F2EA8C10B88}" id="{72C471DA-08C6-4D4B-B3A1-8DCD0404A786}">
    <text>ÈDUCATION REJET PASSIF ET REJET ACTIF
+notion théorique associé au rejet actif ou passif</text>
  </threadedComment>
  <threadedComment ref="O27" dT="2022-11-06T18:34:36.69" personId="{2F02F7ED-CA51-A244-B43B-5F2EA8C10B88}" id="{13FBC11C-7C34-F345-A8DF-D881A1F95A19}">
    <text>Principe de coparentalité (droits parentaux)</text>
  </threadedComment>
  <threadedComment ref="O29" dT="2022-11-06T18:35:01.95" personId="{2F02F7ED-CA51-A244-B43B-5F2EA8C10B88}" id="{81A20AE0-63BE-7F4B-BB9A-FE06AD7C3418}">
    <text xml:space="preserve">Tappette sur les doigts
</text>
  </threadedComment>
  <threadedComment ref="G33" dT="2022-03-31T17:12:30.42" personId="{5C98A592-1151-094F-8E8F-C848214FE88B}" id="{D354F9B8-5015-C549-95D1-FA9B3CBFE8BB}">
    <text xml:space="preserve">échelle à 2 pôles comme le test de personnalité : 
inconscient 0 0 0 0 0 0 conscient 
(ou sans objet) 
donner des points d’infos sur les dynamiques possibles : Inconscient / Conscient / Fusion / Alliance / Pouvoir </text>
  </threadedComment>
  <threadedComment ref="O33" dT="2022-11-06T18:35:38.97" personId="{2F02F7ED-CA51-A244-B43B-5F2EA8C10B88}" id="{E5DFF164-7B12-F249-A782-FCCD5E365D1A}">
    <text>Notion du volontaire et involontaire</text>
  </threadedComment>
  <threadedComment ref="O37" dT="2022-11-06T18:54:18.58" personId="{2F02F7ED-CA51-A244-B43B-5F2EA8C10B88}" id="{B94E8436-E845-E546-B894-DB5EDD8BA0E0}">
    <text xml:space="preserve">DROITS ET PRINCIPE DE COPARENTALITÉ
Dans le rapport, les comportements cochés, viennent alimentés les résultats. À l’mage des catégories ou autres schématisations
</text>
  </threadedComment>
  <threadedComment ref="O38" dT="2022-11-05T18:46:15.14" personId="{5C98A592-1151-094F-8E8F-C848214FE88B}" id="{DE626292-8580-6E42-961B-64BDB766B0CD}">
    <text xml:space="preserve">Important de commenter dans le r/r final si le répondant indique qu’il est déchu de l’autorité parentale … et expliquer ce que que c’est car ça change tout. Et inversement, selon le désir d’exclusion parentale, surveiller les cpts typiques 
 </text>
  </threadedComment>
  <threadedComment ref="G41" dT="2022-03-31T18:20:34.98" personId="{5C98A592-1151-094F-8E8F-C848214FE88B}" id="{31C20CA6-116C-0340-961A-F9568B02D590}">
    <text xml:space="preserve">attitudes qui trahit le désir d’exclusion : 
- école à la maison 
- déménagement (éloignement physique) sans être avisé / consulté 
- changement d’école (éloignement physique) sans consentement 
- aucun
</text>
  </threadedComment>
  <threadedComment ref="O47" dT="2022-11-06T19:12:24.00" personId="{2F02F7ED-CA51-A244-B43B-5F2EA8C10B88}" id="{7D138550-6BD1-4446-B3F8-AAB33EA1F0AB}">
    <text xml:space="preserve">ADR
</text>
  </threadedComment>
  <threadedComment ref="O51" dT="2022-11-06T19:26:02.78" personId="{2F02F7ED-CA51-A244-B43B-5F2EA8C10B88}" id="{6FE3614A-5C8B-4042-8826-9314AC2D771E}">
    <text>Pour chaque manifestation à problème, une mise en garde ou notion pour guider ou à surveiller</text>
  </threadedComment>
  <threadedComment ref="O56" dT="2022-11-06T19:26:02.78" personId="{2F02F7ED-CA51-A244-B43B-5F2EA8C10B88}" id="{E54D9FBC-CC04-2E4E-A97E-73F5246AB750}">
    <text>Pour chaque manifestation à problème, une mise en garde ou notion pour guider ou à surveiller</text>
  </threadedComment>
</ThreadedComments>
</file>

<file path=xl/threadedComments/threadedComment6.xml><?xml version="1.0" encoding="utf-8"?>
<ThreadedComments xmlns="http://schemas.microsoft.com/office/spreadsheetml/2018/threadedcomments" xmlns:x="http://schemas.openxmlformats.org/spreadsheetml/2006/main">
  <threadedComment ref="S243" dT="2022-12-11T16:46:32.31" personId="{2F02F7ED-CA51-A244-B43B-5F2EA8C10B88}" id="{A66E4250-D4C2-824C-A68B-04AE1461DE07}">
    <text>Aucun CSS car la demande du parent altère le r/r enfant parent et désacralise le lien parent-enfant et pour ne pas annuler le calcul ou rendre nul le calcul ap vs css,, même si le parent répondant devait être déclenché, il est plus important de relevé la dynamique d’AP en jeu</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santemagazine.fr/psycho-sexo/psycho/psycho-enfant/parent-solo-ne-soyez-pas-trop-fusionnel-172034" TargetMode="External"/><Relationship Id="rId1" Type="http://schemas.openxmlformats.org/officeDocument/2006/relationships/hyperlink" Target="https://educaloi.qc.ca/capsules/lautorite-parentale/"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8FFF-8752-2A4A-BA6E-3D99E1E21194}">
  <dimension ref="A1:AB698"/>
  <sheetViews>
    <sheetView tabSelected="1" topLeftCell="A57" zoomScale="92" zoomScaleNormal="92" workbookViewId="0">
      <selection activeCell="C17" sqref="C17"/>
    </sheetView>
    <sheetView workbookViewId="1"/>
  </sheetViews>
  <sheetFormatPr baseColWidth="10" defaultRowHeight="16" x14ac:dyDescent="0.2"/>
  <cols>
    <col min="1" max="1" width="14.1640625" customWidth="1"/>
    <col min="2" max="2" width="29.1640625" customWidth="1"/>
    <col min="3" max="3" width="15.33203125" customWidth="1"/>
    <col min="4" max="5" width="15.33203125" style="5" customWidth="1"/>
    <col min="6" max="6" width="15.33203125" customWidth="1"/>
    <col min="7" max="9" width="15.33203125" style="5" customWidth="1"/>
    <col min="10" max="10" width="17.6640625" style="5" customWidth="1"/>
    <col min="11" max="11" width="21.1640625" style="5" customWidth="1"/>
    <col min="12" max="12" width="13.33203125" style="5" customWidth="1"/>
    <col min="13" max="13" width="10.83203125" style="5"/>
    <col min="24" max="24" width="13" customWidth="1"/>
    <col min="25" max="25" width="12.33203125" customWidth="1"/>
  </cols>
  <sheetData>
    <row r="1" spans="1:13" ht="116" customHeight="1" x14ac:dyDescent="0.2">
      <c r="B1" s="1680" t="s">
        <v>1861</v>
      </c>
      <c r="D1" s="16" t="s">
        <v>1508</v>
      </c>
      <c r="E1" s="16" t="s">
        <v>1509</v>
      </c>
      <c r="F1" s="16" t="s">
        <v>1510</v>
      </c>
      <c r="G1" s="16" t="s">
        <v>1507</v>
      </c>
      <c r="J1" s="16"/>
    </row>
    <row r="2" spans="1:13" ht="139" customHeight="1" x14ac:dyDescent="0.2">
      <c r="A2" s="13" t="s">
        <v>2178</v>
      </c>
      <c r="B2" s="13" t="s">
        <v>1860</v>
      </c>
      <c r="G2" s="1814"/>
    </row>
    <row r="3" spans="1:13" x14ac:dyDescent="0.2">
      <c r="C3" t="s">
        <v>1489</v>
      </c>
      <c r="D3" s="5" t="s">
        <v>1490</v>
      </c>
      <c r="E3" s="5" t="s">
        <v>1502</v>
      </c>
      <c r="F3" t="s">
        <v>1505</v>
      </c>
      <c r="G3" s="5" t="s">
        <v>1504</v>
      </c>
      <c r="H3" s="2180" t="s">
        <v>1503</v>
      </c>
      <c r="I3" s="2180"/>
      <c r="J3" s="2180"/>
      <c r="K3" s="2180"/>
      <c r="L3" s="2180"/>
      <c r="M3" s="2180"/>
    </row>
    <row r="4" spans="1:13" x14ac:dyDescent="0.2">
      <c r="A4" t="s">
        <v>1280</v>
      </c>
      <c r="B4" t="str">
        <f>IF(Test_Bible!B3&lt;&gt;"","O","N")</f>
        <v>O</v>
      </c>
      <c r="C4" t="s">
        <v>544</v>
      </c>
      <c r="D4" s="5">
        <v>2</v>
      </c>
      <c r="F4" s="1783"/>
      <c r="G4" s="1784"/>
      <c r="H4" s="1784"/>
      <c r="I4" s="1784"/>
      <c r="J4" s="1784"/>
      <c r="K4" s="1784"/>
      <c r="L4" s="1784"/>
      <c r="M4" s="1784"/>
    </row>
    <row r="5" spans="1:13" x14ac:dyDescent="0.2">
      <c r="A5" t="s">
        <v>1330</v>
      </c>
      <c r="B5" t="str">
        <f>IF(Test_Bible!B11&lt;&gt;" ","O","N")</f>
        <v>N</v>
      </c>
      <c r="C5" t="s">
        <v>33</v>
      </c>
      <c r="D5" s="5">
        <v>0</v>
      </c>
      <c r="F5" s="1783"/>
      <c r="G5" s="1784"/>
      <c r="H5" s="1784"/>
      <c r="I5" s="1784"/>
      <c r="J5" s="1784"/>
      <c r="K5" s="1784"/>
      <c r="L5" s="1784"/>
      <c r="M5" s="1784"/>
    </row>
    <row r="6" spans="1:13" x14ac:dyDescent="0.2">
      <c r="A6" t="s">
        <v>2179</v>
      </c>
      <c r="B6" t="str">
        <f>IF(Test_Bible!B16&lt;&gt;"","O","N")</f>
        <v>O</v>
      </c>
      <c r="C6" t="s">
        <v>36</v>
      </c>
      <c r="D6" s="5">
        <v>1</v>
      </c>
      <c r="F6" s="1783"/>
      <c r="G6" s="1784"/>
      <c r="H6" s="1784"/>
      <c r="I6" s="1784"/>
      <c r="J6" s="1784"/>
      <c r="K6" s="1784"/>
      <c r="L6" s="1784"/>
      <c r="M6" s="1784"/>
    </row>
    <row r="7" spans="1:13" x14ac:dyDescent="0.2">
      <c r="A7" t="s">
        <v>1280</v>
      </c>
      <c r="B7" t="str">
        <f>IF(Test_Bible!B21&lt;&gt;"","O","N")</f>
        <v>O</v>
      </c>
      <c r="C7" t="s">
        <v>37</v>
      </c>
      <c r="D7" s="5">
        <v>4</v>
      </c>
      <c r="F7" s="1783"/>
      <c r="G7" s="1784"/>
      <c r="H7" s="1784"/>
      <c r="I7" s="1784"/>
      <c r="J7" s="1784"/>
      <c r="K7" s="1784"/>
      <c r="L7" s="1784"/>
      <c r="M7" s="1784"/>
    </row>
    <row r="8" spans="1:13" x14ac:dyDescent="0.2">
      <c r="A8" t="s">
        <v>1280</v>
      </c>
      <c r="B8" t="str">
        <f>IF(Test_Bible!B27&lt;&gt;"","O","N")</f>
        <v>O</v>
      </c>
      <c r="C8" t="s">
        <v>38</v>
      </c>
      <c r="D8" s="5">
        <v>3</v>
      </c>
      <c r="F8" s="1783"/>
      <c r="G8" s="1784"/>
      <c r="H8" s="1784"/>
      <c r="I8" s="1784"/>
      <c r="J8" s="1784"/>
      <c r="K8" s="1784"/>
      <c r="L8" s="1784"/>
      <c r="M8" s="1784"/>
    </row>
    <row r="9" spans="1:13" x14ac:dyDescent="0.2">
      <c r="A9" t="s">
        <v>2180</v>
      </c>
      <c r="B9" t="str">
        <f>IF(Test_Bible!B34&lt;&gt;"","O","N")</f>
        <v>O</v>
      </c>
      <c r="C9" t="s">
        <v>39</v>
      </c>
      <c r="D9" s="5">
        <v>2</v>
      </c>
      <c r="F9" s="1783"/>
      <c r="G9" s="1784"/>
      <c r="H9" s="1784"/>
      <c r="I9" s="1784"/>
      <c r="J9" s="1784"/>
      <c r="K9" s="1784"/>
      <c r="L9" s="1784"/>
      <c r="M9" s="1784"/>
    </row>
    <row r="10" spans="1:13" x14ac:dyDescent="0.2">
      <c r="A10" t="s">
        <v>2181</v>
      </c>
      <c r="B10" t="str">
        <f>IF(Test_Bible!B40&lt;&gt;"","O","N")</f>
        <v>O</v>
      </c>
      <c r="C10" t="s">
        <v>969</v>
      </c>
      <c r="D10" s="5">
        <v>10</v>
      </c>
      <c r="F10" s="1783"/>
      <c r="G10" s="1784"/>
      <c r="H10" s="1784"/>
      <c r="I10" s="1784"/>
      <c r="J10" s="1784"/>
      <c r="K10" s="1784"/>
      <c r="L10" s="1784"/>
      <c r="M10" s="1784"/>
    </row>
    <row r="11" spans="1:13" x14ac:dyDescent="0.2">
      <c r="A11" t="s">
        <v>1330</v>
      </c>
      <c r="B11" t="str">
        <f>IF(Test_Bible!B42&lt;&gt;"","O","N")</f>
        <v>O</v>
      </c>
      <c r="C11" t="s">
        <v>40</v>
      </c>
      <c r="D11" s="5">
        <v>2</v>
      </c>
      <c r="F11" s="1783"/>
      <c r="G11" s="1784"/>
      <c r="H11" s="1784"/>
      <c r="I11" s="1784"/>
      <c r="J11" s="1784"/>
      <c r="K11" s="1784"/>
      <c r="L11" s="1784"/>
      <c r="M11" s="1784"/>
    </row>
    <row r="12" spans="1:13" x14ac:dyDescent="0.2">
      <c r="A12" t="s">
        <v>1330</v>
      </c>
      <c r="B12" t="str">
        <f>IF(Test_Bible!B46&lt;&gt;"","O","N")</f>
        <v>O</v>
      </c>
      <c r="C12" t="s">
        <v>41</v>
      </c>
      <c r="D12" s="5">
        <v>2</v>
      </c>
      <c r="F12" s="1783"/>
      <c r="G12" s="1784"/>
      <c r="H12" s="1784"/>
      <c r="I12" s="1784"/>
      <c r="J12" s="1784"/>
      <c r="K12" s="1784"/>
      <c r="L12" s="1784"/>
      <c r="M12" s="1784"/>
    </row>
    <row r="13" spans="1:13" x14ac:dyDescent="0.2">
      <c r="A13" t="s">
        <v>2182</v>
      </c>
      <c r="B13" t="str">
        <f>IF(Test_Bible!B53&lt;&gt;"","O","N")</f>
        <v>O</v>
      </c>
      <c r="C13" t="s">
        <v>42</v>
      </c>
      <c r="D13" s="114">
        <v>2</v>
      </c>
      <c r="E13" s="114">
        <f>Test_Bible!Q53</f>
        <v>6</v>
      </c>
      <c r="F13" s="1783"/>
      <c r="G13" s="1784"/>
      <c r="H13" s="1784"/>
      <c r="I13" s="1784"/>
      <c r="J13" s="1784"/>
      <c r="K13" s="1784"/>
      <c r="L13" s="1784"/>
      <c r="M13" s="1784"/>
    </row>
    <row r="14" spans="1:13" x14ac:dyDescent="0.2">
      <c r="A14" t="s">
        <v>2183</v>
      </c>
      <c r="B14" t="str">
        <f>IF(Test_Bible!B54&lt;&gt;" ","O","N")</f>
        <v>N</v>
      </c>
      <c r="C14" t="s">
        <v>45</v>
      </c>
      <c r="D14" s="114">
        <v>0</v>
      </c>
      <c r="F14" s="1783"/>
      <c r="G14" s="1784"/>
      <c r="H14" s="1784"/>
      <c r="I14" s="1784"/>
      <c r="J14" s="1784"/>
      <c r="K14" s="1784"/>
      <c r="L14" s="1784"/>
      <c r="M14" s="1784"/>
    </row>
    <row r="15" spans="1:13" x14ac:dyDescent="0.2">
      <c r="A15" t="s">
        <v>2182</v>
      </c>
      <c r="B15" t="str">
        <f>IF(Test_Bible!B56&lt;&gt;" ","O","N")</f>
        <v>N</v>
      </c>
      <c r="C15" t="s">
        <v>47</v>
      </c>
      <c r="D15" s="114">
        <v>0</v>
      </c>
      <c r="E15" s="114">
        <f>Test_Bible!Q56</f>
        <v>0</v>
      </c>
      <c r="F15" s="1783"/>
      <c r="G15" s="1784"/>
      <c r="H15" s="1784"/>
      <c r="I15" s="1784"/>
      <c r="J15" s="1784"/>
      <c r="K15" s="1784"/>
      <c r="L15" s="1784"/>
      <c r="M15" s="1784"/>
    </row>
    <row r="16" spans="1:13" x14ac:dyDescent="0.2">
      <c r="A16" t="s">
        <v>2182</v>
      </c>
      <c r="B16" t="str">
        <f>IF(Test_Bible!B57&lt;&gt;" ","O","N")</f>
        <v>N</v>
      </c>
      <c r="C16" t="s">
        <v>49</v>
      </c>
      <c r="D16" s="114">
        <v>0</v>
      </c>
      <c r="E16" s="114">
        <f>Test_Bible!Q57</f>
        <v>0</v>
      </c>
      <c r="F16" s="1783"/>
      <c r="G16" s="1784"/>
      <c r="H16" s="1784"/>
      <c r="I16" s="1784"/>
      <c r="J16" s="1784"/>
      <c r="K16" s="1784"/>
      <c r="L16" s="1784"/>
      <c r="M16" s="1784"/>
    </row>
    <row r="17" spans="1:13" x14ac:dyDescent="0.2">
      <c r="A17" t="s">
        <v>2183</v>
      </c>
      <c r="B17" t="str">
        <f>IF(Test_Bible!B58&lt;&gt;" ","O","N")</f>
        <v>O</v>
      </c>
      <c r="C17" s="59" t="s">
        <v>1406</v>
      </c>
      <c r="D17" s="114">
        <v>1</v>
      </c>
      <c r="E17" s="5">
        <f>Test_Bible!P59</f>
        <v>5</v>
      </c>
      <c r="F17" s="1783"/>
      <c r="G17" s="1784"/>
      <c r="H17" s="1784"/>
      <c r="I17" s="1784"/>
      <c r="J17" s="1784"/>
      <c r="K17" s="1784"/>
      <c r="L17" s="1784"/>
      <c r="M17" s="1784"/>
    </row>
    <row r="18" spans="1:13" x14ac:dyDescent="0.2">
      <c r="A18" t="s">
        <v>2183</v>
      </c>
      <c r="B18" t="str">
        <f>B17</f>
        <v>O</v>
      </c>
      <c r="C18" s="59" t="s">
        <v>1406</v>
      </c>
      <c r="D18" s="114">
        <v>0</v>
      </c>
      <c r="F18" s="1783"/>
      <c r="G18" s="1784"/>
      <c r="H18" s="1784"/>
      <c r="I18" s="1784"/>
      <c r="J18" s="1784"/>
      <c r="K18" s="1784"/>
      <c r="L18" s="1784"/>
      <c r="M18" s="1784"/>
    </row>
    <row r="19" spans="1:13" x14ac:dyDescent="0.2">
      <c r="A19" t="s">
        <v>2183</v>
      </c>
      <c r="B19" t="str">
        <f t="shared" ref="B19:B22" si="0">B18</f>
        <v>O</v>
      </c>
      <c r="C19" s="59" t="s">
        <v>1406</v>
      </c>
      <c r="D19" s="114">
        <v>0</v>
      </c>
      <c r="F19" s="1783"/>
      <c r="G19" s="1784"/>
      <c r="H19" s="1784"/>
      <c r="I19" s="1784"/>
      <c r="J19" s="1784"/>
      <c r="K19" s="1784"/>
      <c r="L19" s="1784"/>
      <c r="M19" s="1784"/>
    </row>
    <row r="20" spans="1:13" x14ac:dyDescent="0.2">
      <c r="A20" t="s">
        <v>2183</v>
      </c>
      <c r="B20" t="str">
        <f t="shared" si="0"/>
        <v>O</v>
      </c>
      <c r="C20" s="59" t="s">
        <v>1406</v>
      </c>
      <c r="D20" s="114">
        <v>0</v>
      </c>
      <c r="F20" s="1783"/>
      <c r="G20" s="1784"/>
      <c r="H20" s="1784"/>
      <c r="I20" s="1784"/>
      <c r="J20" s="1784"/>
      <c r="K20" s="1784"/>
      <c r="L20" s="1784"/>
      <c r="M20" s="1784"/>
    </row>
    <row r="21" spans="1:13" x14ac:dyDescent="0.2">
      <c r="A21" t="s">
        <v>2183</v>
      </c>
      <c r="B21" t="str">
        <f t="shared" si="0"/>
        <v>O</v>
      </c>
      <c r="C21" s="59" t="s">
        <v>1406</v>
      </c>
      <c r="D21" s="114">
        <v>1</v>
      </c>
      <c r="F21" s="1783"/>
      <c r="G21" s="1784"/>
      <c r="H21" s="1784"/>
      <c r="I21" s="1784"/>
      <c r="J21" s="1784"/>
      <c r="K21" s="1784"/>
      <c r="L21" s="1784"/>
      <c r="M21" s="1784"/>
    </row>
    <row r="22" spans="1:13" x14ac:dyDescent="0.2">
      <c r="A22" t="s">
        <v>2183</v>
      </c>
      <c r="B22" t="str">
        <f t="shared" si="0"/>
        <v>O</v>
      </c>
      <c r="C22" s="59" t="s">
        <v>1406</v>
      </c>
      <c r="D22" s="114">
        <v>0</v>
      </c>
      <c r="F22" s="1783"/>
      <c r="G22" s="1784"/>
      <c r="H22" s="1784"/>
      <c r="I22" s="1784"/>
      <c r="J22" s="1784"/>
      <c r="K22" s="1784"/>
      <c r="L22" s="1784"/>
      <c r="M22" s="1784"/>
    </row>
    <row r="23" spans="1:13" x14ac:dyDescent="0.2">
      <c r="A23" t="s">
        <v>2183</v>
      </c>
      <c r="B23" t="str">
        <f>IF(Test_Bible!B68&lt;&gt;" ","O","N")</f>
        <v>O</v>
      </c>
      <c r="C23" s="59" t="s">
        <v>1410</v>
      </c>
      <c r="D23" s="114">
        <v>0</v>
      </c>
      <c r="E23" s="5">
        <f>Test_Bible!P68</f>
        <v>0</v>
      </c>
      <c r="F23" s="1783"/>
      <c r="G23" s="1784"/>
      <c r="H23" s="1784"/>
      <c r="I23" s="1784"/>
      <c r="J23" s="1784"/>
      <c r="K23" s="1784"/>
      <c r="L23" s="1784"/>
      <c r="M23" s="1784"/>
    </row>
    <row r="24" spans="1:13" x14ac:dyDescent="0.2">
      <c r="A24" t="s">
        <v>2183</v>
      </c>
      <c r="B24" t="str">
        <f>B23</f>
        <v>O</v>
      </c>
      <c r="C24" s="59" t="s">
        <v>1410</v>
      </c>
      <c r="D24" s="114">
        <v>0</v>
      </c>
      <c r="F24" s="1783"/>
      <c r="G24" s="1784"/>
      <c r="H24" s="1784"/>
      <c r="I24" s="1784"/>
      <c r="J24" s="1784"/>
      <c r="K24" s="1784"/>
      <c r="L24" s="1784"/>
      <c r="M24" s="1784"/>
    </row>
    <row r="25" spans="1:13" x14ac:dyDescent="0.2">
      <c r="A25" t="s">
        <v>2183</v>
      </c>
      <c r="B25" t="str">
        <f t="shared" ref="B25:B28" si="1">B24</f>
        <v>O</v>
      </c>
      <c r="C25" s="59" t="s">
        <v>1410</v>
      </c>
      <c r="D25" s="114">
        <v>0</v>
      </c>
      <c r="F25" s="1783"/>
      <c r="G25" s="1784"/>
      <c r="H25" s="1784"/>
      <c r="I25" s="1784"/>
      <c r="J25" s="1784"/>
      <c r="K25" s="1784"/>
      <c r="L25" s="1784"/>
      <c r="M25" s="1784"/>
    </row>
    <row r="26" spans="1:13" x14ac:dyDescent="0.2">
      <c r="A26" t="s">
        <v>2183</v>
      </c>
      <c r="B26" t="str">
        <f t="shared" si="1"/>
        <v>O</v>
      </c>
      <c r="C26" s="59" t="s">
        <v>1410</v>
      </c>
      <c r="D26" s="114">
        <v>0</v>
      </c>
      <c r="F26" s="1783"/>
      <c r="G26" s="1784"/>
      <c r="H26" s="1784"/>
      <c r="I26" s="1784"/>
      <c r="J26" s="1784"/>
      <c r="K26" s="1784"/>
      <c r="L26" s="1784"/>
      <c r="M26" s="1784"/>
    </row>
    <row r="27" spans="1:13" x14ac:dyDescent="0.2">
      <c r="A27" t="s">
        <v>2183</v>
      </c>
      <c r="B27" t="str">
        <f t="shared" si="1"/>
        <v>O</v>
      </c>
      <c r="C27" s="59" t="s">
        <v>1410</v>
      </c>
      <c r="D27" s="114">
        <v>0</v>
      </c>
      <c r="F27" s="1783"/>
      <c r="G27" s="1784"/>
      <c r="H27" s="1784"/>
      <c r="I27" s="1784"/>
      <c r="J27" s="1784"/>
      <c r="K27" s="1784"/>
      <c r="L27" s="1784"/>
      <c r="M27" s="1784"/>
    </row>
    <row r="28" spans="1:13" x14ac:dyDescent="0.2">
      <c r="A28" t="s">
        <v>2183</v>
      </c>
      <c r="B28" t="str">
        <f t="shared" si="1"/>
        <v>O</v>
      </c>
      <c r="C28" s="59" t="s">
        <v>1410</v>
      </c>
      <c r="D28" s="114">
        <v>0</v>
      </c>
      <c r="F28" s="1783"/>
      <c r="G28" s="1784"/>
      <c r="H28" s="1784"/>
      <c r="I28" s="1784"/>
      <c r="J28" s="1784"/>
      <c r="K28" s="1784"/>
      <c r="L28" s="1784"/>
      <c r="M28" s="1784"/>
    </row>
    <row r="29" spans="1:13" x14ac:dyDescent="0.2">
      <c r="A29" t="s">
        <v>1280</v>
      </c>
      <c r="B29" t="str">
        <f>IF(Test_Bible!B77&lt;&gt;" ","O","N")</f>
        <v>O</v>
      </c>
      <c r="C29" t="s">
        <v>1411</v>
      </c>
      <c r="D29" s="5">
        <v>0</v>
      </c>
      <c r="F29" s="1783"/>
      <c r="G29" s="1784"/>
      <c r="H29" s="1784"/>
      <c r="I29" s="1784"/>
      <c r="J29" s="1784"/>
      <c r="K29" s="1784"/>
      <c r="L29" s="1784"/>
      <c r="M29" s="1784"/>
    </row>
    <row r="30" spans="1:13" x14ac:dyDescent="0.2">
      <c r="A30" t="s">
        <v>2183</v>
      </c>
      <c r="B30" t="str">
        <f>IF(Test_Bible!B84&lt;&gt;" ","O","N")</f>
        <v>O</v>
      </c>
      <c r="C30" t="s">
        <v>1412</v>
      </c>
      <c r="D30" s="5">
        <v>0</v>
      </c>
      <c r="F30" s="1783"/>
      <c r="G30" s="1784"/>
      <c r="H30" s="1784"/>
      <c r="I30" s="1784"/>
      <c r="J30" s="1784"/>
      <c r="K30" s="1784"/>
      <c r="L30" s="1784"/>
      <c r="M30" s="1784"/>
    </row>
    <row r="31" spans="1:13" x14ac:dyDescent="0.2">
      <c r="A31" t="s">
        <v>1332</v>
      </c>
      <c r="B31" t="str">
        <f>IF(Test_Bible!B87&lt;&gt;" ","O","N")</f>
        <v>O</v>
      </c>
      <c r="C31" s="59" t="s">
        <v>1413</v>
      </c>
      <c r="D31" s="5">
        <v>0</v>
      </c>
      <c r="E31" s="5">
        <f>Test_Bible!P87</f>
        <v>0</v>
      </c>
      <c r="F31" s="1783"/>
      <c r="G31" s="1784"/>
      <c r="H31" s="1784"/>
      <c r="I31" s="1784"/>
      <c r="J31" s="1784"/>
      <c r="K31" s="1784"/>
      <c r="L31" s="1784"/>
      <c r="M31" s="1784"/>
    </row>
    <row r="32" spans="1:13" x14ac:dyDescent="0.2">
      <c r="A32" t="s">
        <v>2183</v>
      </c>
      <c r="B32" t="str">
        <f>B31</f>
        <v>O</v>
      </c>
      <c r="C32" s="59" t="s">
        <v>1413</v>
      </c>
      <c r="D32" s="5">
        <v>0</v>
      </c>
      <c r="F32" s="1783"/>
      <c r="G32" s="1784"/>
      <c r="H32" s="1784"/>
      <c r="I32" s="1784"/>
      <c r="J32" s="1784"/>
      <c r="K32" s="1784"/>
      <c r="L32" s="1784"/>
      <c r="M32" s="1784"/>
    </row>
    <row r="33" spans="1:13" x14ac:dyDescent="0.2">
      <c r="A33" t="s">
        <v>2183</v>
      </c>
      <c r="B33" t="str">
        <f t="shared" ref="B33:B36" si="2">B32</f>
        <v>O</v>
      </c>
      <c r="C33" s="59" t="s">
        <v>1413</v>
      </c>
      <c r="D33" s="5">
        <v>0</v>
      </c>
      <c r="F33" s="1783"/>
      <c r="G33" s="1784"/>
      <c r="H33" s="1784"/>
      <c r="I33" s="1784"/>
      <c r="J33" s="1784"/>
      <c r="K33" s="1784"/>
      <c r="L33" s="1784"/>
      <c r="M33" s="1784"/>
    </row>
    <row r="34" spans="1:13" x14ac:dyDescent="0.2">
      <c r="A34" t="s">
        <v>2183</v>
      </c>
      <c r="B34" t="str">
        <f t="shared" si="2"/>
        <v>O</v>
      </c>
      <c r="C34" s="59" t="s">
        <v>1413</v>
      </c>
      <c r="D34" s="5">
        <v>0</v>
      </c>
      <c r="F34" s="1783"/>
      <c r="G34" s="1784"/>
      <c r="H34" s="1784"/>
      <c r="I34" s="1784"/>
      <c r="J34" s="1784"/>
      <c r="K34" s="1784"/>
      <c r="L34" s="1784"/>
      <c r="M34" s="1784"/>
    </row>
    <row r="35" spans="1:13" x14ac:dyDescent="0.2">
      <c r="A35" t="s">
        <v>2183</v>
      </c>
      <c r="B35" t="str">
        <f t="shared" si="2"/>
        <v>O</v>
      </c>
      <c r="C35" s="59" t="s">
        <v>1413</v>
      </c>
      <c r="D35" s="5">
        <v>0</v>
      </c>
      <c r="F35" s="1783"/>
      <c r="G35" s="1784"/>
      <c r="H35" s="1784"/>
      <c r="I35" s="1784"/>
      <c r="J35" s="1784"/>
      <c r="K35" s="1784"/>
      <c r="L35" s="1784"/>
      <c r="M35" s="1784"/>
    </row>
    <row r="36" spans="1:13" x14ac:dyDescent="0.2">
      <c r="A36" t="s">
        <v>2183</v>
      </c>
      <c r="B36" t="str">
        <f t="shared" si="2"/>
        <v>O</v>
      </c>
      <c r="C36" s="59" t="s">
        <v>1413</v>
      </c>
      <c r="D36" s="5">
        <v>0</v>
      </c>
      <c r="F36" s="1783"/>
      <c r="G36" s="1784"/>
      <c r="H36" s="1784"/>
      <c r="I36" s="1784"/>
      <c r="J36" s="1784"/>
      <c r="K36" s="1784"/>
      <c r="L36" s="1784"/>
      <c r="M36" s="1784"/>
    </row>
    <row r="37" spans="1:13" x14ac:dyDescent="0.2">
      <c r="F37" s="1783"/>
      <c r="G37" s="1784"/>
      <c r="H37" s="1784"/>
      <c r="I37" s="1784"/>
      <c r="J37" s="1784"/>
      <c r="K37" s="1784"/>
      <c r="L37" s="1784"/>
      <c r="M37" s="1784"/>
    </row>
    <row r="38" spans="1:13" x14ac:dyDescent="0.2">
      <c r="F38" s="1785" t="s">
        <v>1506</v>
      </c>
      <c r="G38" s="1786"/>
      <c r="H38" s="1786"/>
      <c r="I38" s="1786"/>
      <c r="J38" s="1786"/>
      <c r="K38" s="1786"/>
      <c r="L38" s="1786"/>
      <c r="M38" s="1786"/>
    </row>
    <row r="49" spans="1:13" x14ac:dyDescent="0.2">
      <c r="A49" t="s">
        <v>450</v>
      </c>
      <c r="B49" t="str">
        <f>IF(Test_Bible!B98&lt;&gt;"","O","N")</f>
        <v>O</v>
      </c>
      <c r="C49" t="s">
        <v>53</v>
      </c>
      <c r="D49" s="114">
        <v>9</v>
      </c>
      <c r="E49" s="114">
        <f>Test_Bible!Q98</f>
        <v>9</v>
      </c>
      <c r="F49" s="1783"/>
      <c r="G49" s="1784"/>
      <c r="H49" s="1784"/>
      <c r="I49" s="1784"/>
      <c r="J49" s="1784"/>
      <c r="K49" s="1784"/>
      <c r="L49" s="1784"/>
      <c r="M49" s="1784"/>
    </row>
    <row r="50" spans="1:13" x14ac:dyDescent="0.2">
      <c r="A50" t="s">
        <v>450</v>
      </c>
      <c r="B50" t="str">
        <f>IF(Test_Bible!B99&lt;&gt;"","O","N")</f>
        <v>O</v>
      </c>
      <c r="C50" t="s">
        <v>56</v>
      </c>
      <c r="D50" s="114">
        <v>7</v>
      </c>
      <c r="E50" s="114">
        <f>Test_Bible!Q99</f>
        <v>7</v>
      </c>
      <c r="F50" s="1783"/>
      <c r="G50" s="1784"/>
      <c r="H50" s="1784"/>
      <c r="I50" s="1784"/>
      <c r="J50" s="1784"/>
      <c r="K50" s="1784"/>
      <c r="L50" s="1784"/>
      <c r="M50" s="1784"/>
    </row>
    <row r="51" spans="1:13" x14ac:dyDescent="0.2">
      <c r="A51" t="s">
        <v>450</v>
      </c>
      <c r="B51" t="str">
        <f>IF(Test_Bible!B100&lt;&gt;"","O","N")</f>
        <v>O</v>
      </c>
      <c r="C51" t="s">
        <v>58</v>
      </c>
      <c r="D51" s="114">
        <v>4</v>
      </c>
      <c r="E51" s="114">
        <f>Test_Bible!Q100</f>
        <v>4</v>
      </c>
      <c r="F51" s="1783"/>
      <c r="G51" s="1784"/>
      <c r="H51" s="1784"/>
      <c r="I51" s="1784"/>
      <c r="J51" s="1784"/>
      <c r="K51" s="1784"/>
      <c r="L51" s="1784"/>
      <c r="M51" s="1784"/>
    </row>
    <row r="52" spans="1:13" x14ac:dyDescent="0.2">
      <c r="A52" t="s">
        <v>450</v>
      </c>
      <c r="B52" t="str">
        <f>IF(Test_Bible!B101&lt;&gt;" ","O","N")</f>
        <v>N</v>
      </c>
      <c r="C52" t="s">
        <v>59</v>
      </c>
      <c r="D52" s="114">
        <v>0</v>
      </c>
      <c r="E52" s="114">
        <f>Test_Bible!Q101</f>
        <v>0</v>
      </c>
      <c r="F52" s="1783"/>
      <c r="G52" s="1784"/>
      <c r="H52" s="1784"/>
      <c r="I52" s="1784"/>
      <c r="J52" s="1784"/>
      <c r="K52" s="1784"/>
      <c r="L52" s="1784"/>
      <c r="M52" s="1784"/>
    </row>
    <row r="53" spans="1:13" x14ac:dyDescent="0.2">
      <c r="A53" t="s">
        <v>450</v>
      </c>
      <c r="B53" t="str">
        <f>IF(Test_Bible!B102&lt;&gt;" ","O","N")</f>
        <v>N</v>
      </c>
      <c r="C53" t="s">
        <v>1454</v>
      </c>
      <c r="D53" s="114">
        <v>0</v>
      </c>
      <c r="E53" s="114">
        <f>Test_Bible!Q102</f>
        <v>0</v>
      </c>
      <c r="F53" s="1783"/>
      <c r="G53" s="1784"/>
      <c r="H53" s="1784"/>
      <c r="I53" s="1784"/>
      <c r="J53" s="1784"/>
      <c r="K53" s="1784"/>
      <c r="L53" s="1784"/>
      <c r="M53" s="1784"/>
    </row>
    <row r="54" spans="1:13" x14ac:dyDescent="0.2">
      <c r="A54" t="s">
        <v>2182</v>
      </c>
      <c r="B54" t="str">
        <f>IF(Test_Bible!B104&lt;&gt;"","O","N")</f>
        <v>O</v>
      </c>
      <c r="C54" t="s">
        <v>60</v>
      </c>
      <c r="D54" s="114">
        <v>1</v>
      </c>
      <c r="E54" s="114">
        <f>Test_Bible!Q104</f>
        <v>2</v>
      </c>
      <c r="F54" s="1783"/>
      <c r="G54" s="1784"/>
      <c r="H54" s="1784"/>
      <c r="I54" s="1784"/>
      <c r="J54" s="1784"/>
      <c r="K54" s="1784"/>
      <c r="L54" s="1784"/>
      <c r="M54" s="1784"/>
    </row>
    <row r="55" spans="1:13" x14ac:dyDescent="0.2">
      <c r="A55" t="s">
        <v>2182</v>
      </c>
      <c r="B55" t="str">
        <f>IF(Test_Bible!B105&lt;&gt;" ","O","N")</f>
        <v>N</v>
      </c>
      <c r="C55" t="s">
        <v>63</v>
      </c>
      <c r="D55" s="114">
        <v>0</v>
      </c>
      <c r="E55" s="114">
        <f>Test_Bible!Q105</f>
        <v>0</v>
      </c>
      <c r="F55" s="1783"/>
      <c r="G55" s="1784"/>
      <c r="H55" s="1784"/>
      <c r="I55" s="1784"/>
      <c r="J55" s="1784"/>
      <c r="K55" s="1784"/>
      <c r="L55" s="1784"/>
      <c r="M55" s="1784"/>
    </row>
    <row r="56" spans="1:13" x14ac:dyDescent="0.2">
      <c r="A56" t="s">
        <v>2182</v>
      </c>
      <c r="B56" t="str">
        <f>IF(Test_Bible!B106&lt;&gt;"","O","N")</f>
        <v>O</v>
      </c>
      <c r="C56" t="s">
        <v>64</v>
      </c>
      <c r="D56" s="114">
        <v>2</v>
      </c>
      <c r="E56" s="114">
        <f>Test_Bible!Q106</f>
        <v>2</v>
      </c>
      <c r="F56" s="1783"/>
      <c r="G56" s="1784"/>
      <c r="H56" s="1784"/>
      <c r="I56" s="1784"/>
      <c r="J56" s="1784"/>
      <c r="K56" s="1784"/>
      <c r="L56" s="1784"/>
      <c r="M56" s="1784"/>
    </row>
    <row r="57" spans="1:13" x14ac:dyDescent="0.2">
      <c r="A57" t="s">
        <v>2182</v>
      </c>
      <c r="B57" t="str">
        <f>IF(Test_Bible!B107&lt;&gt;" ","O","N")</f>
        <v>N</v>
      </c>
      <c r="C57" t="s">
        <v>1032</v>
      </c>
      <c r="D57" s="114">
        <v>0</v>
      </c>
      <c r="E57" s="114">
        <f>Test_Bible!Q107</f>
        <v>0</v>
      </c>
      <c r="F57" s="1783"/>
      <c r="G57" s="1784"/>
      <c r="H57" s="1784"/>
      <c r="I57" s="1784"/>
      <c r="J57" s="1784"/>
      <c r="K57" s="1784"/>
      <c r="L57" s="1784"/>
      <c r="M57" s="1784"/>
    </row>
    <row r="58" spans="1:13" x14ac:dyDescent="0.2">
      <c r="F58" s="1785" t="s">
        <v>1506</v>
      </c>
      <c r="G58" s="1786"/>
      <c r="H58" s="1786"/>
      <c r="I58" s="1786"/>
      <c r="J58" s="1786"/>
      <c r="K58" s="1786"/>
      <c r="L58" s="1786"/>
      <c r="M58" s="1786"/>
    </row>
    <row r="83" spans="1:6" x14ac:dyDescent="0.2">
      <c r="A83" t="s">
        <v>450</v>
      </c>
      <c r="B83" t="str">
        <f>IF(Test_Bible!B110&lt;&gt;"","O","N")</f>
        <v>O</v>
      </c>
      <c r="C83" t="s">
        <v>1686</v>
      </c>
      <c r="D83" s="114">
        <v>6</v>
      </c>
      <c r="E83" s="114">
        <f>Test_Bible!Q110</f>
        <v>6</v>
      </c>
    </row>
    <row r="84" spans="1:6" x14ac:dyDescent="0.2">
      <c r="A84" t="s">
        <v>2182</v>
      </c>
      <c r="B84" t="str">
        <f>IF(Test_Bible!B112&lt;&gt;" ","O","N")</f>
        <v>O</v>
      </c>
      <c r="C84" t="s">
        <v>871</v>
      </c>
      <c r="D84" s="114">
        <v>4</v>
      </c>
      <c r="E84" s="114">
        <f>Test_Bible!Q112</f>
        <v>4</v>
      </c>
      <c r="F84" s="72">
        <f>Test_Bible!V112</f>
        <v>8</v>
      </c>
    </row>
    <row r="85" spans="1:6" x14ac:dyDescent="0.2">
      <c r="A85" t="s">
        <v>2182</v>
      </c>
      <c r="B85" t="str">
        <f>IF(Test_Bible!B113&lt;&gt;" ","O","N")</f>
        <v>O</v>
      </c>
      <c r="C85" t="s">
        <v>1035</v>
      </c>
      <c r="D85" s="114">
        <v>4</v>
      </c>
      <c r="E85" s="114">
        <f>Test_Bible!Q113</f>
        <v>8</v>
      </c>
    </row>
    <row r="86" spans="1:6" x14ac:dyDescent="0.2">
      <c r="A86" t="s">
        <v>2182</v>
      </c>
      <c r="B86" t="str">
        <f>IF(Test_Bible!B114&lt;&gt;" ","O","N")</f>
        <v>O</v>
      </c>
      <c r="C86" t="s">
        <v>1433</v>
      </c>
      <c r="D86" s="114">
        <v>2</v>
      </c>
      <c r="E86" s="114">
        <f>Test_Bible!Q114</f>
        <v>6</v>
      </c>
    </row>
    <row r="87" spans="1:6" x14ac:dyDescent="0.2">
      <c r="A87" t="s">
        <v>2183</v>
      </c>
      <c r="B87" t="str">
        <f>IF(Test_Bible!B116&lt;&gt;" ","O","N")</f>
        <v>O</v>
      </c>
      <c r="C87" s="59" t="s">
        <v>1036</v>
      </c>
      <c r="D87" s="114">
        <v>0</v>
      </c>
      <c r="E87" s="114">
        <f>Test_Bible!P115</f>
        <v>14</v>
      </c>
    </row>
    <row r="88" spans="1:6" x14ac:dyDescent="0.2">
      <c r="A88" t="s">
        <v>2183</v>
      </c>
      <c r="B88" t="str">
        <f>B87</f>
        <v>O</v>
      </c>
      <c r="C88" s="59" t="s">
        <v>1036</v>
      </c>
      <c r="D88" s="114">
        <v>0</v>
      </c>
      <c r="E88" s="114"/>
    </row>
    <row r="89" spans="1:6" x14ac:dyDescent="0.2">
      <c r="A89" t="s">
        <v>2183</v>
      </c>
      <c r="B89" t="str">
        <f t="shared" ref="B89:B92" si="3">B88</f>
        <v>O</v>
      </c>
      <c r="C89" s="59" t="s">
        <v>1036</v>
      </c>
      <c r="D89" s="114">
        <v>1</v>
      </c>
      <c r="E89" s="114"/>
    </row>
    <row r="90" spans="1:6" x14ac:dyDescent="0.2">
      <c r="A90" t="s">
        <v>2183</v>
      </c>
      <c r="B90" t="str">
        <f t="shared" si="3"/>
        <v>O</v>
      </c>
      <c r="C90" s="59" t="s">
        <v>1036</v>
      </c>
      <c r="D90" s="114">
        <v>0</v>
      </c>
      <c r="E90" s="114"/>
    </row>
    <row r="91" spans="1:6" x14ac:dyDescent="0.2">
      <c r="A91" t="s">
        <v>2183</v>
      </c>
      <c r="B91" t="str">
        <f t="shared" si="3"/>
        <v>O</v>
      </c>
      <c r="C91" s="59" t="s">
        <v>1036</v>
      </c>
      <c r="D91" s="114">
        <v>1</v>
      </c>
      <c r="E91" s="114"/>
    </row>
    <row r="92" spans="1:6" x14ac:dyDescent="0.2">
      <c r="A92" t="s">
        <v>2183</v>
      </c>
      <c r="B92" t="str">
        <f t="shared" si="3"/>
        <v>O</v>
      </c>
      <c r="C92" s="59" t="s">
        <v>1036</v>
      </c>
      <c r="D92" s="114">
        <v>1</v>
      </c>
      <c r="E92" s="114"/>
    </row>
    <row r="93" spans="1:6" x14ac:dyDescent="0.2">
      <c r="A93" t="s">
        <v>2182</v>
      </c>
      <c r="B93" t="str">
        <f>IF(Test_Bible!B123&lt;&gt;"","O","N")</f>
        <v>O</v>
      </c>
      <c r="C93" t="s">
        <v>70</v>
      </c>
      <c r="D93" s="114">
        <v>7</v>
      </c>
      <c r="E93" s="114">
        <f>Test_Bible!Q123</f>
        <v>14</v>
      </c>
      <c r="F93" s="72">
        <f>Test_Bible!V123</f>
        <v>14</v>
      </c>
    </row>
    <row r="94" spans="1:6" x14ac:dyDescent="0.2">
      <c r="A94" t="s">
        <v>2182</v>
      </c>
      <c r="B94" t="str">
        <f>IF(Test_Bible!B124&lt;&gt;"","O","N")</f>
        <v>O</v>
      </c>
      <c r="C94" t="s">
        <v>1034</v>
      </c>
      <c r="D94" s="114">
        <v>2</v>
      </c>
      <c r="E94" s="114">
        <f>Test_Bible!Q124</f>
        <v>2</v>
      </c>
      <c r="F94" s="72">
        <f>Test_Bible!V124</f>
        <v>2</v>
      </c>
    </row>
    <row r="95" spans="1:6" x14ac:dyDescent="0.2">
      <c r="A95" t="s">
        <v>2182</v>
      </c>
      <c r="B95" t="str">
        <f>IF(Test_Bible!B125&lt;&gt;"","O","N")</f>
        <v>O</v>
      </c>
      <c r="C95" t="s">
        <v>71</v>
      </c>
      <c r="D95" s="114">
        <v>1</v>
      </c>
      <c r="E95" s="114">
        <f>Test_Bible!Q125</f>
        <v>2</v>
      </c>
      <c r="F95" s="72">
        <f>Test_Bible!V125</f>
        <v>2</v>
      </c>
    </row>
    <row r="96" spans="1:6" x14ac:dyDescent="0.2">
      <c r="A96" t="s">
        <v>2182</v>
      </c>
      <c r="B96" t="str">
        <f>IF(Test_Bible!B126&lt;&gt;"","O","N")</f>
        <v>O</v>
      </c>
      <c r="C96" t="s">
        <v>72</v>
      </c>
      <c r="D96" s="114">
        <v>4</v>
      </c>
      <c r="E96" s="114">
        <f>Test_Bible!Q126</f>
        <v>8</v>
      </c>
      <c r="F96" s="72">
        <f>Test_Bible!V126</f>
        <v>8</v>
      </c>
    </row>
    <row r="97" spans="1:6" x14ac:dyDescent="0.2">
      <c r="A97" t="s">
        <v>2183</v>
      </c>
      <c r="B97" t="str">
        <f>IF(Test_Bible!B128&lt;&gt;" ","O","N")</f>
        <v>N</v>
      </c>
      <c r="C97" s="59" t="s">
        <v>74</v>
      </c>
      <c r="D97" s="114">
        <v>0</v>
      </c>
      <c r="E97" s="114">
        <f>Test_Bible!P127</f>
        <v>0</v>
      </c>
    </row>
    <row r="98" spans="1:6" x14ac:dyDescent="0.2">
      <c r="A98" t="s">
        <v>2183</v>
      </c>
      <c r="B98" t="str">
        <f>B97</f>
        <v>N</v>
      </c>
      <c r="C98" s="59" t="s">
        <v>74</v>
      </c>
      <c r="D98" s="114">
        <v>0</v>
      </c>
      <c r="E98" s="114"/>
    </row>
    <row r="99" spans="1:6" x14ac:dyDescent="0.2">
      <c r="A99" t="s">
        <v>2183</v>
      </c>
      <c r="B99" t="str">
        <f t="shared" ref="B99:B101" si="4">B98</f>
        <v>N</v>
      </c>
      <c r="C99" s="59" t="s">
        <v>74</v>
      </c>
      <c r="D99" s="114">
        <v>0</v>
      </c>
      <c r="E99" s="114"/>
    </row>
    <row r="100" spans="1:6" x14ac:dyDescent="0.2">
      <c r="A100" t="s">
        <v>2183</v>
      </c>
      <c r="B100" t="str">
        <f t="shared" si="4"/>
        <v>N</v>
      </c>
      <c r="C100" s="59" t="s">
        <v>74</v>
      </c>
      <c r="D100" s="114">
        <v>0</v>
      </c>
      <c r="E100" s="114"/>
    </row>
    <row r="101" spans="1:6" x14ac:dyDescent="0.2">
      <c r="A101" t="s">
        <v>2183</v>
      </c>
      <c r="B101" t="str">
        <f t="shared" si="4"/>
        <v>N</v>
      </c>
      <c r="C101" s="59" t="s">
        <v>74</v>
      </c>
      <c r="D101" s="114">
        <v>0</v>
      </c>
      <c r="E101" s="114"/>
    </row>
    <row r="102" spans="1:6" x14ac:dyDescent="0.2">
      <c r="A102" t="s">
        <v>2182</v>
      </c>
      <c r="B102" t="str">
        <f>IF(Test_Bible!B134&lt;&gt;"","O","N")</f>
        <v>O</v>
      </c>
      <c r="C102" t="s">
        <v>75</v>
      </c>
      <c r="D102" s="114">
        <v>2</v>
      </c>
      <c r="E102" s="114">
        <f>Test_Bible!Q134</f>
        <v>4</v>
      </c>
      <c r="F102" s="72">
        <f>Test_Bible!V134</f>
        <v>4</v>
      </c>
    </row>
    <row r="103" spans="1:6" x14ac:dyDescent="0.2">
      <c r="A103" t="s">
        <v>2182</v>
      </c>
      <c r="B103" t="str">
        <f>IF(Test_Bible!B135&lt;&gt;"","O","N")</f>
        <v>O</v>
      </c>
      <c r="C103" t="s">
        <v>76</v>
      </c>
      <c r="D103" s="114">
        <v>1</v>
      </c>
      <c r="E103" s="114">
        <f>Test_Bible!Q135</f>
        <v>1</v>
      </c>
      <c r="F103" s="72">
        <f>Test_Bible!V135</f>
        <v>1</v>
      </c>
    </row>
    <row r="104" spans="1:6" x14ac:dyDescent="0.2">
      <c r="A104" t="s">
        <v>2182</v>
      </c>
      <c r="B104" t="str">
        <f>IF(Test_Bible!B136&lt;&gt;"","O","N")</f>
        <v>O</v>
      </c>
      <c r="C104" t="s">
        <v>77</v>
      </c>
      <c r="D104" s="114">
        <v>2</v>
      </c>
      <c r="E104" s="114">
        <f>Test_Bible!Q136</f>
        <v>4</v>
      </c>
      <c r="F104" s="72">
        <f>Test_Bible!V136</f>
        <v>4</v>
      </c>
    </row>
    <row r="105" spans="1:6" x14ac:dyDescent="0.2">
      <c r="A105" t="s">
        <v>2182</v>
      </c>
      <c r="B105" t="str">
        <f>IF(Test_Bible!B137&lt;&gt;"","O","N")</f>
        <v>O</v>
      </c>
      <c r="C105" t="s">
        <v>1257</v>
      </c>
      <c r="D105" s="114">
        <v>4</v>
      </c>
      <c r="E105" s="114">
        <f>Test_Bible!Q137</f>
        <v>4</v>
      </c>
      <c r="F105" s="72"/>
    </row>
    <row r="106" spans="1:6" x14ac:dyDescent="0.2">
      <c r="A106" t="s">
        <v>2182</v>
      </c>
      <c r="B106" t="str">
        <f>IF(Test_Bible!B138&lt;&gt;"","O","N")</f>
        <v>O</v>
      </c>
      <c r="C106" t="s">
        <v>78</v>
      </c>
      <c r="D106" s="114">
        <v>2</v>
      </c>
      <c r="E106" s="114">
        <f>Test_Bible!Q138</f>
        <v>2</v>
      </c>
      <c r="F106" s="72">
        <f>Test_Bible!V138</f>
        <v>2</v>
      </c>
    </row>
    <row r="107" spans="1:6" x14ac:dyDescent="0.2">
      <c r="A107" t="s">
        <v>2182</v>
      </c>
      <c r="B107" t="str">
        <f>IF(Test_Bible!B139&lt;&gt;"","O","N")</f>
        <v>O</v>
      </c>
      <c r="C107" t="s">
        <v>79</v>
      </c>
      <c r="D107" s="114">
        <v>1</v>
      </c>
      <c r="E107" s="114">
        <f>Test_Bible!Q139</f>
        <v>2</v>
      </c>
      <c r="F107" s="72">
        <f>Test_Bible!V139</f>
        <v>2</v>
      </c>
    </row>
    <row r="108" spans="1:6" x14ac:dyDescent="0.2">
      <c r="A108" t="s">
        <v>2182</v>
      </c>
      <c r="B108" t="str">
        <f>IF(Test_Bible!B140&lt;&gt;"","O","N")</f>
        <v>O</v>
      </c>
      <c r="C108" t="s">
        <v>80</v>
      </c>
      <c r="D108" s="114">
        <v>4</v>
      </c>
      <c r="E108" s="114">
        <f>Test_Bible!Q140</f>
        <v>8</v>
      </c>
      <c r="F108" s="72">
        <f>Test_Bible!V140</f>
        <v>8</v>
      </c>
    </row>
    <row r="109" spans="1:6" x14ac:dyDescent="0.2">
      <c r="A109" t="s">
        <v>2183</v>
      </c>
      <c r="B109" t="str">
        <f>IF(Test_Bible!B142&lt;&gt;"","O","N")</f>
        <v>O</v>
      </c>
      <c r="C109" s="59" t="s">
        <v>81</v>
      </c>
      <c r="D109" s="114">
        <v>0</v>
      </c>
      <c r="E109" s="114">
        <f>Test_Bible!P141</f>
        <v>0</v>
      </c>
    </row>
    <row r="110" spans="1:6" x14ac:dyDescent="0.2">
      <c r="A110" t="s">
        <v>2183</v>
      </c>
      <c r="B110" t="str">
        <f>IF(Test_Bible!B143&lt;&gt;"","O","N")</f>
        <v>O</v>
      </c>
      <c r="C110" s="59" t="s">
        <v>81</v>
      </c>
      <c r="D110" s="114">
        <v>0</v>
      </c>
      <c r="E110" s="114"/>
    </row>
    <row r="111" spans="1:6" x14ac:dyDescent="0.2">
      <c r="A111" t="s">
        <v>2183</v>
      </c>
      <c r="B111" t="str">
        <f>IF(Test_Bible!B144&lt;&gt;"","O","N")</f>
        <v>O</v>
      </c>
      <c r="C111" s="59" t="s">
        <v>81</v>
      </c>
      <c r="D111" s="114">
        <v>0</v>
      </c>
      <c r="E111" s="114"/>
    </row>
    <row r="112" spans="1:6" x14ac:dyDescent="0.2">
      <c r="A112" t="s">
        <v>2183</v>
      </c>
      <c r="B112" t="str">
        <f>IF(Test_Bible!B145&lt;&gt;"","O","N")</f>
        <v>O</v>
      </c>
      <c r="C112" s="59" t="s">
        <v>81</v>
      </c>
      <c r="D112" s="114">
        <v>0</v>
      </c>
      <c r="E112" s="114"/>
    </row>
    <row r="113" spans="1:13" x14ac:dyDescent="0.2">
      <c r="A113" t="s">
        <v>2183</v>
      </c>
      <c r="B113" t="str">
        <f>IF(Test_Bible!B146&lt;&gt;"","O","N")</f>
        <v>O</v>
      </c>
      <c r="C113" s="59" t="s">
        <v>81</v>
      </c>
      <c r="D113" s="114">
        <v>0</v>
      </c>
      <c r="E113" s="114"/>
    </row>
    <row r="114" spans="1:13" x14ac:dyDescent="0.2">
      <c r="A114" t="s">
        <v>2183</v>
      </c>
      <c r="B114" t="str">
        <f>IF(Test_Bible!B147&lt;&gt;"","O","N")</f>
        <v>O</v>
      </c>
      <c r="C114" s="59" t="s">
        <v>81</v>
      </c>
      <c r="D114" s="114">
        <v>0</v>
      </c>
      <c r="E114" s="114"/>
    </row>
    <row r="115" spans="1:13" x14ac:dyDescent="0.2">
      <c r="A115" t="s">
        <v>2182</v>
      </c>
      <c r="B115" t="str">
        <f>IF(Test_Bible!B149&lt;&gt;"","O","N")</f>
        <v>O</v>
      </c>
      <c r="C115" t="s">
        <v>83</v>
      </c>
      <c r="D115" s="114">
        <v>4</v>
      </c>
      <c r="E115" s="114">
        <f>Test_Bible!Q149</f>
        <v>8</v>
      </c>
      <c r="F115" s="72">
        <f>Test_Bible!V149</f>
        <v>8</v>
      </c>
    </row>
    <row r="116" spans="1:13" x14ac:dyDescent="0.2">
      <c r="A116" t="s">
        <v>2182</v>
      </c>
      <c r="B116" t="str">
        <f>IF(Test_Bible!B150&lt;&gt;"","O","N")</f>
        <v>O</v>
      </c>
      <c r="C116" t="s">
        <v>85</v>
      </c>
      <c r="D116" s="114">
        <v>2</v>
      </c>
      <c r="E116" s="114">
        <f>Test_Bible!Q150</f>
        <v>6</v>
      </c>
      <c r="F116" s="72">
        <f>Test_Bible!V150</f>
        <v>6</v>
      </c>
    </row>
    <row r="117" spans="1:13" x14ac:dyDescent="0.2">
      <c r="A117" t="s">
        <v>2182</v>
      </c>
      <c r="B117" t="str">
        <f>IF(Test_Bible!B151&lt;&gt;"","O","N")</f>
        <v>O</v>
      </c>
      <c r="C117" t="s">
        <v>709</v>
      </c>
      <c r="D117" s="114">
        <v>1</v>
      </c>
      <c r="E117" s="114">
        <f>Test_Bible!Q151</f>
        <v>3</v>
      </c>
      <c r="F117" s="72">
        <f>Test_Bible!V151</f>
        <v>3</v>
      </c>
    </row>
    <row r="118" spans="1:13" x14ac:dyDescent="0.2">
      <c r="A118" t="s">
        <v>2183</v>
      </c>
      <c r="B118" t="str">
        <f>IF(Test_Bible!B152&lt;&gt;" ","O","N")</f>
        <v>N</v>
      </c>
      <c r="C118" t="s">
        <v>86</v>
      </c>
      <c r="D118" s="114">
        <v>0</v>
      </c>
      <c r="E118" s="114"/>
    </row>
    <row r="119" spans="1:13" x14ac:dyDescent="0.2">
      <c r="A119" t="s">
        <v>2182</v>
      </c>
      <c r="B119" t="str">
        <f>IF(Test_Bible!B154&lt;&gt;"","O","N")</f>
        <v>O</v>
      </c>
      <c r="C119" t="s">
        <v>87</v>
      </c>
      <c r="D119" s="114">
        <v>1</v>
      </c>
      <c r="E119" s="114">
        <f>Test_Bible!Q154</f>
        <v>1</v>
      </c>
      <c r="F119" s="72">
        <f>Test_Bible!V154</f>
        <v>1</v>
      </c>
    </row>
    <row r="120" spans="1:13" x14ac:dyDescent="0.2">
      <c r="A120" t="s">
        <v>2182</v>
      </c>
      <c r="B120" t="str">
        <f>IF(Test_Bible!B155&lt;&gt;" ","O","N")</f>
        <v>N</v>
      </c>
      <c r="C120" t="s">
        <v>89</v>
      </c>
      <c r="D120" s="114">
        <v>0</v>
      </c>
      <c r="E120" s="114">
        <f>Test_Bible!Q155</f>
        <v>0</v>
      </c>
    </row>
    <row r="121" spans="1:13" x14ac:dyDescent="0.2">
      <c r="A121" t="s">
        <v>2182</v>
      </c>
      <c r="B121" t="str">
        <f>IF(Test_Bible!B156&lt;&gt;"","O","N")</f>
        <v>O</v>
      </c>
      <c r="C121" t="s">
        <v>199</v>
      </c>
      <c r="D121" s="114">
        <v>1</v>
      </c>
      <c r="E121" s="114">
        <f>Test_Bible!Q156</f>
        <v>1</v>
      </c>
      <c r="F121" s="72">
        <f>Test_Bible!V156</f>
        <v>1</v>
      </c>
    </row>
    <row r="122" spans="1:13" x14ac:dyDescent="0.2">
      <c r="A122" t="s">
        <v>2182</v>
      </c>
      <c r="B122" t="str">
        <f>IF(Test_Bible!B157&lt;&gt;"","O","N")</f>
        <v>O</v>
      </c>
      <c r="C122" t="s">
        <v>200</v>
      </c>
      <c r="D122" s="114">
        <v>1</v>
      </c>
      <c r="E122" s="114">
        <f>Test_Bible!Q157</f>
        <v>1</v>
      </c>
      <c r="F122" s="72">
        <f>Test_Bible!V157</f>
        <v>1</v>
      </c>
    </row>
    <row r="123" spans="1:13" ht="20" customHeight="1" x14ac:dyDescent="0.2">
      <c r="C123" s="1810"/>
      <c r="D123" s="1811"/>
      <c r="E123" s="1811"/>
      <c r="F123" s="1810"/>
      <c r="G123" s="1812">
        <f>Test_Bible!V159</f>
        <v>75</v>
      </c>
      <c r="H123" s="1812">
        <f>Test_Bible!X159</f>
        <v>0</v>
      </c>
      <c r="I123" s="1812">
        <f>Test_Bible!Y159</f>
        <v>31</v>
      </c>
      <c r="J123" s="1812">
        <f>Test_Bible!Z159</f>
        <v>62</v>
      </c>
      <c r="K123" s="1812">
        <f>Test_Bible!AA159</f>
        <v>124</v>
      </c>
      <c r="L123" s="1812">
        <f>Test_Bible!AB159</f>
        <v>217</v>
      </c>
      <c r="M123" s="1812">
        <f>Test_Bible!AC159</f>
        <v>310</v>
      </c>
    </row>
    <row r="147" spans="1:6" x14ac:dyDescent="0.2">
      <c r="A147" t="s">
        <v>2182</v>
      </c>
      <c r="B147" t="str">
        <f>IF(Test_Bible!B163&lt;&gt;"","O","N")</f>
        <v>O</v>
      </c>
      <c r="C147" t="s">
        <v>976</v>
      </c>
      <c r="D147" s="114">
        <v>2</v>
      </c>
      <c r="E147" s="114">
        <f>Test_Bible!Q163</f>
        <v>2</v>
      </c>
      <c r="F147" s="72">
        <f>Test_Bible!V163</f>
        <v>2</v>
      </c>
    </row>
    <row r="148" spans="1:6" x14ac:dyDescent="0.2">
      <c r="A148" t="s">
        <v>450</v>
      </c>
      <c r="B148" t="str">
        <f>IF(Test_Bible!B165&lt;&gt;"","O","N")</f>
        <v>O</v>
      </c>
      <c r="C148" t="s">
        <v>91</v>
      </c>
      <c r="D148" s="114">
        <v>7</v>
      </c>
      <c r="E148" s="114">
        <f>Test_Bible!Q165</f>
        <v>7</v>
      </c>
    </row>
    <row r="149" spans="1:6" x14ac:dyDescent="0.2">
      <c r="A149" t="s">
        <v>450</v>
      </c>
      <c r="B149" t="str">
        <f>IF(Test_Bible!B166&lt;&gt;"","O","N")</f>
        <v>O</v>
      </c>
      <c r="C149" t="s">
        <v>92</v>
      </c>
      <c r="D149" s="114">
        <v>5</v>
      </c>
      <c r="E149" s="114">
        <f>Test_Bible!Q166</f>
        <v>5</v>
      </c>
    </row>
    <row r="150" spans="1:6" x14ac:dyDescent="0.2">
      <c r="A150" t="s">
        <v>2179</v>
      </c>
      <c r="B150" t="str">
        <f>IF(Test_Bible!B167&lt;&gt;"","O","N")</f>
        <v>N</v>
      </c>
      <c r="C150" t="s">
        <v>93</v>
      </c>
      <c r="D150" s="5">
        <v>0</v>
      </c>
    </row>
    <row r="151" spans="1:6" x14ac:dyDescent="0.2">
      <c r="A151" t="s">
        <v>2182</v>
      </c>
      <c r="B151" t="str">
        <f>IF(Test_Bible!B170&lt;&gt;"","O","N")</f>
        <v>O</v>
      </c>
      <c r="C151" t="s">
        <v>95</v>
      </c>
      <c r="D151" s="114">
        <v>7</v>
      </c>
      <c r="E151" s="114">
        <f>Test_Bible!Q170</f>
        <v>14</v>
      </c>
      <c r="F151" s="72">
        <f>Test_Bible!V170</f>
        <v>14</v>
      </c>
    </row>
    <row r="152" spans="1:6" x14ac:dyDescent="0.2">
      <c r="A152" t="s">
        <v>2182</v>
      </c>
      <c r="B152" t="str">
        <f>IF(Test_Bible!B171&lt;&gt;"","O","N")</f>
        <v>O</v>
      </c>
      <c r="C152" t="s">
        <v>96</v>
      </c>
      <c r="D152" s="114">
        <v>1</v>
      </c>
      <c r="E152" s="114">
        <f>Test_Bible!Q171</f>
        <v>1</v>
      </c>
      <c r="F152" s="72">
        <f>Test_Bible!V171</f>
        <v>1</v>
      </c>
    </row>
    <row r="153" spans="1:6" x14ac:dyDescent="0.2">
      <c r="A153" t="s">
        <v>2182</v>
      </c>
      <c r="B153" t="str">
        <f>IF(Test_Bible!B172&lt;&gt;"","O","N")</f>
        <v>N</v>
      </c>
      <c r="C153" t="s">
        <v>503</v>
      </c>
      <c r="D153" s="114">
        <v>0</v>
      </c>
      <c r="E153" s="114">
        <f>Test_Bible!Q172</f>
        <v>0</v>
      </c>
    </row>
    <row r="154" spans="1:6" x14ac:dyDescent="0.2">
      <c r="A154" t="s">
        <v>2182</v>
      </c>
      <c r="B154" t="str">
        <f>IF(Test_Bible!B173&lt;&gt;"","O","N")</f>
        <v>O</v>
      </c>
      <c r="C154" t="s">
        <v>98</v>
      </c>
      <c r="D154" s="114">
        <v>1</v>
      </c>
      <c r="E154" s="114">
        <f>Test_Bible!Q173</f>
        <v>2</v>
      </c>
      <c r="F154" s="72">
        <f>Test_Bible!V173</f>
        <v>2</v>
      </c>
    </row>
    <row r="155" spans="1:6" x14ac:dyDescent="0.2">
      <c r="A155" t="s">
        <v>2182</v>
      </c>
      <c r="B155" t="str">
        <f>IF(Test_Bible!B174&lt;&gt;"","O","N")</f>
        <v>N</v>
      </c>
      <c r="C155" t="s">
        <v>99</v>
      </c>
      <c r="D155" s="114">
        <v>0</v>
      </c>
      <c r="E155" s="114">
        <f>Test_Bible!Q174</f>
        <v>0</v>
      </c>
    </row>
    <row r="156" spans="1:6" x14ac:dyDescent="0.2">
      <c r="A156" t="s">
        <v>2182</v>
      </c>
      <c r="B156" t="str">
        <f>IF(Test_Bible!B175&lt;&gt;"","O","N")</f>
        <v>O</v>
      </c>
      <c r="C156" t="s">
        <v>100</v>
      </c>
      <c r="D156" s="114">
        <v>7</v>
      </c>
      <c r="E156" s="114">
        <f>Test_Bible!Q175</f>
        <v>14</v>
      </c>
      <c r="F156" s="72">
        <f>Test_Bible!V175</f>
        <v>30</v>
      </c>
    </row>
    <row r="157" spans="1:6" x14ac:dyDescent="0.2">
      <c r="A157" t="s">
        <v>2182</v>
      </c>
      <c r="B157" t="str">
        <f>IF(Test_Bible!B176&lt;&gt;"","O","N")</f>
        <v>O</v>
      </c>
      <c r="C157" t="s">
        <v>101</v>
      </c>
      <c r="D157" s="114">
        <v>10</v>
      </c>
      <c r="E157" s="114">
        <f>Test_Bible!Q176</f>
        <v>30</v>
      </c>
    </row>
    <row r="158" spans="1:6" x14ac:dyDescent="0.2">
      <c r="A158" t="s">
        <v>2182</v>
      </c>
      <c r="B158" t="str">
        <f>IF(Test_Bible!B177&lt;&gt;"","O","N")</f>
        <v>O</v>
      </c>
      <c r="C158" t="s">
        <v>102</v>
      </c>
      <c r="D158" s="114">
        <v>1</v>
      </c>
      <c r="E158" s="114">
        <f>Test_Bible!Q177</f>
        <v>1</v>
      </c>
      <c r="F158" s="72">
        <f>Test_Bible!V177</f>
        <v>1</v>
      </c>
    </row>
    <row r="159" spans="1:6" x14ac:dyDescent="0.2">
      <c r="A159" t="s">
        <v>2182</v>
      </c>
      <c r="B159" t="str">
        <f>IF(Test_Bible!B178&lt;&gt;"","O","N")</f>
        <v>N</v>
      </c>
      <c r="C159" t="s">
        <v>504</v>
      </c>
      <c r="D159" s="114">
        <v>0</v>
      </c>
      <c r="E159" s="114">
        <f>Test_Bible!Q178</f>
        <v>0</v>
      </c>
    </row>
    <row r="160" spans="1:6" x14ac:dyDescent="0.2">
      <c r="A160" t="s">
        <v>2182</v>
      </c>
      <c r="B160" t="str">
        <f>IF(Test_Bible!B179&lt;&gt;"","O","N")</f>
        <v>N</v>
      </c>
      <c r="C160" t="s">
        <v>511</v>
      </c>
      <c r="D160" s="114">
        <v>0</v>
      </c>
      <c r="E160" s="114">
        <f>Test_Bible!Q179</f>
        <v>0</v>
      </c>
    </row>
    <row r="161" spans="1:6" x14ac:dyDescent="0.2">
      <c r="A161" t="s">
        <v>2182</v>
      </c>
      <c r="B161" t="str">
        <f>IF(Test_Bible!B180&lt;&gt;"","O","N")</f>
        <v>O</v>
      </c>
      <c r="C161" t="s">
        <v>103</v>
      </c>
      <c r="D161" s="114">
        <v>2</v>
      </c>
      <c r="E161" s="114">
        <f>Test_Bible!Q180</f>
        <v>2</v>
      </c>
      <c r="F161" s="72">
        <f>Test_Bible!V180</f>
        <v>2</v>
      </c>
    </row>
    <row r="162" spans="1:6" x14ac:dyDescent="0.2">
      <c r="A162" t="s">
        <v>2182</v>
      </c>
      <c r="B162" t="str">
        <f>IF(Test_Bible!B181&lt;&gt;"","O","N")</f>
        <v>N</v>
      </c>
      <c r="C162" t="s">
        <v>104</v>
      </c>
      <c r="D162" s="114">
        <v>0</v>
      </c>
      <c r="E162" s="114">
        <f>Test_Bible!Q181</f>
        <v>0</v>
      </c>
    </row>
    <row r="163" spans="1:6" x14ac:dyDescent="0.2">
      <c r="A163" t="s">
        <v>2182</v>
      </c>
      <c r="B163" t="str">
        <f>IF(Test_Bible!B182&lt;&gt;"","O","N")</f>
        <v>O</v>
      </c>
      <c r="C163" t="s">
        <v>106</v>
      </c>
      <c r="D163" s="114">
        <v>7</v>
      </c>
      <c r="E163" s="114">
        <f>Test_Bible!Q182</f>
        <v>7</v>
      </c>
      <c r="F163" s="72">
        <f>Test_Bible!V182</f>
        <v>7</v>
      </c>
    </row>
    <row r="164" spans="1:6" x14ac:dyDescent="0.2">
      <c r="A164" t="s">
        <v>2182</v>
      </c>
      <c r="B164" t="str">
        <f>IF(Test_Bible!B183&lt;&gt;"","O","N")</f>
        <v>O</v>
      </c>
      <c r="C164" t="s">
        <v>107</v>
      </c>
      <c r="D164" s="114">
        <v>1</v>
      </c>
      <c r="E164" s="114">
        <f>Test_Bible!Q183</f>
        <v>3</v>
      </c>
      <c r="F164" s="72">
        <f>Test_Bible!V183</f>
        <v>3</v>
      </c>
    </row>
    <row r="165" spans="1:6" x14ac:dyDescent="0.2">
      <c r="A165" t="s">
        <v>2182</v>
      </c>
      <c r="B165" t="str">
        <f>IF(Test_Bible!B184&lt;&gt;"","O","N")</f>
        <v>N</v>
      </c>
      <c r="C165" t="s">
        <v>849</v>
      </c>
      <c r="D165" s="114">
        <v>0</v>
      </c>
      <c r="E165" s="114">
        <f>Test_Bible!Q184</f>
        <v>0</v>
      </c>
    </row>
    <row r="166" spans="1:6" x14ac:dyDescent="0.2">
      <c r="A166" t="s">
        <v>2182</v>
      </c>
      <c r="B166" t="str">
        <f>IF(Test_Bible!B185&lt;&gt;"","O","N")</f>
        <v>O</v>
      </c>
      <c r="C166" t="s">
        <v>108</v>
      </c>
      <c r="D166" s="114">
        <v>2</v>
      </c>
      <c r="E166" s="114">
        <f>Test_Bible!Q185</f>
        <v>2</v>
      </c>
      <c r="F166" s="72">
        <f>Test_Bible!V185</f>
        <v>2</v>
      </c>
    </row>
    <row r="167" spans="1:6" x14ac:dyDescent="0.2">
      <c r="A167" t="s">
        <v>2182</v>
      </c>
      <c r="B167" t="str">
        <f>IF(Test_Bible!B186&lt;&gt;"","O","N")</f>
        <v>O</v>
      </c>
      <c r="C167" t="s">
        <v>109</v>
      </c>
      <c r="D167" s="114">
        <v>7</v>
      </c>
      <c r="E167" s="114">
        <f>Test_Bible!Q186</f>
        <v>7</v>
      </c>
      <c r="F167" s="72">
        <f>Test_Bible!V186</f>
        <v>20</v>
      </c>
    </row>
    <row r="168" spans="1:6" x14ac:dyDescent="0.2">
      <c r="A168" t="s">
        <v>2182</v>
      </c>
      <c r="B168" t="str">
        <f>IF(Test_Bible!B187&lt;&gt;"","O","N")</f>
        <v>O</v>
      </c>
      <c r="C168" t="s">
        <v>110</v>
      </c>
      <c r="D168" s="114">
        <v>2</v>
      </c>
      <c r="E168" s="114">
        <f>Test_Bible!Q187</f>
        <v>6</v>
      </c>
    </row>
    <row r="169" spans="1:6" x14ac:dyDescent="0.2">
      <c r="A169" t="s">
        <v>2182</v>
      </c>
      <c r="B169" t="str">
        <f>IF(Test_Bible!B188&lt;&gt;"","O","N")</f>
        <v>O</v>
      </c>
      <c r="C169" t="s">
        <v>111</v>
      </c>
      <c r="D169" s="114">
        <v>0</v>
      </c>
      <c r="E169" s="114">
        <f>Test_Bible!Q188</f>
        <v>0</v>
      </c>
    </row>
    <row r="170" spans="1:6" x14ac:dyDescent="0.2">
      <c r="A170" t="s">
        <v>2182</v>
      </c>
      <c r="B170" t="str">
        <f>IF(Test_Bible!B189&lt;&gt;"","O","N")</f>
        <v>O</v>
      </c>
      <c r="C170" t="s">
        <v>112</v>
      </c>
      <c r="D170" s="114">
        <v>7</v>
      </c>
      <c r="E170" s="114">
        <f>Test_Bible!Q189</f>
        <v>14</v>
      </c>
    </row>
    <row r="171" spans="1:6" x14ac:dyDescent="0.2">
      <c r="A171" t="s">
        <v>2182</v>
      </c>
      <c r="B171" t="str">
        <f>IF(Test_Bible!B190&lt;&gt;"","O","N")</f>
        <v>O</v>
      </c>
      <c r="C171" t="s">
        <v>113</v>
      </c>
      <c r="D171" s="114">
        <v>7</v>
      </c>
      <c r="E171" s="114">
        <f>Test_Bible!Q190</f>
        <v>7</v>
      </c>
      <c r="F171" s="72">
        <f>Test_Bible!V190</f>
        <v>7</v>
      </c>
    </row>
    <row r="172" spans="1:6" x14ac:dyDescent="0.2">
      <c r="A172" t="s">
        <v>2182</v>
      </c>
      <c r="B172" t="str">
        <f>IF(Test_Bible!B191&lt;&gt;"","O","N")</f>
        <v>O</v>
      </c>
      <c r="C172" t="s">
        <v>114</v>
      </c>
      <c r="D172" s="114">
        <v>1</v>
      </c>
      <c r="E172" s="114">
        <f>Test_Bible!Q191</f>
        <v>2</v>
      </c>
      <c r="F172" s="72">
        <f>Test_Bible!V191</f>
        <v>2</v>
      </c>
    </row>
    <row r="173" spans="1:6" x14ac:dyDescent="0.2">
      <c r="A173" t="s">
        <v>2182</v>
      </c>
      <c r="B173" t="str">
        <f>IF(Test_Bible!B192&lt;&gt;"","O","N")</f>
        <v>N</v>
      </c>
      <c r="C173" t="s">
        <v>115</v>
      </c>
      <c r="D173" s="114">
        <v>0</v>
      </c>
      <c r="E173" s="114">
        <f>Test_Bible!Q192</f>
        <v>0</v>
      </c>
    </row>
    <row r="174" spans="1:6" x14ac:dyDescent="0.2">
      <c r="A174" t="s">
        <v>2182</v>
      </c>
      <c r="B174" t="str">
        <f>IF(Test_Bible!B193&lt;&gt;"","O","N")</f>
        <v>O</v>
      </c>
      <c r="C174" t="s">
        <v>116</v>
      </c>
      <c r="D174" s="114">
        <v>1</v>
      </c>
      <c r="E174" s="114">
        <f>Test_Bible!Q193</f>
        <v>2</v>
      </c>
      <c r="F174" s="72">
        <f>Test_Bible!V193</f>
        <v>2</v>
      </c>
    </row>
    <row r="175" spans="1:6" x14ac:dyDescent="0.2">
      <c r="A175" t="s">
        <v>2182</v>
      </c>
      <c r="B175" t="str">
        <f>IF(Test_Bible!B194&lt;&gt;"","O","N")</f>
        <v>N</v>
      </c>
      <c r="C175" t="s">
        <v>117</v>
      </c>
      <c r="D175" s="114">
        <v>0</v>
      </c>
      <c r="E175" s="114">
        <f>Test_Bible!Q194</f>
        <v>0</v>
      </c>
    </row>
    <row r="176" spans="1:6" x14ac:dyDescent="0.2">
      <c r="A176" t="s">
        <v>2182</v>
      </c>
      <c r="B176" t="str">
        <f>IF(Test_Bible!B195&lt;&gt;"","O","N")</f>
        <v>N</v>
      </c>
      <c r="C176" t="s">
        <v>118</v>
      </c>
      <c r="D176" s="114">
        <v>0</v>
      </c>
      <c r="E176" s="114">
        <f>Test_Bible!Q195</f>
        <v>0</v>
      </c>
    </row>
    <row r="177" spans="1:6" x14ac:dyDescent="0.2">
      <c r="A177" t="s">
        <v>2182</v>
      </c>
      <c r="B177" t="str">
        <f>IF(Test_Bible!B196&lt;&gt;"","O","N")</f>
        <v>N</v>
      </c>
      <c r="C177" t="s">
        <v>119</v>
      </c>
      <c r="D177" s="114">
        <v>0</v>
      </c>
      <c r="E177" s="114">
        <f>Test_Bible!Q196</f>
        <v>0</v>
      </c>
    </row>
    <row r="178" spans="1:6" x14ac:dyDescent="0.2">
      <c r="A178" t="s">
        <v>2182</v>
      </c>
      <c r="B178" t="str">
        <f>IF(Test_Bible!B197&lt;&gt;" ","O","N")</f>
        <v>O</v>
      </c>
      <c r="C178" t="s">
        <v>120</v>
      </c>
      <c r="D178" s="114">
        <v>4</v>
      </c>
      <c r="E178" s="114">
        <f>Test_Bible!Q197</f>
        <v>4</v>
      </c>
      <c r="F178" s="72">
        <f>Test_Bible!V197</f>
        <v>4</v>
      </c>
    </row>
    <row r="179" spans="1:6" x14ac:dyDescent="0.2">
      <c r="A179" t="s">
        <v>2182</v>
      </c>
      <c r="B179" t="str">
        <f>IF(Test_Bible!B198&lt;&gt;" ","O","N")</f>
        <v>O</v>
      </c>
      <c r="C179" t="s">
        <v>121</v>
      </c>
      <c r="D179" s="114">
        <v>7</v>
      </c>
      <c r="E179" s="114">
        <f>Test_Bible!Q198</f>
        <v>21</v>
      </c>
      <c r="F179" s="72">
        <f>Test_Bible!V198</f>
        <v>21</v>
      </c>
    </row>
    <row r="180" spans="1:6" x14ac:dyDescent="0.2">
      <c r="A180" t="s">
        <v>2182</v>
      </c>
      <c r="B180" t="str">
        <f>IF(Test_Bible!B199&lt;&gt;" ","O","N")</f>
        <v>O</v>
      </c>
      <c r="C180" t="s">
        <v>123</v>
      </c>
      <c r="D180" s="114">
        <v>2</v>
      </c>
      <c r="E180" s="114">
        <f>Test_Bible!Q199</f>
        <v>4</v>
      </c>
      <c r="F180" s="72">
        <f>Test_Bible!V199</f>
        <v>4</v>
      </c>
    </row>
    <row r="181" spans="1:6" x14ac:dyDescent="0.2">
      <c r="A181" t="s">
        <v>2182</v>
      </c>
      <c r="B181" t="str">
        <f>IF(Test_Bible!B200&lt;&gt;"","O","N")</f>
        <v>N</v>
      </c>
      <c r="C181" t="s">
        <v>124</v>
      </c>
      <c r="D181" s="114">
        <v>0</v>
      </c>
      <c r="E181" s="114">
        <f>Test_Bible!Q200</f>
        <v>0</v>
      </c>
    </row>
    <row r="182" spans="1:6" x14ac:dyDescent="0.2">
      <c r="A182" t="s">
        <v>2182</v>
      </c>
      <c r="B182" t="str">
        <f>IF(Test_Bible!B201&lt;&gt;" ","O","N")</f>
        <v>O</v>
      </c>
      <c r="C182" t="s">
        <v>125</v>
      </c>
      <c r="D182" s="114">
        <v>1</v>
      </c>
      <c r="E182" s="114">
        <f>Test_Bible!Q201</f>
        <v>1</v>
      </c>
      <c r="F182" s="72">
        <f>Test_Bible!V201</f>
        <v>1</v>
      </c>
    </row>
    <row r="183" spans="1:6" x14ac:dyDescent="0.2">
      <c r="A183" t="s">
        <v>2182</v>
      </c>
      <c r="B183" t="str">
        <f>IF(Test_Bible!B202&lt;&gt;"","O","N")</f>
        <v>N</v>
      </c>
      <c r="C183" t="s">
        <v>126</v>
      </c>
      <c r="D183" s="114">
        <v>0</v>
      </c>
      <c r="E183" s="114">
        <f>Test_Bible!Q202</f>
        <v>0</v>
      </c>
    </row>
    <row r="184" spans="1:6" x14ac:dyDescent="0.2">
      <c r="A184" t="s">
        <v>2182</v>
      </c>
      <c r="B184" t="str">
        <f>IF(Test_Bible!B203&lt;&gt;"","O","N")</f>
        <v>N</v>
      </c>
      <c r="C184" t="s">
        <v>1460</v>
      </c>
      <c r="D184" s="114">
        <v>0</v>
      </c>
      <c r="E184" s="114">
        <f>Test_Bible!Q203</f>
        <v>0</v>
      </c>
    </row>
    <row r="185" spans="1:6" x14ac:dyDescent="0.2">
      <c r="A185" t="s">
        <v>2182</v>
      </c>
      <c r="B185" t="str">
        <f>IF(Test_Bible!B204&lt;&gt;"","O","N")</f>
        <v>N</v>
      </c>
      <c r="C185" t="s">
        <v>1461</v>
      </c>
      <c r="D185" s="114">
        <v>0</v>
      </c>
      <c r="E185" s="114">
        <f>Test_Bible!Q204</f>
        <v>0</v>
      </c>
    </row>
    <row r="186" spans="1:6" x14ac:dyDescent="0.2">
      <c r="A186" t="s">
        <v>2182</v>
      </c>
      <c r="B186" t="str">
        <f>IF(Test_Bible!B205&lt;&gt;" ","O","N")</f>
        <v>O</v>
      </c>
      <c r="C186" t="s">
        <v>127</v>
      </c>
      <c r="D186" s="114">
        <v>4</v>
      </c>
      <c r="E186" s="114">
        <f>Test_Bible!Q205</f>
        <v>4</v>
      </c>
      <c r="F186" s="72">
        <f>Test_Bible!V205</f>
        <v>4</v>
      </c>
    </row>
    <row r="187" spans="1:6" x14ac:dyDescent="0.2">
      <c r="A187" t="s">
        <v>2182</v>
      </c>
      <c r="B187" t="str">
        <f>IF(Test_Bible!B206&lt;&gt;" ","O","N")</f>
        <v>O</v>
      </c>
      <c r="C187" t="s">
        <v>1363</v>
      </c>
      <c r="D187" s="114">
        <v>10</v>
      </c>
      <c r="E187" s="114">
        <f>Test_Bible!Q206</f>
        <v>20</v>
      </c>
      <c r="F187" s="72">
        <f>Test_Bible!V206</f>
        <v>20</v>
      </c>
    </row>
    <row r="188" spans="1:6" x14ac:dyDescent="0.2">
      <c r="A188" t="s">
        <v>2182</v>
      </c>
      <c r="B188" t="str">
        <f>IF(Test_Bible!B207&lt;&gt;" ","O","N")</f>
        <v>O</v>
      </c>
      <c r="C188" t="s">
        <v>128</v>
      </c>
      <c r="D188" s="114">
        <v>2</v>
      </c>
      <c r="E188" s="114">
        <f>Test_Bible!Q207</f>
        <v>2</v>
      </c>
      <c r="F188" s="72">
        <f>Test_Bible!V207</f>
        <v>2</v>
      </c>
    </row>
    <row r="189" spans="1:6" x14ac:dyDescent="0.2">
      <c r="A189" t="s">
        <v>2182</v>
      </c>
      <c r="B189" t="str">
        <f>IF(Test_Bible!B208&lt;&gt;" ","O","N")</f>
        <v>O</v>
      </c>
      <c r="C189" t="s">
        <v>129</v>
      </c>
      <c r="D189" s="114">
        <v>2</v>
      </c>
      <c r="E189" s="114">
        <f>Test_Bible!Q208</f>
        <v>2</v>
      </c>
      <c r="F189" s="72">
        <f>Test_Bible!V208</f>
        <v>2</v>
      </c>
    </row>
    <row r="190" spans="1:6" x14ac:dyDescent="0.2">
      <c r="A190" t="s">
        <v>2182</v>
      </c>
      <c r="B190" t="str">
        <f>IF(Test_Bible!B209&lt;&gt;"","O","N")</f>
        <v>N</v>
      </c>
      <c r="C190" t="s">
        <v>1438</v>
      </c>
      <c r="D190" s="114">
        <v>0</v>
      </c>
      <c r="E190" s="114">
        <f>Test_Bible!Q209</f>
        <v>0</v>
      </c>
    </row>
    <row r="191" spans="1:6" x14ac:dyDescent="0.2">
      <c r="A191" t="s">
        <v>2182</v>
      </c>
      <c r="B191" t="str">
        <f>IF(Test_Bible!B210&lt;&gt;" ","O","N")</f>
        <v>O</v>
      </c>
      <c r="C191" t="s">
        <v>130</v>
      </c>
      <c r="D191" s="114">
        <v>7</v>
      </c>
      <c r="E191" s="114">
        <f>Test_Bible!Q210</f>
        <v>21</v>
      </c>
      <c r="F191" s="72">
        <f>Test_Bible!V210</f>
        <v>21</v>
      </c>
    </row>
    <row r="192" spans="1:6" x14ac:dyDescent="0.2">
      <c r="A192" t="s">
        <v>2182</v>
      </c>
      <c r="B192" t="str">
        <f>IF(Test_Bible!B211&lt;&gt;" ","O","N")</f>
        <v>O</v>
      </c>
      <c r="C192" t="s">
        <v>131</v>
      </c>
      <c r="D192" s="114">
        <v>4</v>
      </c>
      <c r="E192" s="114">
        <f>Test_Bible!Q211</f>
        <v>4</v>
      </c>
      <c r="F192" s="72">
        <f>Test_Bible!V211</f>
        <v>4</v>
      </c>
    </row>
    <row r="193" spans="1:6" x14ac:dyDescent="0.2">
      <c r="A193" t="s">
        <v>2179</v>
      </c>
      <c r="B193" t="str">
        <f>IF(Test_Bible!B212&lt;&gt;"","O","N")</f>
        <v>O</v>
      </c>
      <c r="C193" t="s">
        <v>132</v>
      </c>
      <c r="D193" s="114">
        <v>1</v>
      </c>
      <c r="E193" s="114"/>
    </row>
    <row r="194" spans="1:6" x14ac:dyDescent="0.2">
      <c r="A194" t="s">
        <v>2182</v>
      </c>
      <c r="B194" t="str">
        <f>IF(Test_Bible!B216&lt;&gt;" ","O","N")</f>
        <v>O</v>
      </c>
      <c r="C194" t="s">
        <v>134</v>
      </c>
      <c r="D194" s="114">
        <v>1</v>
      </c>
      <c r="E194" s="114">
        <f>Test_Bible!Q216</f>
        <v>2</v>
      </c>
      <c r="F194" s="72">
        <f>Test_Bible!V216</f>
        <v>2</v>
      </c>
    </row>
    <row r="195" spans="1:6" x14ac:dyDescent="0.2">
      <c r="A195" t="s">
        <v>2182</v>
      </c>
      <c r="B195" t="str">
        <f>IF(Test_Bible!B217&lt;&gt;"","O","N")</f>
        <v>N</v>
      </c>
      <c r="C195" t="s">
        <v>135</v>
      </c>
      <c r="D195" s="114">
        <v>0</v>
      </c>
      <c r="E195" s="114">
        <f>Test_Bible!Q217</f>
        <v>0</v>
      </c>
      <c r="F195" s="72">
        <f>Test_Bible!V217</f>
        <v>0</v>
      </c>
    </row>
    <row r="196" spans="1:6" x14ac:dyDescent="0.2">
      <c r="A196" t="s">
        <v>2182</v>
      </c>
      <c r="B196" t="str">
        <f>IF(Test_Bible!B218&lt;&gt;"","O","N")</f>
        <v>O</v>
      </c>
      <c r="C196" t="s">
        <v>136</v>
      </c>
      <c r="D196" s="114">
        <v>4</v>
      </c>
      <c r="E196" s="114">
        <f>Test_Bible!Q218</f>
        <v>8</v>
      </c>
      <c r="F196" s="72">
        <f>Test_Bible!V218</f>
        <v>12</v>
      </c>
    </row>
    <row r="197" spans="1:6" x14ac:dyDescent="0.2">
      <c r="A197" t="s">
        <v>2182</v>
      </c>
      <c r="B197" t="str">
        <f>IF(Test_Bible!B219&lt;&gt;"","O","N")</f>
        <v>O</v>
      </c>
      <c r="C197" t="s">
        <v>137</v>
      </c>
      <c r="D197" s="114">
        <v>4</v>
      </c>
      <c r="E197" s="114">
        <f>Test_Bible!Q219</f>
        <v>12</v>
      </c>
    </row>
    <row r="198" spans="1:6" x14ac:dyDescent="0.2">
      <c r="A198" t="s">
        <v>2182</v>
      </c>
      <c r="B198" t="str">
        <f>IF(Test_Bible!B220&lt;&gt;"","O","N")</f>
        <v>N</v>
      </c>
      <c r="C198" t="s">
        <v>1300</v>
      </c>
      <c r="D198" s="114">
        <v>0</v>
      </c>
      <c r="E198" s="114">
        <f>Test_Bible!Q220</f>
        <v>0</v>
      </c>
      <c r="F198" s="72">
        <f>Test_Bible!V220</f>
        <v>0</v>
      </c>
    </row>
    <row r="199" spans="1:6" x14ac:dyDescent="0.2">
      <c r="A199" t="s">
        <v>2182</v>
      </c>
      <c r="B199" t="str">
        <f>IF(Test_Bible!B221&lt;&gt;"","O","N")</f>
        <v>O</v>
      </c>
      <c r="C199" t="s">
        <v>138</v>
      </c>
      <c r="D199" s="114">
        <v>1</v>
      </c>
      <c r="E199" s="114">
        <f>Test_Bible!Q221</f>
        <v>3</v>
      </c>
      <c r="F199" s="72">
        <f>Test_Bible!V221</f>
        <v>3</v>
      </c>
    </row>
    <row r="200" spans="1:6" x14ac:dyDescent="0.2">
      <c r="A200" t="s">
        <v>2183</v>
      </c>
      <c r="B200" t="str">
        <f>IF(Test_Bible!B223&lt;&gt;"","O","N")</f>
        <v>N</v>
      </c>
      <c r="C200" s="59" t="s">
        <v>139</v>
      </c>
      <c r="D200" s="114">
        <v>0</v>
      </c>
      <c r="E200" s="114">
        <f>Test_Bible!P222</f>
        <v>0</v>
      </c>
    </row>
    <row r="201" spans="1:6" x14ac:dyDescent="0.2">
      <c r="A201" t="s">
        <v>2183</v>
      </c>
      <c r="B201" t="str">
        <f>B200</f>
        <v>N</v>
      </c>
      <c r="C201" s="59" t="s">
        <v>139</v>
      </c>
      <c r="D201" s="114">
        <v>0</v>
      </c>
      <c r="E201" s="114"/>
    </row>
    <row r="202" spans="1:6" x14ac:dyDescent="0.2">
      <c r="A202" t="s">
        <v>2183</v>
      </c>
      <c r="B202" t="str">
        <f t="shared" ref="B202:B205" si="5">B201</f>
        <v>N</v>
      </c>
      <c r="C202" s="59" t="s">
        <v>139</v>
      </c>
      <c r="D202" s="114">
        <v>0</v>
      </c>
      <c r="E202" s="114"/>
    </row>
    <row r="203" spans="1:6" x14ac:dyDescent="0.2">
      <c r="A203" t="s">
        <v>2183</v>
      </c>
      <c r="B203" t="str">
        <f t="shared" si="5"/>
        <v>N</v>
      </c>
      <c r="C203" s="59" t="s">
        <v>139</v>
      </c>
      <c r="D203" s="114">
        <v>0</v>
      </c>
      <c r="E203" s="114"/>
    </row>
    <row r="204" spans="1:6" x14ac:dyDescent="0.2">
      <c r="A204" t="s">
        <v>2183</v>
      </c>
      <c r="B204" t="str">
        <f t="shared" si="5"/>
        <v>N</v>
      </c>
      <c r="C204" s="59" t="s">
        <v>139</v>
      </c>
      <c r="D204" s="114">
        <v>0</v>
      </c>
      <c r="E204" s="114"/>
    </row>
    <row r="205" spans="1:6" x14ac:dyDescent="0.2">
      <c r="A205" t="s">
        <v>2183</v>
      </c>
      <c r="B205" t="str">
        <f t="shared" si="5"/>
        <v>N</v>
      </c>
      <c r="C205" s="59" t="s">
        <v>139</v>
      </c>
      <c r="D205" s="114">
        <v>0</v>
      </c>
      <c r="E205" s="114"/>
    </row>
    <row r="206" spans="1:6" x14ac:dyDescent="0.2">
      <c r="A206" t="s">
        <v>2183</v>
      </c>
      <c r="B206" t="str">
        <f>IF(Test_Bible!B231&lt;&gt;"","O","N")</f>
        <v>N</v>
      </c>
      <c r="C206" t="s">
        <v>1491</v>
      </c>
      <c r="D206" s="114">
        <v>0</v>
      </c>
      <c r="E206" s="114"/>
    </row>
    <row r="207" spans="1:6" x14ac:dyDescent="0.2">
      <c r="A207" t="s">
        <v>2182</v>
      </c>
      <c r="B207" t="str">
        <f>IF(Test_Bible!B234&lt;&gt;"","O","N")</f>
        <v>O</v>
      </c>
      <c r="C207" t="s">
        <v>141</v>
      </c>
      <c r="D207" s="114">
        <v>0</v>
      </c>
      <c r="E207" s="114">
        <f>Test_Bible!Q234</f>
        <v>0</v>
      </c>
      <c r="F207" s="72">
        <f>Test_Bible!V234</f>
        <v>0</v>
      </c>
    </row>
    <row r="208" spans="1:6" x14ac:dyDescent="0.2">
      <c r="A208" t="s">
        <v>2182</v>
      </c>
      <c r="B208" t="str">
        <f>IF(Test_Bible!B235&lt;&gt;"","O","N")</f>
        <v>N</v>
      </c>
      <c r="C208" t="s">
        <v>142</v>
      </c>
      <c r="D208" s="114">
        <v>0</v>
      </c>
      <c r="E208" s="114">
        <f>Test_Bible!Q235</f>
        <v>0</v>
      </c>
    </row>
    <row r="209" spans="1:6" x14ac:dyDescent="0.2">
      <c r="A209" t="s">
        <v>2182</v>
      </c>
      <c r="B209" t="str">
        <f>IF(Test_Bible!B236&lt;&gt;"","O","N")</f>
        <v>N</v>
      </c>
      <c r="C209" t="s">
        <v>143</v>
      </c>
      <c r="D209" s="114">
        <v>0</v>
      </c>
      <c r="E209" s="114">
        <f>Test_Bible!Q236</f>
        <v>0</v>
      </c>
    </row>
    <row r="210" spans="1:6" x14ac:dyDescent="0.2">
      <c r="A210" t="s">
        <v>2183</v>
      </c>
      <c r="B210" t="str">
        <f>IF(Test_Bible!B238&lt;&gt;"","O","N")</f>
        <v>N</v>
      </c>
      <c r="C210" s="59" t="s">
        <v>708</v>
      </c>
      <c r="D210" s="114">
        <v>0</v>
      </c>
      <c r="E210" s="114">
        <f>Test_Bible!P237</f>
        <v>0</v>
      </c>
    </row>
    <row r="211" spans="1:6" x14ac:dyDescent="0.2">
      <c r="A211" t="s">
        <v>2183</v>
      </c>
      <c r="B211" t="str">
        <f>B210</f>
        <v>N</v>
      </c>
      <c r="C211" s="59" t="s">
        <v>708</v>
      </c>
      <c r="D211" s="114">
        <v>0</v>
      </c>
      <c r="E211" s="114"/>
    </row>
    <row r="212" spans="1:6" x14ac:dyDescent="0.2">
      <c r="A212" t="s">
        <v>2183</v>
      </c>
      <c r="B212" t="str">
        <f t="shared" ref="B212:B213" si="6">B211</f>
        <v>N</v>
      </c>
      <c r="C212" s="59" t="s">
        <v>708</v>
      </c>
      <c r="D212" s="114">
        <v>0</v>
      </c>
      <c r="E212" s="114"/>
    </row>
    <row r="213" spans="1:6" x14ac:dyDescent="0.2">
      <c r="A213" t="s">
        <v>2183</v>
      </c>
      <c r="B213" t="str">
        <f t="shared" si="6"/>
        <v>N</v>
      </c>
      <c r="C213" s="59" t="s">
        <v>708</v>
      </c>
      <c r="D213" s="114">
        <v>0</v>
      </c>
      <c r="E213" s="114"/>
    </row>
    <row r="214" spans="1:6" x14ac:dyDescent="0.2">
      <c r="A214" t="s">
        <v>2182</v>
      </c>
      <c r="B214" t="str">
        <f>IF(Test_Bible!B243&lt;&gt;"","O","N")</f>
        <v>O</v>
      </c>
      <c r="C214" t="s">
        <v>144</v>
      </c>
      <c r="D214" s="114">
        <v>7</v>
      </c>
      <c r="E214" s="114">
        <f>Test_Bible!Q243</f>
        <v>7</v>
      </c>
      <c r="F214" s="72">
        <f>Test_Bible!V243</f>
        <v>8</v>
      </c>
    </row>
    <row r="215" spans="1:6" x14ac:dyDescent="0.2">
      <c r="A215" t="s">
        <v>2182</v>
      </c>
      <c r="B215" t="str">
        <f>IF(Test_Bible!B244&lt;&gt;"","O","N")</f>
        <v>O</v>
      </c>
      <c r="C215" t="s">
        <v>145</v>
      </c>
      <c r="D215" s="114">
        <v>4</v>
      </c>
      <c r="E215" s="114">
        <f>Test_Bible!Q244</f>
        <v>8</v>
      </c>
    </row>
    <row r="216" spans="1:6" x14ac:dyDescent="0.2">
      <c r="A216" t="s">
        <v>2182</v>
      </c>
      <c r="B216" t="str">
        <f>IF(Test_Bible!B245&lt;&gt;"","O","N")</f>
        <v>O</v>
      </c>
      <c r="C216" t="s">
        <v>146</v>
      </c>
      <c r="D216" s="114">
        <v>2</v>
      </c>
      <c r="E216" s="114">
        <f>Test_Bible!Q245</f>
        <v>4</v>
      </c>
    </row>
    <row r="217" spans="1:6" x14ac:dyDescent="0.2">
      <c r="A217" t="s">
        <v>2182</v>
      </c>
      <c r="B217" t="str">
        <f>IF(Test_Bible!B246&lt;&gt;"","O","N")</f>
        <v>O</v>
      </c>
      <c r="C217" t="s">
        <v>147</v>
      </c>
      <c r="D217" s="114">
        <v>7</v>
      </c>
      <c r="E217" s="114">
        <f>Test_Bible!Q246</f>
        <v>14</v>
      </c>
      <c r="F217" s="72">
        <f>Test_Bible!V246</f>
        <v>14</v>
      </c>
    </row>
    <row r="218" spans="1:6" x14ac:dyDescent="0.2">
      <c r="A218" t="s">
        <v>2182</v>
      </c>
      <c r="B218" t="str">
        <f>IF(Test_Bible!B247&lt;&gt;"","O","N")</f>
        <v>O</v>
      </c>
      <c r="C218" t="s">
        <v>148</v>
      </c>
      <c r="D218" s="114">
        <v>4</v>
      </c>
      <c r="E218" s="114">
        <f>Test_Bible!Q247</f>
        <v>8</v>
      </c>
      <c r="F218" s="72">
        <f>Test_Bible!V247</f>
        <v>8</v>
      </c>
    </row>
    <row r="219" spans="1:6" x14ac:dyDescent="0.2">
      <c r="A219" t="s">
        <v>2182</v>
      </c>
      <c r="B219" t="str">
        <f>IF(Test_Bible!B248&lt;&gt;"","O","N")</f>
        <v>O</v>
      </c>
      <c r="C219" t="s">
        <v>150</v>
      </c>
      <c r="D219" s="114">
        <v>7</v>
      </c>
      <c r="E219" s="114">
        <f>Test_Bible!Q248</f>
        <v>21</v>
      </c>
      <c r="F219" s="72">
        <f>Test_Bible!V248</f>
        <v>21</v>
      </c>
    </row>
    <row r="220" spans="1:6" x14ac:dyDescent="0.2">
      <c r="A220" t="s">
        <v>2182</v>
      </c>
      <c r="B220" t="str">
        <f>IF(Test_Bible!B249&lt;&gt;"","O","N")</f>
        <v>N</v>
      </c>
      <c r="C220" t="s">
        <v>151</v>
      </c>
      <c r="D220" s="114">
        <v>0</v>
      </c>
      <c r="E220" s="114">
        <f>Test_Bible!Q249</f>
        <v>0</v>
      </c>
      <c r="F220" s="72">
        <f>Test_Bible!V249</f>
        <v>0</v>
      </c>
    </row>
    <row r="221" spans="1:6" x14ac:dyDescent="0.2">
      <c r="A221" t="s">
        <v>2182</v>
      </c>
      <c r="B221" t="str">
        <f>IF(Test_Bible!B250&lt;&gt;"","O","N")</f>
        <v>N</v>
      </c>
      <c r="C221" t="s">
        <v>152</v>
      </c>
      <c r="D221" s="114">
        <v>0</v>
      </c>
      <c r="E221" s="114">
        <f>Test_Bible!Q250</f>
        <v>0</v>
      </c>
      <c r="F221" s="72">
        <f>Test_Bible!V250</f>
        <v>0</v>
      </c>
    </row>
    <row r="222" spans="1:6" x14ac:dyDescent="0.2">
      <c r="A222" t="s">
        <v>2183</v>
      </c>
      <c r="B222" t="str">
        <f>IF(Test_Bible!B252&lt;&gt;"","O","N")</f>
        <v>N</v>
      </c>
      <c r="C222" s="59" t="s">
        <v>153</v>
      </c>
      <c r="D222" s="114">
        <v>0</v>
      </c>
      <c r="E222" s="114">
        <f>Test_Bible!P251</f>
        <v>0</v>
      </c>
      <c r="F222" s="72"/>
    </row>
    <row r="223" spans="1:6" x14ac:dyDescent="0.2">
      <c r="A223" t="s">
        <v>2183</v>
      </c>
      <c r="B223" t="str">
        <f>B222</f>
        <v>N</v>
      </c>
      <c r="C223" s="59" t="s">
        <v>153</v>
      </c>
      <c r="D223" s="114">
        <v>0</v>
      </c>
    </row>
    <row r="224" spans="1:6" x14ac:dyDescent="0.2">
      <c r="A224" t="s">
        <v>2183</v>
      </c>
      <c r="B224" t="str">
        <f t="shared" ref="B224:B227" si="7">B223</f>
        <v>N</v>
      </c>
      <c r="C224" s="59" t="s">
        <v>153</v>
      </c>
      <c r="D224" s="114">
        <v>0</v>
      </c>
    </row>
    <row r="225" spans="1:13" x14ac:dyDescent="0.2">
      <c r="A225" t="s">
        <v>2183</v>
      </c>
      <c r="B225" t="str">
        <f t="shared" si="7"/>
        <v>N</v>
      </c>
      <c r="C225" s="59" t="s">
        <v>153</v>
      </c>
      <c r="D225" s="114">
        <v>0</v>
      </c>
    </row>
    <row r="226" spans="1:13" x14ac:dyDescent="0.2">
      <c r="A226" t="s">
        <v>2183</v>
      </c>
      <c r="B226" t="str">
        <f t="shared" si="7"/>
        <v>N</v>
      </c>
      <c r="C226" s="59" t="s">
        <v>153</v>
      </c>
      <c r="D226" s="114">
        <v>0</v>
      </c>
    </row>
    <row r="227" spans="1:13" x14ac:dyDescent="0.2">
      <c r="A227" t="s">
        <v>2183</v>
      </c>
      <c r="B227" t="str">
        <f t="shared" si="7"/>
        <v>N</v>
      </c>
      <c r="C227" s="59" t="s">
        <v>153</v>
      </c>
      <c r="D227" s="114">
        <v>0</v>
      </c>
    </row>
    <row r="228" spans="1:13" x14ac:dyDescent="0.2">
      <c r="C228" s="1807"/>
      <c r="D228" s="1808"/>
      <c r="E228" s="1808"/>
      <c r="F228" s="1807"/>
      <c r="G228" s="1809">
        <f>Test_Bible!V259</f>
        <v>246</v>
      </c>
      <c r="H228" s="1809">
        <f>Test_Bible!X259</f>
        <v>0</v>
      </c>
      <c r="I228" s="1809">
        <f>Test_Bible!Y259</f>
        <v>57</v>
      </c>
      <c r="J228" s="1809">
        <f>Test_Bible!Z259</f>
        <v>114</v>
      </c>
      <c r="K228" s="1809">
        <f>Test_Bible!AA259</f>
        <v>228</v>
      </c>
      <c r="L228" s="1809">
        <f>Test_Bible!AB259</f>
        <v>399</v>
      </c>
      <c r="M228" s="1809">
        <f>Test_Bible!AC259</f>
        <v>570</v>
      </c>
    </row>
    <row r="242" spans="1:6" x14ac:dyDescent="0.2">
      <c r="A242" t="s">
        <v>450</v>
      </c>
      <c r="B242" t="str">
        <f>IF(Test_Bible!B263&lt;&gt;"","O","N")</f>
        <v>O</v>
      </c>
      <c r="C242" t="s">
        <v>156</v>
      </c>
      <c r="D242" s="114">
        <v>2</v>
      </c>
      <c r="E242" s="114">
        <f>Test_Bible!Q263</f>
        <v>2</v>
      </c>
    </row>
    <row r="243" spans="1:6" x14ac:dyDescent="0.2">
      <c r="A243" t="s">
        <v>450</v>
      </c>
      <c r="B243" t="str">
        <f>IF(Test_Bible!B264&lt;&gt;"","O","N")</f>
        <v>O</v>
      </c>
      <c r="C243" t="s">
        <v>157</v>
      </c>
      <c r="D243" s="114">
        <v>7</v>
      </c>
      <c r="E243" s="114">
        <f>Test_Bible!Q264</f>
        <v>7</v>
      </c>
    </row>
    <row r="244" spans="1:6" x14ac:dyDescent="0.2">
      <c r="A244" t="s">
        <v>450</v>
      </c>
      <c r="B244" t="str">
        <f>IF(Test_Bible!B265&lt;&gt;"","O","N")</f>
        <v>O</v>
      </c>
      <c r="C244" t="s">
        <v>349</v>
      </c>
      <c r="D244" s="114">
        <v>2</v>
      </c>
      <c r="E244" s="114">
        <f>Test_Bible!Q265</f>
        <v>2</v>
      </c>
    </row>
    <row r="245" spans="1:6" x14ac:dyDescent="0.2">
      <c r="A245" t="s">
        <v>2182</v>
      </c>
      <c r="B245" t="str">
        <f>IF(Test_Bible!B267&lt;&gt;"","O","N")</f>
        <v>O</v>
      </c>
      <c r="C245" t="s">
        <v>350</v>
      </c>
      <c r="D245" s="114">
        <v>7</v>
      </c>
      <c r="E245" s="114">
        <f>Test_Bible!Q267</f>
        <v>7</v>
      </c>
      <c r="F245" s="72">
        <f>Test_Bible!V267</f>
        <v>20</v>
      </c>
    </row>
    <row r="246" spans="1:6" x14ac:dyDescent="0.2">
      <c r="A246" t="s">
        <v>2182</v>
      </c>
      <c r="B246" t="str">
        <f>IF(Test_Bible!B268&lt;&gt;"","O","N")</f>
        <v>O</v>
      </c>
      <c r="C246" t="s">
        <v>158</v>
      </c>
      <c r="D246" s="114">
        <v>10</v>
      </c>
      <c r="E246" s="114">
        <f>Test_Bible!Q268</f>
        <v>20</v>
      </c>
    </row>
    <row r="247" spans="1:6" x14ac:dyDescent="0.2">
      <c r="A247" t="s">
        <v>2182</v>
      </c>
      <c r="B247" t="str">
        <f>IF(Test_Bible!B269&lt;&gt;"","O","N")</f>
        <v>O</v>
      </c>
      <c r="C247" t="s">
        <v>159</v>
      </c>
      <c r="D247" s="114">
        <v>0</v>
      </c>
      <c r="E247" s="114">
        <f>Test_Bible!Q269</f>
        <v>0</v>
      </c>
      <c r="F247" s="72">
        <f>Test_Bible!V269</f>
        <v>0</v>
      </c>
    </row>
    <row r="248" spans="1:6" x14ac:dyDescent="0.2">
      <c r="A248" t="s">
        <v>2182</v>
      </c>
      <c r="B248" t="str">
        <f>IF(Test_Bible!B270&lt;&gt;"","O","N")</f>
        <v>N</v>
      </c>
      <c r="C248" t="s">
        <v>160</v>
      </c>
      <c r="D248" s="114">
        <v>0</v>
      </c>
      <c r="E248" s="114">
        <f>Test_Bible!Q270</f>
        <v>0</v>
      </c>
    </row>
    <row r="249" spans="1:6" x14ac:dyDescent="0.2">
      <c r="A249" t="s">
        <v>2182</v>
      </c>
      <c r="B249" t="str">
        <f>IF(Test_Bible!B271&lt;&gt;"","O","N")</f>
        <v>N</v>
      </c>
      <c r="C249" t="s">
        <v>1713</v>
      </c>
      <c r="D249" s="114">
        <v>0</v>
      </c>
      <c r="E249" s="114">
        <f>Test_Bible!Q271</f>
        <v>0</v>
      </c>
    </row>
    <row r="250" spans="1:6" x14ac:dyDescent="0.2">
      <c r="A250" t="s">
        <v>2182</v>
      </c>
      <c r="B250" t="str">
        <f>IF(Test_Bible!B272&lt;&gt;"","O","N")</f>
        <v>O</v>
      </c>
      <c r="C250" t="s">
        <v>161</v>
      </c>
      <c r="D250" s="114">
        <v>4</v>
      </c>
      <c r="E250" s="114">
        <f>Test_Bible!Q272</f>
        <v>8</v>
      </c>
      <c r="F250" s="72">
        <f>Test_Bible!V272</f>
        <v>8</v>
      </c>
    </row>
    <row r="251" spans="1:6" x14ac:dyDescent="0.2">
      <c r="A251" t="s">
        <v>2183</v>
      </c>
      <c r="B251" t="str">
        <f>IF(Test_Bible!B274&lt;&gt;"","O","N")</f>
        <v>O</v>
      </c>
      <c r="C251" s="59" t="s">
        <v>162</v>
      </c>
      <c r="D251" s="114">
        <v>1</v>
      </c>
      <c r="E251" s="114">
        <f>Test_Bible!P273</f>
        <v>4</v>
      </c>
    </row>
    <row r="252" spans="1:6" x14ac:dyDescent="0.2">
      <c r="A252" t="s">
        <v>2183</v>
      </c>
      <c r="B252" t="str">
        <f>B251</f>
        <v>O</v>
      </c>
      <c r="C252" s="59" t="s">
        <v>162</v>
      </c>
      <c r="D252" s="114">
        <v>0</v>
      </c>
      <c r="E252" s="114"/>
    </row>
    <row r="253" spans="1:6" x14ac:dyDescent="0.2">
      <c r="A253" t="s">
        <v>2183</v>
      </c>
      <c r="B253" t="str">
        <f t="shared" ref="B253:B254" si="8">B252</f>
        <v>O</v>
      </c>
      <c r="C253" s="59" t="s">
        <v>162</v>
      </c>
      <c r="D253" s="114">
        <v>1</v>
      </c>
      <c r="E253" s="114"/>
    </row>
    <row r="254" spans="1:6" x14ac:dyDescent="0.2">
      <c r="A254" t="s">
        <v>2183</v>
      </c>
      <c r="B254" t="str">
        <f t="shared" si="8"/>
        <v>O</v>
      </c>
      <c r="C254" s="59" t="s">
        <v>162</v>
      </c>
      <c r="D254" s="114">
        <v>0</v>
      </c>
      <c r="E254" s="114"/>
    </row>
    <row r="255" spans="1:6" x14ac:dyDescent="0.2">
      <c r="A255" t="s">
        <v>2182</v>
      </c>
      <c r="B255" t="str">
        <f>IF(Test_Bible!B278&lt;&gt;"","O","N")</f>
        <v>O</v>
      </c>
      <c r="C255" t="s">
        <v>163</v>
      </c>
      <c r="D255" s="114">
        <v>4</v>
      </c>
      <c r="E255" s="114">
        <f>Test_Bible!Q278</f>
        <v>8</v>
      </c>
      <c r="F255" s="72">
        <f>Test_Bible!V278</f>
        <v>12</v>
      </c>
    </row>
    <row r="256" spans="1:6" x14ac:dyDescent="0.2">
      <c r="A256" t="s">
        <v>2182</v>
      </c>
      <c r="B256" t="str">
        <f>IF(Test_Bible!B279&lt;&gt;"","O","N")</f>
        <v>O</v>
      </c>
      <c r="C256" t="s">
        <v>164</v>
      </c>
      <c r="D256" s="114">
        <v>4</v>
      </c>
      <c r="E256" s="114">
        <f>Test_Bible!Q279</f>
        <v>12</v>
      </c>
    </row>
    <row r="257" spans="1:6" x14ac:dyDescent="0.2">
      <c r="A257" t="s">
        <v>2182</v>
      </c>
      <c r="B257" t="str">
        <f>IF(Test_Bible!B280&lt;&gt;"","O","N")</f>
        <v>O</v>
      </c>
      <c r="C257" t="s">
        <v>705</v>
      </c>
      <c r="D257" s="114">
        <v>0</v>
      </c>
      <c r="E257" s="114">
        <f>Test_Bible!Q280</f>
        <v>0</v>
      </c>
    </row>
    <row r="258" spans="1:6" x14ac:dyDescent="0.2">
      <c r="A258" t="s">
        <v>2182</v>
      </c>
      <c r="B258" t="str">
        <f>IF(Test_Bible!B281&lt;&gt;"","O","N")</f>
        <v>O</v>
      </c>
      <c r="C258" t="s">
        <v>166</v>
      </c>
      <c r="D258" s="114">
        <v>2</v>
      </c>
      <c r="E258" s="114">
        <f>Test_Bible!Q281</f>
        <v>2</v>
      </c>
      <c r="F258" s="72">
        <f>Test_Bible!V281</f>
        <v>2</v>
      </c>
    </row>
    <row r="259" spans="1:6" x14ac:dyDescent="0.2">
      <c r="A259" t="s">
        <v>2182</v>
      </c>
      <c r="B259" t="str">
        <f>IF(Test_Bible!B282&lt;&gt;"","O","N")</f>
        <v>N</v>
      </c>
      <c r="C259" t="s">
        <v>1137</v>
      </c>
      <c r="D259" s="114">
        <v>0</v>
      </c>
      <c r="E259" s="114">
        <f>Test_Bible!Q282</f>
        <v>0</v>
      </c>
      <c r="F259" s="72">
        <f>Test_Bible!V282</f>
        <v>0</v>
      </c>
    </row>
    <row r="260" spans="1:6" x14ac:dyDescent="0.2">
      <c r="A260" t="s">
        <v>2182</v>
      </c>
      <c r="B260" t="str">
        <f>IF(Test_Bible!B283&lt;&gt;"","O","N")</f>
        <v>O</v>
      </c>
      <c r="C260" t="s">
        <v>167</v>
      </c>
      <c r="D260" s="114">
        <v>1</v>
      </c>
      <c r="E260" s="114">
        <f>Test_Bible!Q283</f>
        <v>2</v>
      </c>
      <c r="F260" s="72">
        <f>Test_Bible!V283</f>
        <v>2</v>
      </c>
    </row>
    <row r="261" spans="1:6" x14ac:dyDescent="0.2">
      <c r="A261" t="s">
        <v>2182</v>
      </c>
      <c r="B261" t="str">
        <f>IF(Test_Bible!B284&lt;&gt;"","O","N")</f>
        <v>O</v>
      </c>
      <c r="C261" t="s">
        <v>168</v>
      </c>
      <c r="D261" s="114">
        <v>4</v>
      </c>
      <c r="E261" s="114">
        <f>Test_Bible!Q284</f>
        <v>8</v>
      </c>
      <c r="F261" s="72">
        <f>Test_Bible!V284</f>
        <v>8</v>
      </c>
    </row>
    <row r="262" spans="1:6" x14ac:dyDescent="0.2">
      <c r="A262" t="s">
        <v>2182</v>
      </c>
      <c r="B262" t="str">
        <f>IF(Test_Bible!B285&lt;&gt;"","O","N")</f>
        <v>O</v>
      </c>
      <c r="C262" t="s">
        <v>170</v>
      </c>
      <c r="D262" s="114">
        <v>1</v>
      </c>
      <c r="E262" s="114">
        <f>Test_Bible!Q285</f>
        <v>2</v>
      </c>
      <c r="F262" s="72">
        <f>Test_Bible!V285</f>
        <v>2</v>
      </c>
    </row>
    <row r="263" spans="1:6" x14ac:dyDescent="0.2">
      <c r="A263" t="s">
        <v>2182</v>
      </c>
      <c r="B263" t="str">
        <f>IF(Test_Bible!B286&lt;&gt;"","O","N")</f>
        <v>O</v>
      </c>
      <c r="C263" t="s">
        <v>171</v>
      </c>
      <c r="D263" s="114">
        <v>4</v>
      </c>
      <c r="E263" s="114">
        <f>Test_Bible!Q286</f>
        <v>8</v>
      </c>
      <c r="F263" s="72">
        <f>Test_Bible!V286</f>
        <v>8</v>
      </c>
    </row>
    <row r="264" spans="1:6" x14ac:dyDescent="0.2">
      <c r="A264" t="s">
        <v>2182</v>
      </c>
      <c r="B264" t="str">
        <f>IF(Test_Bible!B287&lt;&gt;"","O","N")</f>
        <v>O</v>
      </c>
      <c r="C264" t="s">
        <v>549</v>
      </c>
      <c r="D264" s="114">
        <v>1</v>
      </c>
      <c r="E264" s="114">
        <f>Test_Bible!Q287</f>
        <v>3</v>
      </c>
    </row>
    <row r="265" spans="1:6" x14ac:dyDescent="0.2">
      <c r="A265" t="s">
        <v>2182</v>
      </c>
      <c r="B265" t="str">
        <f>IF(Test_Bible!B288&lt;&gt;"","O","N")</f>
        <v>O</v>
      </c>
      <c r="C265" t="s">
        <v>172</v>
      </c>
      <c r="D265" s="114">
        <v>4</v>
      </c>
      <c r="E265" s="114">
        <f>Test_Bible!Q288</f>
        <v>8</v>
      </c>
      <c r="F265" s="72">
        <f>Test_Bible!V288</f>
        <v>8</v>
      </c>
    </row>
    <row r="266" spans="1:6" x14ac:dyDescent="0.2">
      <c r="A266" t="s">
        <v>2182</v>
      </c>
      <c r="B266" t="str">
        <f>IF(Test_Bible!B289&lt;&gt;"","O","N")</f>
        <v>O</v>
      </c>
      <c r="C266" t="s">
        <v>351</v>
      </c>
      <c r="D266" s="114">
        <v>1</v>
      </c>
      <c r="E266" s="114">
        <f>Test_Bible!Q289</f>
        <v>3</v>
      </c>
    </row>
    <row r="267" spans="1:6" x14ac:dyDescent="0.2">
      <c r="A267" t="s">
        <v>2182</v>
      </c>
      <c r="B267" t="str">
        <f>IF(Test_Bible!B290&lt;&gt;"","O","N")</f>
        <v>O</v>
      </c>
      <c r="C267" t="s">
        <v>173</v>
      </c>
      <c r="D267" s="114">
        <v>2</v>
      </c>
      <c r="E267" s="114">
        <f>Test_Bible!Q290</f>
        <v>4</v>
      </c>
      <c r="F267" s="72">
        <f>Test_Bible!V290</f>
        <v>40</v>
      </c>
    </row>
    <row r="268" spans="1:6" x14ac:dyDescent="0.2">
      <c r="A268" t="s">
        <v>2183</v>
      </c>
      <c r="B268" t="str">
        <f>IF(Test_Bible!B291&lt;&gt;"","O","N")</f>
        <v>O</v>
      </c>
      <c r="C268" s="59" t="s">
        <v>174</v>
      </c>
      <c r="D268" s="114">
        <v>1</v>
      </c>
      <c r="E268" s="114">
        <f>Test_Bible!P291</f>
        <v>3</v>
      </c>
    </row>
    <row r="269" spans="1:6" x14ac:dyDescent="0.2">
      <c r="A269" t="s">
        <v>2183</v>
      </c>
      <c r="B269" t="str">
        <f>B268</f>
        <v>O</v>
      </c>
      <c r="C269" s="59" t="s">
        <v>174</v>
      </c>
      <c r="D269" s="114">
        <v>0</v>
      </c>
      <c r="E269" s="114"/>
    </row>
    <row r="270" spans="1:6" x14ac:dyDescent="0.2">
      <c r="A270" t="s">
        <v>2183</v>
      </c>
      <c r="B270" t="str">
        <f>B269</f>
        <v>O</v>
      </c>
      <c r="C270" s="59" t="s">
        <v>174</v>
      </c>
      <c r="D270" s="114">
        <v>1</v>
      </c>
      <c r="E270" s="114"/>
    </row>
    <row r="271" spans="1:6" x14ac:dyDescent="0.2">
      <c r="A271" t="s">
        <v>2182</v>
      </c>
      <c r="B271" t="str">
        <f>IF(Test_Bible!B296&lt;&gt;"","O","N")</f>
        <v>O</v>
      </c>
      <c r="C271" t="s">
        <v>1398</v>
      </c>
      <c r="D271" s="114">
        <v>4</v>
      </c>
      <c r="E271" s="114">
        <f>Test_Bible!Q296</f>
        <v>8</v>
      </c>
    </row>
    <row r="272" spans="1:6" x14ac:dyDescent="0.2">
      <c r="A272" t="s">
        <v>2182</v>
      </c>
      <c r="B272" t="str">
        <f>IF(Test_Bible!B297&lt;&gt;"","O","N")</f>
        <v>O</v>
      </c>
      <c r="C272" t="s">
        <v>1399</v>
      </c>
      <c r="D272" s="114">
        <v>4</v>
      </c>
      <c r="E272" s="114">
        <f>Test_Bible!Q297</f>
        <v>12</v>
      </c>
    </row>
    <row r="273" spans="1:6" x14ac:dyDescent="0.2">
      <c r="A273" t="s">
        <v>2182</v>
      </c>
      <c r="B273" t="str">
        <f>IF(Test_Bible!B298&lt;&gt;"","O","N")</f>
        <v>O</v>
      </c>
      <c r="C273" t="s">
        <v>1400</v>
      </c>
      <c r="D273" s="114">
        <v>10</v>
      </c>
      <c r="E273" s="114">
        <f>Test_Bible!Q298</f>
        <v>20</v>
      </c>
    </row>
    <row r="274" spans="1:6" x14ac:dyDescent="0.2">
      <c r="A274" t="s">
        <v>2182</v>
      </c>
      <c r="B274" t="str">
        <f>IF(Test_Bible!B299&lt;&gt;"","O","N")</f>
        <v>O</v>
      </c>
      <c r="C274" t="s">
        <v>176</v>
      </c>
      <c r="D274" s="114">
        <v>10</v>
      </c>
      <c r="E274" s="114">
        <f>Test_Bible!Q299</f>
        <v>20</v>
      </c>
      <c r="F274" s="72">
        <f>Test_Bible!V299</f>
        <v>20</v>
      </c>
    </row>
    <row r="275" spans="1:6" x14ac:dyDescent="0.2">
      <c r="A275" t="s">
        <v>2182</v>
      </c>
      <c r="B275" t="str">
        <f>IF(Test_Bible!B300&lt;&gt;"","O","N")</f>
        <v>O</v>
      </c>
      <c r="C275" t="s">
        <v>177</v>
      </c>
      <c r="D275" s="114">
        <v>1</v>
      </c>
      <c r="E275" s="114">
        <f>Test_Bible!Q300</f>
        <v>2</v>
      </c>
      <c r="F275" s="72">
        <f>Test_Bible!V300</f>
        <v>2</v>
      </c>
    </row>
    <row r="276" spans="1:6" x14ac:dyDescent="0.2">
      <c r="A276" t="s">
        <v>2182</v>
      </c>
      <c r="B276" t="str">
        <f>IF(Test_Bible!B301&lt;&gt;"","O","N")</f>
        <v>N</v>
      </c>
      <c r="C276" t="s">
        <v>1403</v>
      </c>
      <c r="D276" s="114">
        <v>0</v>
      </c>
      <c r="E276" s="114">
        <f>Test_Bible!Q301</f>
        <v>0</v>
      </c>
    </row>
    <row r="277" spans="1:6" x14ac:dyDescent="0.2">
      <c r="A277" t="s">
        <v>2182</v>
      </c>
      <c r="B277" t="str">
        <f>IF(Test_Bible!B302&lt;&gt;"","O","N")</f>
        <v>O</v>
      </c>
      <c r="C277" t="s">
        <v>178</v>
      </c>
      <c r="D277" s="114">
        <v>4</v>
      </c>
      <c r="E277" s="114">
        <f>Test_Bible!Q302</f>
        <v>4</v>
      </c>
      <c r="F277">
        <f>Test_Bible!V302</f>
        <v>14</v>
      </c>
    </row>
    <row r="278" spans="1:6" x14ac:dyDescent="0.2">
      <c r="A278" t="s">
        <v>2182</v>
      </c>
      <c r="B278" t="str">
        <f>IF(Test_Bible!B303&lt;&gt;"","O","N")</f>
        <v>O</v>
      </c>
      <c r="C278" t="s">
        <v>179</v>
      </c>
      <c r="D278" s="114">
        <v>7</v>
      </c>
      <c r="E278" s="114">
        <f>Test_Bible!Q303</f>
        <v>14</v>
      </c>
    </row>
    <row r="279" spans="1:6" x14ac:dyDescent="0.2">
      <c r="A279" t="s">
        <v>2182</v>
      </c>
      <c r="B279" t="str">
        <f>IF(Test_Bible!B304&lt;&gt;"","O","N")</f>
        <v>O</v>
      </c>
      <c r="C279" t="s">
        <v>180</v>
      </c>
      <c r="D279" s="114">
        <v>4</v>
      </c>
      <c r="E279" s="114">
        <f>Test_Bible!Q304</f>
        <v>8</v>
      </c>
      <c r="F279" s="72">
        <f>Test_Bible!V304</f>
        <v>12</v>
      </c>
    </row>
    <row r="280" spans="1:6" x14ac:dyDescent="0.2">
      <c r="A280" t="s">
        <v>2182</v>
      </c>
      <c r="B280" t="str">
        <f>IF(Test_Bible!B305&lt;&gt;"","O","N")</f>
        <v>O</v>
      </c>
      <c r="C280" t="s">
        <v>706</v>
      </c>
      <c r="D280" s="114">
        <v>4</v>
      </c>
      <c r="E280" s="114">
        <f>Test_Bible!Q305</f>
        <v>12</v>
      </c>
    </row>
    <row r="281" spans="1:6" x14ac:dyDescent="0.2">
      <c r="A281" t="s">
        <v>2182</v>
      </c>
      <c r="B281" t="str">
        <f>IF(Test_Bible!B306&lt;&gt;"","O","N")</f>
        <v>O</v>
      </c>
      <c r="C281" t="s">
        <v>175</v>
      </c>
      <c r="D281" s="114">
        <v>7</v>
      </c>
      <c r="E281" s="114">
        <f>Test_Bible!Q306</f>
        <v>7</v>
      </c>
      <c r="F281" s="72">
        <f>Test_Bible!V306</f>
        <v>7</v>
      </c>
    </row>
    <row r="282" spans="1:6" x14ac:dyDescent="0.2">
      <c r="A282" t="s">
        <v>2182</v>
      </c>
      <c r="B282" t="str">
        <f>IF(Test_Bible!B307&lt;&gt;"","O","N")</f>
        <v>O</v>
      </c>
      <c r="C282" t="s">
        <v>181</v>
      </c>
      <c r="D282" s="114">
        <v>2</v>
      </c>
      <c r="E282" s="114">
        <f>Test_Bible!Q307</f>
        <v>2</v>
      </c>
      <c r="F282" s="72">
        <f>Test_Bible!V307</f>
        <v>2</v>
      </c>
    </row>
    <row r="283" spans="1:6" x14ac:dyDescent="0.2">
      <c r="A283" t="s">
        <v>2182</v>
      </c>
      <c r="B283" t="str">
        <f>IF(Test_Bible!B308&lt;&gt;"","O","N")</f>
        <v>O</v>
      </c>
      <c r="C283" t="s">
        <v>182</v>
      </c>
      <c r="D283" s="114">
        <v>7</v>
      </c>
      <c r="E283" s="114">
        <f>Test_Bible!Q308</f>
        <v>14</v>
      </c>
      <c r="F283" s="72">
        <f>Test_Bible!V308</f>
        <v>14</v>
      </c>
    </row>
    <row r="284" spans="1:6" x14ac:dyDescent="0.2">
      <c r="A284" t="s">
        <v>2182</v>
      </c>
      <c r="B284" t="str">
        <f>IF(Test_Bible!B309&lt;&gt;"","O","N")</f>
        <v>O</v>
      </c>
      <c r="C284" t="s">
        <v>183</v>
      </c>
      <c r="D284" s="114">
        <v>7</v>
      </c>
      <c r="E284" s="114">
        <f>Test_Bible!Q309</f>
        <v>14</v>
      </c>
      <c r="F284" s="72">
        <f>Test_Bible!V309</f>
        <v>14</v>
      </c>
    </row>
    <row r="285" spans="1:6" x14ac:dyDescent="0.2">
      <c r="A285" t="s">
        <v>2182</v>
      </c>
      <c r="B285" t="str">
        <f>IF(Test_Bible!B310&lt;&gt;"","O","N")</f>
        <v>O</v>
      </c>
      <c r="C285" t="s">
        <v>184</v>
      </c>
      <c r="D285" s="114">
        <v>4</v>
      </c>
      <c r="E285" s="114">
        <f>Test_Bible!Q310</f>
        <v>8</v>
      </c>
      <c r="F285" s="72">
        <f>Test_Bible!V310</f>
        <v>8</v>
      </c>
    </row>
    <row r="286" spans="1:6" x14ac:dyDescent="0.2">
      <c r="A286" t="s">
        <v>2182</v>
      </c>
      <c r="B286" t="str">
        <f>IF(Test_Bible!B311&lt;&gt;"","O","N")</f>
        <v>O</v>
      </c>
      <c r="C286" t="s">
        <v>169</v>
      </c>
      <c r="D286" s="114">
        <v>0</v>
      </c>
      <c r="E286" s="114">
        <f>Test_Bible!Q311</f>
        <v>0</v>
      </c>
      <c r="F286" s="72">
        <f>Test_Bible!V311</f>
        <v>0</v>
      </c>
    </row>
    <row r="287" spans="1:6" x14ac:dyDescent="0.2">
      <c r="A287" t="s">
        <v>2182</v>
      </c>
      <c r="B287" t="str">
        <f>IF(Test_Bible!B312&lt;&gt;"","O","N")</f>
        <v>O</v>
      </c>
      <c r="C287" t="s">
        <v>185</v>
      </c>
      <c r="D287" s="114">
        <v>4</v>
      </c>
      <c r="E287" s="114">
        <f>Test_Bible!Q312</f>
        <v>8</v>
      </c>
      <c r="F287" s="72">
        <f>Test_Bible!V312</f>
        <v>8</v>
      </c>
    </row>
    <row r="288" spans="1:6" x14ac:dyDescent="0.2">
      <c r="A288" t="s">
        <v>2184</v>
      </c>
      <c r="B288" t="str">
        <f>IF(Test_Bible!B313&lt;&gt;"","O","N")</f>
        <v>O</v>
      </c>
      <c r="C288" t="s">
        <v>352</v>
      </c>
      <c r="D288" s="114">
        <v>2</v>
      </c>
      <c r="E288" s="114"/>
    </row>
    <row r="289" spans="1:6" x14ac:dyDescent="0.2">
      <c r="A289" t="s">
        <v>2182</v>
      </c>
      <c r="B289" t="str">
        <f>IF(Test_Bible!B320&lt;&gt;"","O","N")</f>
        <v>O</v>
      </c>
      <c r="C289" t="s">
        <v>1482</v>
      </c>
      <c r="D289" s="114">
        <v>0</v>
      </c>
      <c r="E289" s="114">
        <f>Test_Bible!Q320</f>
        <v>0</v>
      </c>
    </row>
    <row r="290" spans="1:6" x14ac:dyDescent="0.2">
      <c r="A290" t="s">
        <v>2182</v>
      </c>
      <c r="B290" t="str">
        <f>IF(Test_Bible!B321&lt;&gt;"","O","N")</f>
        <v>O</v>
      </c>
      <c r="C290" t="s">
        <v>186</v>
      </c>
      <c r="D290" s="114">
        <v>4</v>
      </c>
      <c r="E290" s="114">
        <f>Test_Bible!Q321</f>
        <v>8</v>
      </c>
      <c r="F290" s="72">
        <f>Test_Bible!V321</f>
        <v>8</v>
      </c>
    </row>
    <row r="291" spans="1:6" x14ac:dyDescent="0.2">
      <c r="A291" t="s">
        <v>2182</v>
      </c>
      <c r="B291" t="str">
        <f>IF(Test_Bible!B322&lt;&gt;"","O","N")</f>
        <v>O</v>
      </c>
      <c r="C291" t="s">
        <v>189</v>
      </c>
      <c r="D291" s="114">
        <v>4</v>
      </c>
      <c r="E291" s="114">
        <f>Test_Bible!Q322</f>
        <v>8</v>
      </c>
      <c r="F291" s="72">
        <f>Test_Bible!V322</f>
        <v>21</v>
      </c>
    </row>
    <row r="292" spans="1:6" x14ac:dyDescent="0.2">
      <c r="A292" t="s">
        <v>2182</v>
      </c>
      <c r="B292" t="str">
        <f>IF(Test_Bible!B323&lt;&gt;"","O","N")</f>
        <v>O</v>
      </c>
      <c r="C292" t="s">
        <v>554</v>
      </c>
      <c r="D292" s="114">
        <v>7</v>
      </c>
      <c r="E292" s="114">
        <f>Test_Bible!Q323</f>
        <v>21</v>
      </c>
    </row>
    <row r="293" spans="1:6" x14ac:dyDescent="0.2">
      <c r="A293" t="s">
        <v>2182</v>
      </c>
      <c r="B293" t="str">
        <f>IF(Test_Bible!B324&lt;&gt;"","O","N")</f>
        <v>N</v>
      </c>
      <c r="C293" t="s">
        <v>190</v>
      </c>
      <c r="D293" s="114">
        <v>0</v>
      </c>
      <c r="E293" s="114">
        <f>Test_Bible!Q324</f>
        <v>0</v>
      </c>
      <c r="F293" s="72">
        <f>Test_Bible!V324</f>
        <v>0</v>
      </c>
    </row>
    <row r="294" spans="1:6" x14ac:dyDescent="0.2">
      <c r="A294" t="s">
        <v>2182</v>
      </c>
      <c r="B294" t="str">
        <f>IF(Test_Bible!B325&lt;&gt;"","O","N")</f>
        <v>N</v>
      </c>
      <c r="C294" t="s">
        <v>192</v>
      </c>
      <c r="D294" s="114">
        <v>0</v>
      </c>
      <c r="E294" s="114">
        <f>Test_Bible!Q325</f>
        <v>0</v>
      </c>
      <c r="F294" s="72">
        <f>Test_Bible!V325</f>
        <v>0</v>
      </c>
    </row>
    <row r="295" spans="1:6" x14ac:dyDescent="0.2">
      <c r="A295" t="s">
        <v>2182</v>
      </c>
      <c r="B295" t="str">
        <f>IF(Test_Bible!B326&lt;&gt;"","O","N")</f>
        <v>N</v>
      </c>
      <c r="C295" t="s">
        <v>193</v>
      </c>
      <c r="D295" s="114">
        <v>0</v>
      </c>
      <c r="E295" s="114">
        <f>Test_Bible!Q326</f>
        <v>0</v>
      </c>
      <c r="F295" s="72">
        <f>Test_Bible!V326</f>
        <v>0</v>
      </c>
    </row>
    <row r="296" spans="1:6" x14ac:dyDescent="0.2">
      <c r="A296" t="s">
        <v>2182</v>
      </c>
      <c r="B296" t="str">
        <f>IF(Test_Bible!B327&lt;&gt;"","O","N")</f>
        <v>N</v>
      </c>
      <c r="C296" t="s">
        <v>353</v>
      </c>
      <c r="D296" s="114">
        <v>0</v>
      </c>
      <c r="E296" s="114">
        <f>Test_Bible!Q327</f>
        <v>0</v>
      </c>
    </row>
    <row r="297" spans="1:6" x14ac:dyDescent="0.2">
      <c r="A297" t="s">
        <v>2182</v>
      </c>
      <c r="B297" t="str">
        <f>IF(Test_Bible!B328&lt;&gt;"","O","N")</f>
        <v>N</v>
      </c>
      <c r="C297" t="s">
        <v>354</v>
      </c>
      <c r="D297" s="114">
        <v>0</v>
      </c>
      <c r="E297" s="114">
        <f>Test_Bible!Q328</f>
        <v>0</v>
      </c>
    </row>
    <row r="298" spans="1:6" x14ac:dyDescent="0.2">
      <c r="A298" t="s">
        <v>2182</v>
      </c>
      <c r="B298" t="str">
        <f>IF(Test_Bible!B329&lt;&gt;"","O","N")</f>
        <v>O</v>
      </c>
      <c r="C298" t="s">
        <v>194</v>
      </c>
      <c r="D298" s="114">
        <v>2</v>
      </c>
      <c r="E298" s="114">
        <f>Test_Bible!Q329</f>
        <v>6</v>
      </c>
      <c r="F298" s="72">
        <f>Test_Bible!V329</f>
        <v>6</v>
      </c>
    </row>
    <row r="299" spans="1:6" x14ac:dyDescent="0.2">
      <c r="A299" t="s">
        <v>2184</v>
      </c>
      <c r="B299" t="str">
        <f>IF(Test_Bible!B330&lt;&gt;"","O","N")</f>
        <v>O</v>
      </c>
      <c r="C299" t="s">
        <v>195</v>
      </c>
      <c r="D299" s="114">
        <v>4</v>
      </c>
      <c r="E299" s="114"/>
    </row>
    <row r="300" spans="1:6" x14ac:dyDescent="0.2">
      <c r="A300" t="s">
        <v>2182</v>
      </c>
      <c r="B300" t="str">
        <f>IF(Test_Bible!B336&lt;&gt;"","O","N")</f>
        <v>O</v>
      </c>
      <c r="C300" t="s">
        <v>555</v>
      </c>
      <c r="D300" s="114">
        <v>7</v>
      </c>
      <c r="E300" s="114">
        <f>Test_Bible!Q336</f>
        <v>7</v>
      </c>
    </row>
    <row r="301" spans="1:6" x14ac:dyDescent="0.2">
      <c r="A301" t="s">
        <v>2182</v>
      </c>
      <c r="B301" t="str">
        <f>IF(Test_Bible!B337&lt;&gt;"","O","N")</f>
        <v>O</v>
      </c>
      <c r="C301" t="s">
        <v>1423</v>
      </c>
      <c r="D301" s="114">
        <v>2</v>
      </c>
      <c r="E301" s="114">
        <f>Test_Bible!Q337</f>
        <v>2</v>
      </c>
    </row>
    <row r="302" spans="1:6" x14ac:dyDescent="0.2">
      <c r="A302" t="s">
        <v>2183</v>
      </c>
      <c r="B302" t="str">
        <f>IF(Test_Bible!B338&lt;&gt;"","O","N")</f>
        <v>O</v>
      </c>
      <c r="C302" t="s">
        <v>196</v>
      </c>
      <c r="D302" s="114">
        <v>1</v>
      </c>
      <c r="E302" s="114"/>
    </row>
    <row r="303" spans="1:6" x14ac:dyDescent="0.2">
      <c r="A303" t="s">
        <v>2182</v>
      </c>
      <c r="B303" t="str">
        <f>IF(Test_Bible!B341&lt;&gt;"","O","N")</f>
        <v>O</v>
      </c>
      <c r="C303" t="s">
        <v>355</v>
      </c>
      <c r="D303" s="114">
        <v>7</v>
      </c>
      <c r="E303" s="114">
        <f>Test_Bible!Q341</f>
        <v>7</v>
      </c>
    </row>
    <row r="304" spans="1:6" x14ac:dyDescent="0.2">
      <c r="A304" t="s">
        <v>2182</v>
      </c>
      <c r="B304" t="str">
        <f>IF(Test_Bible!B342&lt;&gt;"","O","N")</f>
        <v>O</v>
      </c>
      <c r="C304" t="s">
        <v>355</v>
      </c>
      <c r="D304" s="114">
        <v>4</v>
      </c>
      <c r="E304" s="114">
        <f>Test_Bible!Q342</f>
        <v>4</v>
      </c>
    </row>
    <row r="305" spans="1:6" x14ac:dyDescent="0.2">
      <c r="A305" t="s">
        <v>2182</v>
      </c>
      <c r="B305" t="str">
        <f>IF(Test_Bible!B343&lt;&gt;"","O","N")</f>
        <v>O</v>
      </c>
      <c r="C305" t="s">
        <v>355</v>
      </c>
      <c r="D305" s="114">
        <v>2</v>
      </c>
      <c r="E305" s="114">
        <f>Test_Bible!Q343</f>
        <v>2</v>
      </c>
    </row>
    <row r="306" spans="1:6" x14ac:dyDescent="0.2">
      <c r="A306" t="s">
        <v>2182</v>
      </c>
      <c r="B306" t="str">
        <f>IF(Test_Bible!B344&lt;&gt;"","O","N")</f>
        <v>O</v>
      </c>
      <c r="C306" t="s">
        <v>355</v>
      </c>
      <c r="D306" s="114">
        <v>1</v>
      </c>
      <c r="E306" s="114">
        <f>Test_Bible!Q344</f>
        <v>1</v>
      </c>
    </row>
    <row r="307" spans="1:6" x14ac:dyDescent="0.2">
      <c r="A307" t="s">
        <v>2182</v>
      </c>
      <c r="B307" t="str">
        <f>IF(Test_Bible!B345&lt;&gt;"","O","N")</f>
        <v>O</v>
      </c>
      <c r="C307" t="s">
        <v>355</v>
      </c>
      <c r="D307" s="114">
        <v>1</v>
      </c>
      <c r="E307" s="114">
        <f>Test_Bible!Q345</f>
        <v>1</v>
      </c>
    </row>
    <row r="308" spans="1:6" x14ac:dyDescent="0.2">
      <c r="A308" t="s">
        <v>2183</v>
      </c>
      <c r="B308" t="str">
        <f>IF(Test_Bible!B347&lt;&gt;"","O","N")</f>
        <v>O</v>
      </c>
      <c r="C308" t="s">
        <v>355</v>
      </c>
      <c r="D308" s="114">
        <v>0</v>
      </c>
      <c r="E308" s="114">
        <f>Test_Bible!Q347</f>
        <v>0</v>
      </c>
    </row>
    <row r="309" spans="1:6" x14ac:dyDescent="0.2">
      <c r="A309" t="s">
        <v>2183</v>
      </c>
      <c r="B309" t="str">
        <f>IF(Test_Bible!B349&lt;&gt;"","O","N")</f>
        <v>O</v>
      </c>
      <c r="C309" t="s">
        <v>355</v>
      </c>
      <c r="D309" s="114">
        <v>1</v>
      </c>
      <c r="E309" s="114">
        <f>Test_Bible!Q349</f>
        <v>1</v>
      </c>
    </row>
    <row r="310" spans="1:6" x14ac:dyDescent="0.2">
      <c r="A310" t="s">
        <v>2183</v>
      </c>
      <c r="B310" t="str">
        <f>IF(Test_Bible!B351&lt;&gt;"","O","N")</f>
        <v>O</v>
      </c>
      <c r="C310" t="s">
        <v>355</v>
      </c>
      <c r="D310" s="114">
        <v>0</v>
      </c>
      <c r="E310" s="114">
        <f>Test_Bible!Q351</f>
        <v>0</v>
      </c>
    </row>
    <row r="311" spans="1:6" x14ac:dyDescent="0.2">
      <c r="A311" t="s">
        <v>2182</v>
      </c>
      <c r="B311" t="str">
        <f>IF(Test_Bible!B356&lt;&gt;"","O","N")</f>
        <v>O</v>
      </c>
      <c r="C311" t="s">
        <v>1627</v>
      </c>
      <c r="D311" s="114">
        <v>4</v>
      </c>
      <c r="E311" s="114">
        <f>Test_Bible!Q356</f>
        <v>4</v>
      </c>
    </row>
    <row r="312" spans="1:6" x14ac:dyDescent="0.2">
      <c r="A312" t="s">
        <v>2182</v>
      </c>
      <c r="B312" t="str">
        <f>IF(Test_Bible!B357&lt;&gt;"","O","N")</f>
        <v>O</v>
      </c>
      <c r="C312" t="s">
        <v>1627</v>
      </c>
      <c r="D312" s="114">
        <v>1</v>
      </c>
      <c r="E312" s="114">
        <f>Test_Bible!Q357</f>
        <v>1</v>
      </c>
    </row>
    <row r="313" spans="1:6" x14ac:dyDescent="0.2">
      <c r="A313" t="s">
        <v>2182</v>
      </c>
      <c r="B313" t="str">
        <f>IF(Test_Bible!B358&lt;&gt;"","O","N")</f>
        <v>O</v>
      </c>
      <c r="C313" t="s">
        <v>1627</v>
      </c>
      <c r="D313" s="114">
        <v>1</v>
      </c>
      <c r="E313" s="114">
        <f>Test_Bible!Q358</f>
        <v>1</v>
      </c>
    </row>
    <row r="314" spans="1:6" x14ac:dyDescent="0.2">
      <c r="A314" t="s">
        <v>2182</v>
      </c>
      <c r="B314" t="str">
        <f>IF(Test_Bible!B359&lt;&gt;"","O","N")</f>
        <v>O</v>
      </c>
      <c r="C314" t="s">
        <v>1627</v>
      </c>
      <c r="D314" s="114">
        <v>0</v>
      </c>
      <c r="E314" s="114">
        <f>Test_Bible!Q359</f>
        <v>0</v>
      </c>
    </row>
    <row r="315" spans="1:6" x14ac:dyDescent="0.2">
      <c r="A315" t="s">
        <v>2182</v>
      </c>
      <c r="B315" t="str">
        <f>IF(Test_Bible!B360&lt;&gt;"","O","N")</f>
        <v>O</v>
      </c>
      <c r="C315" t="s">
        <v>1627</v>
      </c>
      <c r="D315" s="114">
        <v>0</v>
      </c>
      <c r="E315" s="114">
        <f>Test_Bible!Q360</f>
        <v>0</v>
      </c>
    </row>
    <row r="316" spans="1:6" x14ac:dyDescent="0.2">
      <c r="A316" t="s">
        <v>2183</v>
      </c>
      <c r="B316" t="str">
        <f>IF(Test_Bible!B362&lt;&gt;"","O","N")</f>
        <v>N</v>
      </c>
      <c r="C316" t="s">
        <v>1627</v>
      </c>
      <c r="D316" s="114">
        <v>0</v>
      </c>
      <c r="E316" s="114">
        <f>Test_Bible!Q362</f>
        <v>0</v>
      </c>
    </row>
    <row r="317" spans="1:6" x14ac:dyDescent="0.2">
      <c r="A317" t="s">
        <v>2183</v>
      </c>
      <c r="B317" t="str">
        <f>IF(Test_Bible!B364&lt;&gt;"","O","N")</f>
        <v>O</v>
      </c>
      <c r="C317" t="s">
        <v>1627</v>
      </c>
      <c r="D317" s="114">
        <v>0</v>
      </c>
      <c r="E317" s="114">
        <f>Test_Bible!Q364</f>
        <v>0</v>
      </c>
    </row>
    <row r="318" spans="1:6" x14ac:dyDescent="0.2">
      <c r="A318" t="s">
        <v>2183</v>
      </c>
      <c r="B318" t="str">
        <f>IF(Test_Bible!B366&lt;&gt;"","O","N")</f>
        <v>N</v>
      </c>
      <c r="C318" t="s">
        <v>1627</v>
      </c>
      <c r="D318" s="114">
        <v>0</v>
      </c>
      <c r="E318" s="114">
        <f>Test_Bible!Q366</f>
        <v>0</v>
      </c>
    </row>
    <row r="319" spans="1:6" x14ac:dyDescent="0.2">
      <c r="A319" t="s">
        <v>2182</v>
      </c>
      <c r="B319" t="str">
        <f>IF(Test_Bible!B371&lt;&gt;"","O","N")</f>
        <v>O</v>
      </c>
      <c r="C319" t="s">
        <v>1308</v>
      </c>
      <c r="D319" s="114">
        <v>7</v>
      </c>
      <c r="E319" s="114">
        <f>Test_Bible!Q371</f>
        <v>14</v>
      </c>
      <c r="F319" s="72">
        <f>Test_Bible!V371</f>
        <v>14</v>
      </c>
    </row>
    <row r="320" spans="1:6" x14ac:dyDescent="0.2">
      <c r="A320" t="s">
        <v>2184</v>
      </c>
      <c r="B320" t="str">
        <f>IF(Test_Bible!B372&lt;&gt;"","O","N")</f>
        <v>O</v>
      </c>
      <c r="C320" t="s">
        <v>1309</v>
      </c>
      <c r="D320" s="114">
        <v>5</v>
      </c>
      <c r="E320" s="114"/>
    </row>
    <row r="321" spans="3:13" x14ac:dyDescent="0.2">
      <c r="C321" s="1805"/>
      <c r="D321" s="1806"/>
      <c r="E321" s="1806"/>
      <c r="F321" s="1805"/>
      <c r="G321" s="1813">
        <f>Test_Bible!V380</f>
        <v>260</v>
      </c>
      <c r="H321" s="1813">
        <f>Test_Bible!X380</f>
        <v>0</v>
      </c>
      <c r="I321" s="1813">
        <f>Test_Bible!Y380</f>
        <v>54</v>
      </c>
      <c r="J321" s="1813">
        <f>Test_Bible!Z380</f>
        <v>108</v>
      </c>
      <c r="K321" s="1813">
        <f>Test_Bible!AA380</f>
        <v>216</v>
      </c>
      <c r="L321" s="1813">
        <f>Test_Bible!AB380</f>
        <v>378</v>
      </c>
      <c r="M321" s="1813">
        <f>Test_Bible!AC380</f>
        <v>540</v>
      </c>
    </row>
    <row r="339" spans="1:13" x14ac:dyDescent="0.2">
      <c r="A339" t="s">
        <v>1280</v>
      </c>
      <c r="B339" t="str">
        <f>IF(Test_Bible!B387&lt;&gt;"","O","N")</f>
        <v>O</v>
      </c>
      <c r="C339" t="s">
        <v>1499</v>
      </c>
      <c r="D339" s="5">
        <v>2</v>
      </c>
      <c r="F339" s="1783"/>
      <c r="G339" s="1784"/>
      <c r="H339" s="1784"/>
      <c r="I339" s="1784"/>
      <c r="J339" s="1784"/>
      <c r="K339" s="1784"/>
      <c r="L339" s="1784"/>
      <c r="M339" s="1784"/>
    </row>
    <row r="340" spans="1:13" x14ac:dyDescent="0.2">
      <c r="A340" t="s">
        <v>2180</v>
      </c>
      <c r="B340" t="str">
        <f>IF(Test_Bible!B394&lt;&gt;"","O","N")</f>
        <v>N</v>
      </c>
      <c r="C340" t="s">
        <v>1852</v>
      </c>
      <c r="D340" s="5">
        <v>0</v>
      </c>
      <c r="F340" s="1783"/>
      <c r="G340" s="1784"/>
      <c r="H340" s="1784"/>
      <c r="I340" s="1784"/>
      <c r="J340" s="1784"/>
      <c r="K340" s="1784"/>
      <c r="L340" s="1784"/>
      <c r="M340" s="1784"/>
    </row>
    <row r="341" spans="1:13" x14ac:dyDescent="0.2">
      <c r="C341" s="1810"/>
      <c r="D341" s="1811"/>
      <c r="E341" s="1811"/>
      <c r="F341" s="1810" t="s">
        <v>1506</v>
      </c>
      <c r="G341" s="1811"/>
      <c r="H341" s="1811"/>
      <c r="I341" s="1811"/>
      <c r="J341" s="1811"/>
      <c r="K341" s="1811"/>
      <c r="L341" s="1811"/>
      <c r="M341" s="1811"/>
    </row>
    <row r="361" spans="1:6" x14ac:dyDescent="0.2">
      <c r="A361" t="s">
        <v>450</v>
      </c>
      <c r="B361" t="str">
        <f>IF(Test_Bible!B402&lt;&gt;"","O","N")</f>
        <v>O</v>
      </c>
      <c r="C361" t="s">
        <v>1685</v>
      </c>
      <c r="D361" s="5">
        <v>7</v>
      </c>
      <c r="E361" s="114">
        <f>Test_Bible!Q402</f>
        <v>7</v>
      </c>
    </row>
    <row r="362" spans="1:6" x14ac:dyDescent="0.2">
      <c r="A362" t="s">
        <v>2182</v>
      </c>
      <c r="B362" t="str">
        <f>IF(Test_Bible!B404&lt;&gt;"","O","N")</f>
        <v>O</v>
      </c>
      <c r="C362" t="s">
        <v>201</v>
      </c>
      <c r="D362" s="114">
        <v>2</v>
      </c>
      <c r="E362" s="114">
        <f>Test_Bible!Q404</f>
        <v>0</v>
      </c>
      <c r="F362" s="72">
        <f>Test_Bible!V404</f>
        <v>0</v>
      </c>
    </row>
    <row r="363" spans="1:6" x14ac:dyDescent="0.2">
      <c r="A363" t="s">
        <v>2182</v>
      </c>
      <c r="B363" t="str">
        <f>IF(Test_Bible!B405&lt;&gt;"","O","N")</f>
        <v>N</v>
      </c>
      <c r="C363" t="s">
        <v>202</v>
      </c>
      <c r="D363" s="114">
        <v>0</v>
      </c>
      <c r="E363" s="114">
        <f>Test_Bible!Q405</f>
        <v>0</v>
      </c>
    </row>
    <row r="364" spans="1:6" x14ac:dyDescent="0.2">
      <c r="A364" t="s">
        <v>2182</v>
      </c>
      <c r="B364" t="str">
        <f>IF(Test_Bible!B406&lt;&gt;"","O","N")</f>
        <v>O</v>
      </c>
      <c r="C364" t="s">
        <v>203</v>
      </c>
      <c r="D364" s="114">
        <v>0</v>
      </c>
      <c r="E364" s="114">
        <f>Test_Bible!Q406</f>
        <v>0</v>
      </c>
      <c r="F364" s="72">
        <f>Test_Bible!V406</f>
        <v>0</v>
      </c>
    </row>
    <row r="365" spans="1:6" x14ac:dyDescent="0.2">
      <c r="A365" t="s">
        <v>2182</v>
      </c>
      <c r="B365" t="str">
        <f>IF(Test_Bible!B407&lt;&gt;"","O","N")</f>
        <v>O</v>
      </c>
      <c r="C365" t="s">
        <v>204</v>
      </c>
      <c r="D365" s="114">
        <v>7</v>
      </c>
      <c r="E365" s="114">
        <f>Test_Bible!Q407</f>
        <v>7</v>
      </c>
      <c r="F365" s="72">
        <f>Test_Bible!V407</f>
        <v>7</v>
      </c>
    </row>
    <row r="366" spans="1:6" x14ac:dyDescent="0.2">
      <c r="A366" t="s">
        <v>1280</v>
      </c>
      <c r="B366" t="str">
        <f>IF(Test_Bible!B408&lt;&gt;"","O","N")</f>
        <v>O</v>
      </c>
      <c r="C366" t="s">
        <v>205</v>
      </c>
      <c r="D366" s="114">
        <v>3</v>
      </c>
      <c r="E366" s="114"/>
      <c r="F366" s="72">
        <f>Test_Bible!V408</f>
        <v>18</v>
      </c>
    </row>
    <row r="367" spans="1:6" x14ac:dyDescent="0.2">
      <c r="A367" t="s">
        <v>2182</v>
      </c>
      <c r="B367" t="str">
        <f>IF(Test_Bible!B414&lt;&gt;"","O","N")</f>
        <v>O</v>
      </c>
      <c r="C367" t="s">
        <v>1407</v>
      </c>
      <c r="D367" s="114">
        <v>4</v>
      </c>
      <c r="E367" s="114">
        <f>Test_Bible!Q414</f>
        <v>12</v>
      </c>
    </row>
    <row r="368" spans="1:6" x14ac:dyDescent="0.2">
      <c r="A368" t="s">
        <v>2182</v>
      </c>
      <c r="B368" t="str">
        <f>IF(Test_Bible!B415&lt;&gt;"","O","N")</f>
        <v>O</v>
      </c>
      <c r="C368" t="s">
        <v>1485</v>
      </c>
      <c r="D368" s="114">
        <v>2</v>
      </c>
      <c r="E368" s="114">
        <f>Test_Bible!Q415</f>
        <v>6</v>
      </c>
    </row>
    <row r="369" spans="1:13" x14ac:dyDescent="0.2">
      <c r="A369" t="s">
        <v>2182</v>
      </c>
      <c r="B369" t="str">
        <f>IF(Test_Bible!B416&lt;&gt;"","O","N")</f>
        <v>O</v>
      </c>
      <c r="C369" t="s">
        <v>1409</v>
      </c>
      <c r="D369" s="114">
        <v>2</v>
      </c>
      <c r="E369" s="114">
        <f>Test_Bible!Q416</f>
        <v>6</v>
      </c>
    </row>
    <row r="370" spans="1:13" x14ac:dyDescent="0.2">
      <c r="A370" t="s">
        <v>2182</v>
      </c>
      <c r="B370" t="str">
        <f>IF(Test_Bible!B417&lt;&gt;"","O","N")</f>
        <v>O</v>
      </c>
      <c r="C370" t="s">
        <v>206</v>
      </c>
      <c r="D370" s="114">
        <v>7</v>
      </c>
      <c r="E370" s="114">
        <f>Test_Bible!Q417</f>
        <v>14</v>
      </c>
      <c r="F370" s="72">
        <f>Test_Bible!V417</f>
        <v>14</v>
      </c>
    </row>
    <row r="371" spans="1:13" x14ac:dyDescent="0.2">
      <c r="A371" t="s">
        <v>2182</v>
      </c>
      <c r="B371" t="str">
        <f>IF(Test_Bible!B418&lt;&gt;"","O","N")</f>
        <v>O</v>
      </c>
      <c r="C371" t="s">
        <v>1408</v>
      </c>
      <c r="D371" s="114">
        <v>7</v>
      </c>
      <c r="E371" s="114">
        <f>Test_Bible!Q418</f>
        <v>14</v>
      </c>
    </row>
    <row r="372" spans="1:13" x14ac:dyDescent="0.2">
      <c r="A372" t="s">
        <v>2182</v>
      </c>
      <c r="B372" t="str">
        <f>IF(Test_Bible!B419&lt;&gt;"","O","N")</f>
        <v>O</v>
      </c>
      <c r="C372" t="s">
        <v>207</v>
      </c>
      <c r="D372" s="114">
        <v>4</v>
      </c>
      <c r="E372" s="114">
        <f>Test_Bible!Q419</f>
        <v>8</v>
      </c>
      <c r="F372" s="72">
        <f>Test_Bible!V419</f>
        <v>8</v>
      </c>
    </row>
    <row r="373" spans="1:13" x14ac:dyDescent="0.2">
      <c r="A373" t="s">
        <v>2182</v>
      </c>
      <c r="B373" t="str">
        <f>IF(Test_Bible!B420&lt;&gt;"","O","N")</f>
        <v>O</v>
      </c>
      <c r="C373" t="s">
        <v>208</v>
      </c>
      <c r="D373" s="114">
        <v>4</v>
      </c>
      <c r="E373" s="114">
        <f>Test_Bible!Q420</f>
        <v>8</v>
      </c>
      <c r="F373" s="72">
        <f>Test_Bible!V420</f>
        <v>8</v>
      </c>
    </row>
    <row r="374" spans="1:13" x14ac:dyDescent="0.2">
      <c r="A374" t="s">
        <v>2182</v>
      </c>
      <c r="B374" t="str">
        <f>IF(Test_Bible!B421&lt;&gt;"","O","N")</f>
        <v>O</v>
      </c>
      <c r="C374" t="s">
        <v>209</v>
      </c>
      <c r="D374" s="114">
        <v>10</v>
      </c>
      <c r="E374" s="114">
        <f>Test_Bible!Q421</f>
        <v>20</v>
      </c>
      <c r="F374" s="72">
        <f>Test_Bible!V421</f>
        <v>20</v>
      </c>
    </row>
    <row r="375" spans="1:13" x14ac:dyDescent="0.2">
      <c r="A375" t="s">
        <v>2182</v>
      </c>
      <c r="B375" t="str">
        <f>IF(Test_Bible!B422&lt;&gt;"","O","N")</f>
        <v>O</v>
      </c>
      <c r="C375" t="s">
        <v>604</v>
      </c>
      <c r="D375" s="114">
        <v>0</v>
      </c>
      <c r="E375" s="114">
        <f>Test_Bible!Q422</f>
        <v>0</v>
      </c>
      <c r="F375" s="72">
        <f>Test_Bible!V422</f>
        <v>0</v>
      </c>
    </row>
    <row r="376" spans="1:13" x14ac:dyDescent="0.2">
      <c r="A376" t="s">
        <v>2182</v>
      </c>
      <c r="B376" t="str">
        <f>IF(Test_Bible!B423&lt;&gt;"","O","N")</f>
        <v>O</v>
      </c>
      <c r="C376" t="s">
        <v>210</v>
      </c>
      <c r="D376" s="114">
        <v>2</v>
      </c>
      <c r="E376" s="114">
        <f>Test_Bible!Q423</f>
        <v>6</v>
      </c>
      <c r="F376" s="72">
        <f>Test_Bible!V423</f>
        <v>6</v>
      </c>
    </row>
    <row r="377" spans="1:13" x14ac:dyDescent="0.2">
      <c r="A377" t="s">
        <v>2182</v>
      </c>
      <c r="B377" t="str">
        <f>IF(Test_Bible!B424&lt;&gt;"","O","N")</f>
        <v>O</v>
      </c>
      <c r="C377" t="s">
        <v>211</v>
      </c>
      <c r="D377" s="114">
        <v>1</v>
      </c>
      <c r="E377" s="114">
        <f>Test_Bible!Q424</f>
        <v>2</v>
      </c>
      <c r="F377" s="72">
        <f>Test_Bible!V424</f>
        <v>2</v>
      </c>
    </row>
    <row r="378" spans="1:13" x14ac:dyDescent="0.2">
      <c r="A378" t="s">
        <v>2182</v>
      </c>
      <c r="B378" t="str">
        <f>IF(Test_Bible!B425&lt;&gt;"","O","N")</f>
        <v>O</v>
      </c>
      <c r="C378" t="s">
        <v>212</v>
      </c>
      <c r="D378" s="114">
        <v>0</v>
      </c>
      <c r="E378" s="114">
        <f>Test_Bible!Q425</f>
        <v>0</v>
      </c>
      <c r="F378" s="72">
        <f>Test_Bible!V425</f>
        <v>0</v>
      </c>
    </row>
    <row r="379" spans="1:13" x14ac:dyDescent="0.2">
      <c r="A379" t="s">
        <v>2182</v>
      </c>
      <c r="B379" t="str">
        <f>IF(Test_Bible!B426&lt;&gt;"","O","N")</f>
        <v>N</v>
      </c>
      <c r="C379" t="s">
        <v>213</v>
      </c>
      <c r="D379" s="114">
        <v>0</v>
      </c>
      <c r="E379" s="114">
        <f>Test_Bible!Q426</f>
        <v>0</v>
      </c>
      <c r="F379" s="72">
        <f>Test_Bible!V426</f>
        <v>0</v>
      </c>
    </row>
    <row r="380" spans="1:13" x14ac:dyDescent="0.2">
      <c r="C380" s="1802"/>
      <c r="D380" s="1803"/>
      <c r="E380" s="1803"/>
      <c r="F380" s="1802"/>
      <c r="G380" s="1804">
        <f>Test_Bible!V427</f>
        <v>83</v>
      </c>
      <c r="H380" s="1804">
        <f>Test_Bible!X427</f>
        <v>0</v>
      </c>
      <c r="I380" s="1804">
        <f>Test_Bible!Y427</f>
        <v>20</v>
      </c>
      <c r="J380" s="1804">
        <f>Test_Bible!Z427</f>
        <v>40</v>
      </c>
      <c r="K380" s="1804">
        <f>Test_Bible!AA427</f>
        <v>80</v>
      </c>
      <c r="L380" s="1804">
        <f>Test_Bible!AB427</f>
        <v>140</v>
      </c>
      <c r="M380" s="1804">
        <f>Test_Bible!AC427</f>
        <v>200</v>
      </c>
    </row>
    <row r="398" spans="1:4" x14ac:dyDescent="0.2">
      <c r="A398" t="s">
        <v>2184</v>
      </c>
      <c r="B398" t="str">
        <f>IF(Test_Bible!B429&lt;&gt;"","O","N")</f>
        <v>O</v>
      </c>
      <c r="C398" t="s">
        <v>1206</v>
      </c>
      <c r="D398" s="5">
        <v>3</v>
      </c>
    </row>
    <row r="399" spans="1:4" x14ac:dyDescent="0.2">
      <c r="A399" t="s">
        <v>2180</v>
      </c>
      <c r="B399" t="str">
        <f>IF(Test_Bible!B446&lt;&gt;"","O","N")</f>
        <v>O</v>
      </c>
      <c r="C399" t="s">
        <v>1207</v>
      </c>
      <c r="D399" s="5">
        <v>4</v>
      </c>
    </row>
    <row r="400" spans="1:4" x14ac:dyDescent="0.2">
      <c r="A400" t="s">
        <v>2185</v>
      </c>
      <c r="B400" t="str">
        <f>IF(Test_Bible!B447&lt;&gt;"","O","N")</f>
        <v>O</v>
      </c>
      <c r="C400" t="s">
        <v>1208</v>
      </c>
      <c r="D400" s="5">
        <v>2</v>
      </c>
    </row>
    <row r="401" spans="1:26" x14ac:dyDescent="0.2">
      <c r="A401" t="s">
        <v>2180</v>
      </c>
      <c r="B401" t="str">
        <f>IF(Test_Bible!B451&lt;&gt;" ","O","N")</f>
        <v>N</v>
      </c>
      <c r="C401" t="s">
        <v>1209</v>
      </c>
      <c r="D401" s="5">
        <v>0</v>
      </c>
    </row>
    <row r="402" spans="1:26" x14ac:dyDescent="0.2">
      <c r="A402" t="s">
        <v>2183</v>
      </c>
      <c r="B402" t="str">
        <f>IF(Test_Bible!B458&lt;&gt;"","O","N")</f>
        <v>O</v>
      </c>
      <c r="C402" t="s">
        <v>1210</v>
      </c>
      <c r="D402" s="5">
        <v>0</v>
      </c>
      <c r="E402" s="5">
        <f>Test_Bible!P457</f>
        <v>4</v>
      </c>
    </row>
    <row r="403" spans="1:26" x14ac:dyDescent="0.2">
      <c r="A403" t="s">
        <v>2183</v>
      </c>
      <c r="B403" t="str">
        <f>IF(Test_Bible!B459&lt;&gt;"","O","N")</f>
        <v>O</v>
      </c>
      <c r="C403" t="s">
        <v>1210</v>
      </c>
      <c r="D403" s="5">
        <v>0</v>
      </c>
    </row>
    <row r="404" spans="1:26" x14ac:dyDescent="0.2">
      <c r="A404" t="s">
        <v>2183</v>
      </c>
      <c r="B404" t="str">
        <f>IF(Test_Bible!B460&lt;&gt;"","O","N")</f>
        <v>O</v>
      </c>
      <c r="C404" t="s">
        <v>1210</v>
      </c>
      <c r="D404" s="5">
        <v>1</v>
      </c>
    </row>
    <row r="405" spans="1:26" x14ac:dyDescent="0.2">
      <c r="A405" t="s">
        <v>2183</v>
      </c>
      <c r="B405" t="str">
        <f>IF(Test_Bible!B461&lt;&gt;"","O","N")</f>
        <v>O</v>
      </c>
      <c r="C405" t="s">
        <v>1210</v>
      </c>
      <c r="D405" s="5">
        <v>1</v>
      </c>
    </row>
    <row r="406" spans="1:26" x14ac:dyDescent="0.2">
      <c r="A406" t="s">
        <v>2183</v>
      </c>
      <c r="B406" t="str">
        <f>IF(Test_Bible!B462&lt;&gt;"","O","N")</f>
        <v>O</v>
      </c>
      <c r="C406" t="s">
        <v>1210</v>
      </c>
      <c r="D406" s="5">
        <v>0</v>
      </c>
    </row>
    <row r="407" spans="1:26" x14ac:dyDescent="0.2">
      <c r="A407" t="s">
        <v>2183</v>
      </c>
      <c r="B407" t="str">
        <f>IF(Test_Bible!B463&lt;&gt;"","O","N")</f>
        <v>O</v>
      </c>
      <c r="C407" t="s">
        <v>1210</v>
      </c>
      <c r="D407" s="5">
        <v>1</v>
      </c>
    </row>
    <row r="408" spans="1:26" x14ac:dyDescent="0.2">
      <c r="A408" t="s">
        <v>2183</v>
      </c>
      <c r="B408" t="str">
        <f>IF(Test_Bible!B464&lt;&gt;"","O","N")</f>
        <v>O</v>
      </c>
      <c r="C408" t="s">
        <v>1210</v>
      </c>
      <c r="D408" s="5">
        <v>1</v>
      </c>
    </row>
    <row r="409" spans="1:26" x14ac:dyDescent="0.2">
      <c r="A409" t="s">
        <v>2183</v>
      </c>
      <c r="B409" t="str">
        <f>IF(Test_Bible!B465&lt;&gt;"","O","N")</f>
        <v>O</v>
      </c>
      <c r="C409" t="s">
        <v>1210</v>
      </c>
      <c r="D409" s="5">
        <v>0</v>
      </c>
    </row>
    <row r="410" spans="1:26" x14ac:dyDescent="0.2">
      <c r="A410" t="s">
        <v>2183</v>
      </c>
      <c r="B410" t="str">
        <f>IF(Test_Bible!B466&lt;&gt;"","O","N")</f>
        <v>O</v>
      </c>
      <c r="C410" t="s">
        <v>1210</v>
      </c>
      <c r="D410" s="5">
        <v>0</v>
      </c>
    </row>
    <row r="416" spans="1:26" ht="26" x14ac:dyDescent="0.3">
      <c r="B416" s="819" t="s">
        <v>1863</v>
      </c>
      <c r="C416" s="111"/>
      <c r="D416" s="631"/>
      <c r="E416" s="631"/>
      <c r="F416" s="111"/>
      <c r="G416" s="2008" t="s">
        <v>1869</v>
      </c>
      <c r="H416" s="631"/>
      <c r="I416" s="631"/>
      <c r="J416" s="631"/>
      <c r="K416" s="631"/>
      <c r="L416" s="631"/>
      <c r="M416" s="631"/>
      <c r="N416" s="631"/>
      <c r="O416" s="631"/>
      <c r="P416" s="631"/>
      <c r="Q416" s="631"/>
      <c r="R416" s="631"/>
      <c r="S416" s="631"/>
      <c r="T416" s="631"/>
      <c r="U416" s="631"/>
      <c r="V416" s="631"/>
      <c r="W416" s="631"/>
      <c r="X416" s="631"/>
      <c r="Y416" s="631"/>
      <c r="Z416" s="631"/>
    </row>
    <row r="417" spans="2:28" ht="22" customHeight="1" x14ac:dyDescent="0.25">
      <c r="B417" s="2185" t="s">
        <v>2095</v>
      </c>
      <c r="C417" s="2185"/>
      <c r="D417" s="2185"/>
      <c r="E417" s="2185"/>
      <c r="F417" s="2185"/>
      <c r="G417" s="2185"/>
      <c r="H417" s="2185"/>
      <c r="I417" s="2187" t="s">
        <v>2094</v>
      </c>
      <c r="J417" s="2187"/>
      <c r="K417" s="2187"/>
      <c r="L417" s="2187"/>
      <c r="O417" s="5"/>
      <c r="P417" s="5"/>
      <c r="Q417" s="5"/>
      <c r="R417" s="5"/>
      <c r="S417" s="5"/>
      <c r="T417" s="5"/>
      <c r="U417" s="5"/>
      <c r="V417" s="5"/>
      <c r="W417" s="5"/>
      <c r="X417" s="5"/>
      <c r="Y417" s="5"/>
      <c r="Z417" s="5"/>
    </row>
    <row r="418" spans="2:28" ht="44" customHeight="1" x14ac:dyDescent="0.2">
      <c r="B418" s="2146" t="s">
        <v>1864</v>
      </c>
      <c r="G418" s="2094"/>
      <c r="O418" s="5"/>
      <c r="P418" s="5"/>
      <c r="Q418" s="5"/>
      <c r="R418" s="5"/>
      <c r="S418" s="5"/>
      <c r="T418" s="5"/>
      <c r="U418" s="5"/>
      <c r="V418" s="5"/>
      <c r="W418" s="5"/>
      <c r="X418" s="5"/>
      <c r="Y418" s="5"/>
      <c r="Z418" s="5"/>
    </row>
    <row r="419" spans="2:28" ht="22" customHeight="1" x14ac:dyDescent="0.25">
      <c r="B419" s="445" t="s">
        <v>2098</v>
      </c>
      <c r="F419" s="2019" t="s">
        <v>2099</v>
      </c>
      <c r="G419"/>
      <c r="O419" s="5"/>
      <c r="P419" s="5"/>
      <c r="Q419" s="5"/>
      <c r="R419" s="5"/>
      <c r="S419" s="5"/>
      <c r="T419" s="5"/>
      <c r="U419" s="5"/>
      <c r="V419" s="5"/>
      <c r="W419" s="5"/>
      <c r="X419" s="5"/>
      <c r="Y419" s="5"/>
      <c r="Z419" s="5"/>
    </row>
    <row r="420" spans="2:28" ht="22" customHeight="1" x14ac:dyDescent="0.2">
      <c r="B420" t="s">
        <v>2082</v>
      </c>
      <c r="G420" s="2019"/>
      <c r="J420" s="319" t="s">
        <v>2154</v>
      </c>
      <c r="O420" s="5"/>
      <c r="P420" s="5"/>
      <c r="Q420" s="5"/>
      <c r="R420" s="5"/>
      <c r="S420" s="5"/>
      <c r="T420" s="5"/>
      <c r="U420" s="5"/>
      <c r="V420" s="5"/>
      <c r="W420" s="5"/>
      <c r="X420" s="5"/>
      <c r="Y420" s="5"/>
      <c r="Z420" s="5"/>
    </row>
    <row r="421" spans="2:28" ht="22" customHeight="1" x14ac:dyDescent="0.2">
      <c r="G421" s="2019"/>
      <c r="O421" s="5"/>
      <c r="P421" s="5"/>
      <c r="Q421" s="5"/>
      <c r="R421" s="5"/>
      <c r="S421" s="5"/>
      <c r="T421" s="5"/>
      <c r="U421" s="5"/>
      <c r="V421" s="5"/>
      <c r="W421" s="5"/>
      <c r="X421" s="5"/>
      <c r="Y421" s="5"/>
      <c r="Z421" s="5"/>
    </row>
    <row r="423" spans="2:28" ht="29" customHeight="1" x14ac:dyDescent="0.2">
      <c r="B423" s="5"/>
      <c r="C423" s="5"/>
      <c r="E423" s="2186" t="s">
        <v>230</v>
      </c>
      <c r="F423" s="2186"/>
      <c r="G423" s="2186"/>
      <c r="O423" s="5"/>
      <c r="P423" s="5"/>
      <c r="Q423" s="5"/>
      <c r="R423" s="5"/>
      <c r="S423" s="5"/>
      <c r="T423" s="5"/>
      <c r="U423" s="5"/>
      <c r="V423" s="5"/>
      <c r="W423" s="5"/>
      <c r="X423" s="5"/>
      <c r="Y423" s="5"/>
      <c r="Z423" s="5"/>
    </row>
    <row r="424" spans="2:28" ht="31" customHeight="1" x14ac:dyDescent="0.2">
      <c r="C424" s="5"/>
      <c r="D424" s="975" t="s">
        <v>318</v>
      </c>
      <c r="E424" s="786" t="s">
        <v>2091</v>
      </c>
      <c r="F424" s="786" t="s">
        <v>2092</v>
      </c>
      <c r="G424" s="786" t="s">
        <v>2093</v>
      </c>
      <c r="J424"/>
      <c r="N424" s="5"/>
      <c r="O424" s="5"/>
      <c r="P424" s="5"/>
      <c r="Q424" s="5"/>
      <c r="R424" s="5"/>
      <c r="S424" s="5"/>
      <c r="T424" s="5"/>
      <c r="U424" s="5"/>
      <c r="V424" s="5"/>
      <c r="W424" s="5"/>
      <c r="X424" s="5"/>
      <c r="Y424" s="5"/>
      <c r="Z424" s="5"/>
    </row>
    <row r="425" spans="2:28" ht="23" customHeight="1" x14ac:dyDescent="0.2">
      <c r="C425" s="2" t="s">
        <v>2017</v>
      </c>
      <c r="D425" s="1288">
        <f>'Modèle Calcul A-R + miroir'!AO644</f>
        <v>226</v>
      </c>
      <c r="E425" s="5">
        <v>0</v>
      </c>
      <c r="F425" s="114">
        <f>'Modèle Calcul A-R + miroir'!AS644</f>
        <v>115</v>
      </c>
      <c r="G425" s="114">
        <f>'Modèle Calcul A-R + miroir'!AT644</f>
        <v>370</v>
      </c>
      <c r="J425"/>
      <c r="N425" s="5"/>
      <c r="O425" s="5"/>
      <c r="P425" s="5"/>
      <c r="Q425" s="5"/>
      <c r="R425" s="5"/>
      <c r="S425" s="5"/>
      <c r="T425" s="5"/>
      <c r="U425" s="5"/>
      <c r="V425" s="5"/>
      <c r="W425" s="5"/>
      <c r="X425" s="5"/>
      <c r="Y425" s="5"/>
      <c r="Z425" s="5"/>
    </row>
    <row r="426" spans="2:28" ht="23" customHeight="1" x14ac:dyDescent="0.2">
      <c r="C426" s="2" t="s">
        <v>2018</v>
      </c>
      <c r="D426" s="1288">
        <f>'Modèle Calcul A-R + miroir'!AP644</f>
        <v>152</v>
      </c>
      <c r="E426" s="5">
        <v>0</v>
      </c>
      <c r="F426" s="114">
        <f>'Modèle Calcul A-R + miroir'!AU644</f>
        <v>110</v>
      </c>
      <c r="G426" s="114">
        <f>'Modèle Calcul A-R + miroir'!AV644</f>
        <v>260</v>
      </c>
      <c r="J426"/>
      <c r="N426" s="5"/>
      <c r="O426" s="5"/>
      <c r="P426" s="5"/>
      <c r="Q426" s="5"/>
      <c r="R426" s="5"/>
      <c r="S426" s="5"/>
      <c r="T426" s="5"/>
      <c r="U426" s="5"/>
      <c r="V426" s="5"/>
      <c r="W426" s="5"/>
      <c r="X426" s="5"/>
      <c r="Y426" s="5"/>
      <c r="Z426" s="5"/>
    </row>
    <row r="427" spans="2:28" ht="23" customHeight="1" x14ac:dyDescent="0.2">
      <c r="C427" s="2" t="s">
        <v>2016</v>
      </c>
      <c r="D427" s="1288">
        <f>'Modèle Calcul A-R + miroir'!AN644</f>
        <v>379</v>
      </c>
      <c r="E427" s="5">
        <v>0</v>
      </c>
      <c r="F427" s="114">
        <f>'Modèle Calcul A-R + miroir'!AQ644</f>
        <v>273</v>
      </c>
      <c r="G427" s="114">
        <f>'Modèle Calcul A-R + miroir'!AR644</f>
        <v>640</v>
      </c>
      <c r="J427"/>
      <c r="N427" s="5"/>
      <c r="O427" s="5"/>
      <c r="P427" s="5"/>
      <c r="Q427" s="5"/>
      <c r="R427" s="5"/>
      <c r="S427" s="5"/>
      <c r="T427" s="5"/>
      <c r="U427" s="5"/>
      <c r="V427" s="5"/>
      <c r="W427" s="5"/>
      <c r="X427" s="5"/>
      <c r="Y427" s="5"/>
      <c r="Z427" s="5"/>
    </row>
    <row r="428" spans="2:28" ht="23" customHeight="1" x14ac:dyDescent="0.25">
      <c r="F428" s="5"/>
      <c r="G428"/>
      <c r="H428" s="2139">
        <f>'Indice VC'!C21</f>
        <v>22</v>
      </c>
      <c r="I428" t="str">
        <f>IF('Indice VC'!C21&gt;1,"Des signes de violence conjugale ont été relevé dans vos réponses, consultez SOS Violence conjugale","")</f>
        <v>Des signes de violence conjugale ont été relevé dans vos réponses, consultez SOS Violence conjugale</v>
      </c>
      <c r="J428"/>
      <c r="N428" s="5"/>
      <c r="O428" s="5"/>
      <c r="P428" s="5"/>
      <c r="Q428" s="5"/>
      <c r="R428" s="5"/>
      <c r="S428" s="5"/>
      <c r="T428" s="5"/>
      <c r="U428" s="5"/>
      <c r="V428" s="5"/>
      <c r="W428" s="5"/>
      <c r="X428" s="5"/>
      <c r="Y428" s="5"/>
      <c r="Z428" s="5"/>
    </row>
    <row r="429" spans="2:28" ht="42" customHeight="1" x14ac:dyDescent="0.3">
      <c r="B429" s="657"/>
      <c r="G429" s="2096"/>
      <c r="N429" s="5"/>
      <c r="O429" s="5"/>
      <c r="P429" s="5"/>
      <c r="Q429" s="5"/>
      <c r="R429" s="5"/>
      <c r="S429" s="5"/>
      <c r="T429" s="5"/>
      <c r="U429" s="5"/>
      <c r="V429" s="5"/>
      <c r="W429" s="5"/>
      <c r="X429" s="5"/>
      <c r="Y429" s="5"/>
      <c r="Z429" s="5"/>
    </row>
    <row r="430" spans="2:28" ht="19" x14ac:dyDescent="0.25">
      <c r="B430" s="2142" t="s">
        <v>2100</v>
      </c>
      <c r="C430" s="5"/>
      <c r="E430"/>
      <c r="F430" s="2019" t="s">
        <v>2101</v>
      </c>
      <c r="L430" s="2140"/>
      <c r="M430" s="319"/>
      <c r="Q430" s="5"/>
      <c r="R430" s="5"/>
      <c r="T430" s="5"/>
      <c r="U430" s="5"/>
      <c r="V430" s="5"/>
      <c r="W430" s="5"/>
      <c r="X430" s="5"/>
      <c r="Y430" s="5"/>
      <c r="Z430" s="5"/>
    </row>
    <row r="431" spans="2:28" x14ac:dyDescent="0.2">
      <c r="B431" t="s">
        <v>1909</v>
      </c>
      <c r="C431" s="5"/>
      <c r="E431"/>
      <c r="F431" s="2019"/>
      <c r="H431" s="2172" t="s">
        <v>2167</v>
      </c>
      <c r="L431" s="319"/>
      <c r="Q431" s="5"/>
      <c r="S431" s="5"/>
      <c r="T431" s="5"/>
      <c r="U431" s="5"/>
      <c r="V431" s="5"/>
      <c r="W431" s="5"/>
      <c r="X431" s="5"/>
      <c r="Y431" s="5"/>
      <c r="Z431" s="5"/>
    </row>
    <row r="432" spans="2:28" x14ac:dyDescent="0.2">
      <c r="C432" s="5"/>
      <c r="E432"/>
      <c r="F432" s="1646" t="s">
        <v>2171</v>
      </c>
      <c r="M432"/>
      <c r="Q432" s="5"/>
      <c r="S432" s="5"/>
      <c r="T432" s="5"/>
      <c r="U432" s="5"/>
      <c r="V432" s="5"/>
      <c r="W432" s="5"/>
      <c r="X432" s="5"/>
      <c r="Y432" s="5"/>
      <c r="Z432" s="5"/>
      <c r="AB432" s="319" t="s">
        <v>2140</v>
      </c>
    </row>
    <row r="433" spans="3:26" ht="17" x14ac:dyDescent="0.2">
      <c r="C433" s="631"/>
      <c r="D433" s="1487" t="s">
        <v>1892</v>
      </c>
      <c r="E433" s="2021" t="s">
        <v>488</v>
      </c>
      <c r="F433" s="5"/>
      <c r="I433" s="2173"/>
      <c r="M433"/>
      <c r="Q433" s="5"/>
      <c r="S433" s="5"/>
      <c r="T433" s="5"/>
      <c r="U433" s="5"/>
      <c r="V433" s="5"/>
      <c r="W433" s="5"/>
      <c r="X433" s="5"/>
      <c r="Y433" s="5"/>
      <c r="Z433" s="5"/>
    </row>
    <row r="434" spans="3:26" x14ac:dyDescent="0.2">
      <c r="C434" s="788" t="str">
        <f>'Modèle Miroir_divergence'!B13</f>
        <v>Interrogatoires au retour de garde</v>
      </c>
      <c r="D434" s="2009">
        <f>'Modèle Miroir_divergence'!D13</f>
        <v>2</v>
      </c>
      <c r="E434" s="2009">
        <f>'Modèle Miroir_divergence'!G13</f>
        <v>1</v>
      </c>
      <c r="F434" s="319" t="str">
        <f>'Modèle Miroir_divergence'!K13</f>
        <v>Adéquat</v>
      </c>
      <c r="M434"/>
      <c r="Q434" s="5"/>
      <c r="S434" s="5"/>
      <c r="T434" s="5"/>
      <c r="U434" s="5"/>
      <c r="V434" s="5"/>
      <c r="W434" s="5"/>
      <c r="X434" s="5"/>
      <c r="Y434" s="5"/>
      <c r="Z434" s="5"/>
    </row>
    <row r="435" spans="3:26" x14ac:dyDescent="0.2">
      <c r="C435" s="788" t="str">
        <f>'Modèle Miroir_divergence'!B14</f>
        <v>Exigences de coparentalité</v>
      </c>
      <c r="D435" s="2009">
        <f>'Modèle Miroir_divergence'!D14</f>
        <v>2</v>
      </c>
      <c r="E435" s="2009">
        <f>'Modèle Miroir_divergence'!G14</f>
        <v>2</v>
      </c>
      <c r="F435" s="319" t="str">
        <f>'Modèle Miroir_divergence'!K14</f>
        <v>Adéquat</v>
      </c>
      <c r="M435"/>
      <c r="Q435" s="5"/>
      <c r="R435" s="5"/>
      <c r="S435" s="5"/>
      <c r="T435" s="5"/>
      <c r="U435" s="5"/>
      <c r="V435" s="5"/>
      <c r="W435" s="5"/>
      <c r="X435" s="5"/>
      <c r="Y435" s="5"/>
      <c r="Z435" s="5"/>
    </row>
    <row r="436" spans="3:26" x14ac:dyDescent="0.2">
      <c r="C436" s="788" t="str">
        <f>'Modèle Miroir_divergence'!B15</f>
        <v>Valeur du co-parent et en compétition</v>
      </c>
      <c r="D436" s="2009">
        <f>'Modèle Miroir_divergence'!D15</f>
        <v>10</v>
      </c>
      <c r="E436" s="2009">
        <f>'Modèle Miroir_divergence'!G15</f>
        <v>4</v>
      </c>
      <c r="F436" s="319" t="str">
        <f>'Modèle Miroir_divergence'!K15</f>
        <v>Conseils prioritaires</v>
      </c>
      <c r="M436"/>
      <c r="Q436" s="5"/>
      <c r="R436" s="5"/>
      <c r="S436" s="5"/>
      <c r="T436" s="5"/>
      <c r="U436" s="5"/>
      <c r="V436" s="5"/>
      <c r="W436" s="5"/>
      <c r="X436" s="5"/>
      <c r="Y436" s="5"/>
      <c r="Z436" s="5"/>
    </row>
    <row r="437" spans="3:26" x14ac:dyDescent="0.2">
      <c r="C437" s="788" t="str">
        <f>'Modèle Miroir_divergence'!B27</f>
        <v>Transport d'objets entre les deux domiciles</v>
      </c>
      <c r="D437" s="2009">
        <f>'Modèle Miroir_divergence'!D16</f>
        <v>2</v>
      </c>
      <c r="E437" s="2009">
        <f>'Modèle Miroir_divergence'!G16</f>
        <v>7</v>
      </c>
      <c r="F437" s="319" t="str">
        <f>'Modèle Miroir_divergence'!K16</f>
        <v>Conseils prioritaires</v>
      </c>
      <c r="M437"/>
      <c r="Q437" s="5"/>
      <c r="R437" s="5"/>
      <c r="S437" s="5"/>
      <c r="T437" s="5"/>
      <c r="U437" s="5"/>
      <c r="V437" s="5"/>
      <c r="W437" s="5"/>
      <c r="X437" s="5"/>
      <c r="Y437" s="5"/>
      <c r="Z437" s="5"/>
    </row>
    <row r="438" spans="3:26" x14ac:dyDescent="0.2">
      <c r="C438" s="788" t="str">
        <f>'Modèle Miroir_divergence'!B18</f>
        <v>Réaction en présence de l'autre parent</v>
      </c>
      <c r="D438" s="2009">
        <f>'Modèle Miroir_divergence'!D17</f>
        <v>0</v>
      </c>
      <c r="E438" s="2009">
        <f>'Modèle Miroir_divergence'!G17</f>
        <v>0</v>
      </c>
      <c r="F438" s="319" t="str">
        <f>'Modèle Miroir_divergence'!K17</f>
        <v>Adéquat</v>
      </c>
      <c r="M438"/>
      <c r="Q438" s="5"/>
      <c r="R438" s="5"/>
      <c r="S438" s="5"/>
      <c r="T438" s="5"/>
      <c r="U438" s="5"/>
      <c r="V438" s="5"/>
      <c r="W438" s="5"/>
      <c r="X438" s="5"/>
      <c r="Y438" s="5"/>
      <c r="Z438" s="5"/>
    </row>
    <row r="439" spans="3:26" x14ac:dyDescent="0.2">
      <c r="C439" s="788" t="str">
        <f>'Modèle Miroir_divergence'!B19</f>
        <v>Reproche et dénigrement de l'autre devant l'enfant</v>
      </c>
      <c r="D439" s="2009">
        <f>'Modèle Miroir_divergence'!D18</f>
        <v>7</v>
      </c>
      <c r="E439" s="2009">
        <f>'Modèle Miroir_divergence'!G18</f>
        <v>2</v>
      </c>
      <c r="F439" s="319" t="str">
        <f>'Modèle Miroir_divergence'!K18</f>
        <v>Conseils prioritaires</v>
      </c>
      <c r="M439"/>
      <c r="Q439" s="5"/>
      <c r="R439" s="5"/>
      <c r="S439" s="5"/>
      <c r="T439" s="5"/>
      <c r="U439" s="5"/>
      <c r="V439" s="5"/>
      <c r="W439" s="5"/>
      <c r="X439" s="5"/>
      <c r="Y439" s="5"/>
      <c r="Z439" s="5"/>
    </row>
    <row r="440" spans="3:26" x14ac:dyDescent="0.2">
      <c r="C440" s="788" t="str">
        <f>'Modèle Miroir_divergence'!B20</f>
        <v>Prise de décision sans consentement</v>
      </c>
      <c r="D440" s="2009">
        <f>'Modèle Miroir_divergence'!D19</f>
        <v>7</v>
      </c>
      <c r="E440" s="2009">
        <f>'Modèle Miroir_divergence'!G19</f>
        <v>2</v>
      </c>
      <c r="F440" s="319" t="str">
        <f>'Modèle Miroir_divergence'!K19</f>
        <v>Conseils prioritaires</v>
      </c>
      <c r="M440"/>
      <c r="Q440" s="5"/>
      <c r="R440" s="5"/>
      <c r="S440" s="5"/>
      <c r="T440" s="5"/>
      <c r="U440" s="5"/>
      <c r="V440" s="5"/>
      <c r="W440" s="5"/>
      <c r="X440" s="5"/>
      <c r="Y440" s="5"/>
      <c r="Z440" s="5"/>
    </row>
    <row r="441" spans="3:26" x14ac:dyDescent="0.2">
      <c r="C441" s="788" t="str">
        <f>'Modèle Miroir_divergence'!B21</f>
        <v>Liberté du choix de l'enfant</v>
      </c>
      <c r="D441" s="2009">
        <f>'Modèle Miroir_divergence'!D20</f>
        <v>1</v>
      </c>
      <c r="E441" s="2009">
        <f>'Modèle Miroir_divergence'!G20</f>
        <v>4</v>
      </c>
      <c r="F441" s="319" t="str">
        <f>'Modèle Miroir_divergence'!K20</f>
        <v>Conseils prioritaires</v>
      </c>
      <c r="M441"/>
      <c r="Q441" s="5"/>
      <c r="R441" s="5"/>
      <c r="S441" s="5"/>
      <c r="T441" s="5"/>
      <c r="U441" s="5"/>
      <c r="V441" s="5"/>
      <c r="W441" s="5"/>
      <c r="X441" s="5"/>
      <c r="Y441" s="5"/>
      <c r="Z441" s="5"/>
    </row>
    <row r="442" spans="3:26" x14ac:dyDescent="0.2">
      <c r="C442" s="788" t="str">
        <f>'Modèle Miroir_divergence'!B22</f>
        <v>Impose sa présence hors de son temps de garde</v>
      </c>
      <c r="D442" s="2009">
        <f>'Modèle Miroir_divergence'!D21</f>
        <v>0</v>
      </c>
      <c r="E442" s="2009">
        <f>'Modèle Miroir_divergence'!G21</f>
        <v>2</v>
      </c>
      <c r="F442" s="319" t="str">
        <f>'Modèle Miroir_divergence'!K21</f>
        <v>Adéquat</v>
      </c>
      <c r="M442"/>
      <c r="Q442" s="5"/>
      <c r="R442" s="5"/>
      <c r="S442" s="5"/>
      <c r="T442" s="5"/>
      <c r="U442" s="5"/>
      <c r="V442" s="5"/>
      <c r="W442" s="5"/>
      <c r="X442" s="5"/>
      <c r="Y442" s="5"/>
      <c r="Z442" s="5"/>
    </row>
    <row r="443" spans="3:26" x14ac:dyDescent="0.2">
      <c r="C443" s="788" t="str">
        <f>'Modèle Miroir_divergence'!B23</f>
        <v>Intervention à la suite d'un retour de garde</v>
      </c>
      <c r="D443" s="2009">
        <f>'Modèle Miroir_divergence'!D22</f>
        <v>7</v>
      </c>
      <c r="E443" s="2009">
        <f>'Modèle Miroir_divergence'!G22</f>
        <v>1</v>
      </c>
      <c r="F443" s="319" t="str">
        <f>'Modèle Miroir_divergence'!K22</f>
        <v>Conseils prioritaires</v>
      </c>
      <c r="M443"/>
      <c r="Q443" s="5"/>
      <c r="R443" s="5"/>
      <c r="S443" s="5"/>
      <c r="T443" s="5"/>
      <c r="U443" s="5"/>
      <c r="V443" s="5"/>
      <c r="W443" s="5"/>
      <c r="X443" s="5"/>
      <c r="Y443" s="5"/>
      <c r="Z443" s="5"/>
    </row>
    <row r="444" spans="3:26" x14ac:dyDescent="0.2">
      <c r="C444" s="788" t="str">
        <f>'Modèle Miroir_divergence'!B24</f>
        <v>Fait lire les communications à l'enfant</v>
      </c>
      <c r="D444" s="2009">
        <f>'Modèle Miroir_divergence'!D23</f>
        <v>2</v>
      </c>
      <c r="E444" s="2009">
        <f>'Modèle Miroir_divergence'!G23</f>
        <v>4</v>
      </c>
      <c r="F444" s="319" t="str">
        <f>'Modèle Miroir_divergence'!K23</f>
        <v>Conseils prioritaires</v>
      </c>
      <c r="M444"/>
      <c r="Q444" s="5"/>
      <c r="R444" s="5"/>
      <c r="S444" s="5"/>
      <c r="T444" s="5"/>
      <c r="U444" s="5"/>
      <c r="V444" s="5"/>
      <c r="W444" s="5"/>
      <c r="X444" s="5"/>
      <c r="Y444" s="5"/>
      <c r="Z444" s="5"/>
    </row>
    <row r="445" spans="3:26" ht="19" x14ac:dyDescent="0.25">
      <c r="C445" s="788" t="str">
        <f>'Modèle Miroir_divergence'!B25</f>
        <v>L'enfant comme messager de la logisitque</v>
      </c>
      <c r="D445" s="2009">
        <f>'Modèle Miroir_divergence'!D24</f>
        <v>7</v>
      </c>
      <c r="E445" s="2009">
        <f>'Modèle Miroir_divergence'!G24</f>
        <v>1</v>
      </c>
      <c r="F445" s="319" t="str">
        <f>'Modèle Miroir_divergence'!K24</f>
        <v>Conseils prioritaires</v>
      </c>
      <c r="G445" s="2096"/>
      <c r="N445" s="5"/>
      <c r="O445" s="5"/>
      <c r="P445" s="5"/>
      <c r="Q445" s="5"/>
      <c r="R445" s="5"/>
      <c r="S445" s="5"/>
      <c r="T445" s="5"/>
      <c r="U445" s="5"/>
      <c r="V445" s="5"/>
      <c r="W445" s="5"/>
      <c r="X445" s="5"/>
      <c r="Y445" s="5"/>
      <c r="Z445" s="5"/>
    </row>
    <row r="446" spans="3:26" ht="19" x14ac:dyDescent="0.25">
      <c r="C446" s="788" t="str">
        <f>'Modèle Miroir_divergence'!B26</f>
        <v>Maturité de l'enfant face à ses choix</v>
      </c>
      <c r="D446" s="2009">
        <f>'Modèle Miroir_divergence'!D25</f>
        <v>7</v>
      </c>
      <c r="E446" s="2009">
        <f>'Modèle Miroir_divergence'!G25</f>
        <v>4</v>
      </c>
      <c r="F446" s="319" t="str">
        <f>'Modèle Miroir_divergence'!K25</f>
        <v>Conseils prioritaires</v>
      </c>
      <c r="G446" s="2096"/>
      <c r="N446" s="5"/>
      <c r="O446" s="5"/>
      <c r="P446" s="5"/>
      <c r="Q446" s="5"/>
      <c r="R446" s="5"/>
      <c r="S446" s="5"/>
      <c r="T446" s="5"/>
      <c r="U446" s="5"/>
      <c r="V446" s="5"/>
      <c r="W446" s="5"/>
      <c r="X446" s="5"/>
      <c r="Y446" s="5"/>
      <c r="Z446" s="5"/>
    </row>
    <row r="447" spans="3:26" ht="19" x14ac:dyDescent="0.25">
      <c r="C447" s="2"/>
      <c r="E447" s="114"/>
      <c r="F447" s="319"/>
      <c r="G447" s="2096"/>
      <c r="K447" s="114" t="s">
        <v>2169</v>
      </c>
      <c r="N447" s="5"/>
      <c r="O447" s="5"/>
      <c r="P447" s="5"/>
      <c r="Q447" s="5"/>
      <c r="R447" s="5"/>
      <c r="S447" s="5"/>
      <c r="T447" s="5"/>
      <c r="U447" s="5"/>
      <c r="V447" s="5"/>
      <c r="W447" s="5"/>
      <c r="X447" s="5"/>
      <c r="Y447" s="5"/>
      <c r="Z447" s="5"/>
    </row>
    <row r="448" spans="3:26" ht="30" customHeight="1" x14ac:dyDescent="0.2">
      <c r="G448" s="319"/>
    </row>
    <row r="449" spans="2:26" ht="19" x14ac:dyDescent="0.25">
      <c r="B449" s="445" t="s">
        <v>2152</v>
      </c>
    </row>
    <row r="450" spans="2:26" ht="23" customHeight="1" x14ac:dyDescent="0.2">
      <c r="B450" s="2143" t="s">
        <v>2153</v>
      </c>
      <c r="F450" s="2019" t="s">
        <v>2105</v>
      </c>
      <c r="G450" s="2019"/>
      <c r="I450" s="2161"/>
      <c r="J450" s="2160" t="s">
        <v>2104</v>
      </c>
    </row>
    <row r="451" spans="2:26" ht="24" customHeight="1" x14ac:dyDescent="0.2">
      <c r="C451" s="638" t="s">
        <v>318</v>
      </c>
      <c r="D451" s="2174" t="s">
        <v>1886</v>
      </c>
      <c r="E451" s="2174"/>
      <c r="F451" s="2174"/>
      <c r="G451" s="2174"/>
      <c r="H451" s="2174"/>
      <c r="I451" s="2174"/>
      <c r="J451" s="2154" t="s">
        <v>2168</v>
      </c>
    </row>
    <row r="452" spans="2:26" ht="29" customHeight="1" x14ac:dyDescent="0.2">
      <c r="C452" s="638"/>
      <c r="D452" s="114" t="s">
        <v>1322</v>
      </c>
      <c r="F452" s="5"/>
      <c r="I452" s="5" t="s">
        <v>1323</v>
      </c>
      <c r="J452" s="11"/>
    </row>
    <row r="453" spans="2:26" ht="19" customHeight="1" x14ac:dyDescent="0.2">
      <c r="B453" t="s">
        <v>2131</v>
      </c>
      <c r="C453" s="2010">
        <f>Test_Bible!V259+Test_Bible!V159</f>
        <v>321</v>
      </c>
      <c r="D453" s="114">
        <f>Test_Bible!X259+Test_Bible!X159</f>
        <v>0</v>
      </c>
      <c r="E453" s="114">
        <f>Test_Bible!Y259+Test_Bible!Y159</f>
        <v>88</v>
      </c>
      <c r="F453" s="114">
        <f>Test_Bible!Z259+Test_Bible!Z159</f>
        <v>176</v>
      </c>
      <c r="G453" s="114">
        <f>Test_Bible!AA259+Test_Bible!AA159</f>
        <v>352</v>
      </c>
      <c r="H453" s="114">
        <f>Test_Bible!AB259+Test_Bible!AB159</f>
        <v>616</v>
      </c>
      <c r="I453" s="114">
        <f>Test_Bible!AC259+Test_Bible!AC159</f>
        <v>880</v>
      </c>
    </row>
    <row r="454" spans="2:26" ht="22" customHeight="1" x14ac:dyDescent="0.2">
      <c r="B454" t="s">
        <v>2132</v>
      </c>
      <c r="C454" s="2010">
        <f>Test_Bible!V427</f>
        <v>83</v>
      </c>
      <c r="D454" s="114">
        <f>Test_Bible!X427</f>
        <v>0</v>
      </c>
      <c r="E454" s="114">
        <f>Test_Bible!Y427</f>
        <v>20</v>
      </c>
      <c r="F454" s="114">
        <f>Test_Bible!Z427</f>
        <v>40</v>
      </c>
      <c r="G454" s="114">
        <f>Test_Bible!AA427</f>
        <v>80</v>
      </c>
      <c r="H454" s="114">
        <f>Test_Bible!AB427</f>
        <v>140</v>
      </c>
      <c r="I454" s="114">
        <f>Test_Bible!AC427</f>
        <v>200</v>
      </c>
    </row>
    <row r="455" spans="2:26" ht="19" x14ac:dyDescent="0.25">
      <c r="B455" s="445"/>
    </row>
    <row r="456" spans="2:26" ht="72" customHeight="1" x14ac:dyDescent="0.2">
      <c r="G456" s="2019"/>
      <c r="J456" s="2182" t="s">
        <v>2170</v>
      </c>
      <c r="K456" s="2182"/>
      <c r="L456" s="5" t="s">
        <v>2133</v>
      </c>
    </row>
    <row r="457" spans="2:26" ht="23" customHeight="1" x14ac:dyDescent="0.2">
      <c r="G457" s="2019"/>
      <c r="J457" s="2182"/>
      <c r="K457" s="2182"/>
      <c r="M457" s="319" t="s">
        <v>2155</v>
      </c>
    </row>
    <row r="458" spans="2:26" ht="53" customHeight="1" x14ac:dyDescent="0.25">
      <c r="B458" s="48" t="s">
        <v>2097</v>
      </c>
      <c r="F458" s="2019" t="s">
        <v>2151</v>
      </c>
      <c r="M458" s="3"/>
      <c r="O458" s="5"/>
      <c r="P458" s="5"/>
      <c r="Q458" s="5"/>
      <c r="R458" s="5"/>
      <c r="S458" s="5"/>
      <c r="T458" s="5"/>
      <c r="U458" s="5"/>
      <c r="V458" s="5"/>
      <c r="W458" s="5"/>
      <c r="X458" s="5"/>
      <c r="Y458" s="5"/>
      <c r="Z458" s="5"/>
    </row>
    <row r="459" spans="2:26" x14ac:dyDescent="0.2">
      <c r="B459" s="2143" t="s">
        <v>2102</v>
      </c>
      <c r="E459" s="2159"/>
      <c r="M459"/>
      <c r="O459" s="5"/>
      <c r="P459" s="5"/>
      <c r="Q459" s="5"/>
      <c r="R459" s="5"/>
      <c r="S459" s="5"/>
      <c r="T459" s="5"/>
      <c r="U459" s="5"/>
      <c r="V459" s="5"/>
      <c r="W459" s="5"/>
      <c r="X459" s="5"/>
      <c r="Y459" s="5"/>
      <c r="Z459" s="5"/>
    </row>
    <row r="460" spans="2:26" ht="17" customHeight="1" x14ac:dyDescent="0.2">
      <c r="B460" s="2181"/>
      <c r="C460" s="2181"/>
      <c r="D460" s="3"/>
      <c r="E460" s="3"/>
      <c r="F460" s="3"/>
      <c r="G460" s="3"/>
      <c r="H460"/>
      <c r="I460" s="2160" t="s">
        <v>2107</v>
      </c>
      <c r="O460" s="5"/>
      <c r="P460" s="5"/>
      <c r="Q460" s="5"/>
      <c r="R460" s="5"/>
      <c r="S460" s="5"/>
      <c r="T460" s="5"/>
      <c r="U460" s="5"/>
      <c r="V460" s="5"/>
      <c r="W460" s="5"/>
      <c r="X460" s="5"/>
      <c r="Y460" s="5"/>
      <c r="Z460" s="5"/>
    </row>
    <row r="461" spans="2:26" x14ac:dyDescent="0.2">
      <c r="B461" s="5"/>
      <c r="C461" s="975" t="s">
        <v>318</v>
      </c>
      <c r="D461" s="2157" t="s">
        <v>2139</v>
      </c>
      <c r="H461"/>
      <c r="N461" s="5"/>
      <c r="O461" s="5"/>
      <c r="P461" s="5"/>
      <c r="Q461" s="5"/>
      <c r="R461" s="5"/>
      <c r="S461" s="5"/>
      <c r="T461" s="5"/>
      <c r="U461" s="5"/>
      <c r="V461" s="5"/>
      <c r="W461" s="5"/>
      <c r="X461" s="5"/>
      <c r="Y461" s="5"/>
      <c r="Z461" s="5"/>
    </row>
    <row r="462" spans="2:26" x14ac:dyDescent="0.2">
      <c r="B462" s="2" t="s">
        <v>2096</v>
      </c>
      <c r="C462" s="2145">
        <f>Contexte!E25</f>
        <v>16</v>
      </c>
      <c r="D462" s="1646" t="str">
        <f>IF(Test_Bible!$P$21=1,"Vos réponses nous indiquent que votre union a été très brève, il faut donc considérer la qualité du lien d'attachement avec l'enfant",IF(Test_Bible!$P$27&lt;2,"Puisque votre séparation est assez récente (&lt;2 ans), c'est une période d'adaptation à ne pas négliger","selon la durée de vie commune et le temps de séparation"))</f>
        <v>selon la durée de vie commune et le temps de séparation</v>
      </c>
      <c r="H462"/>
      <c r="I462" s="5" t="s">
        <v>1870</v>
      </c>
      <c r="N462" s="5"/>
      <c r="O462" s="5"/>
      <c r="P462" s="5"/>
      <c r="Q462" s="5"/>
      <c r="R462" s="5"/>
      <c r="S462" s="5"/>
      <c r="T462" s="5"/>
      <c r="U462" s="5"/>
      <c r="V462" s="5"/>
      <c r="W462" s="5"/>
      <c r="X462" s="5"/>
      <c r="Y462" s="5"/>
      <c r="Z462" s="5"/>
    </row>
    <row r="463" spans="2:26" x14ac:dyDescent="0.2">
      <c r="F463" s="5"/>
      <c r="H463"/>
      <c r="N463" s="5"/>
      <c r="O463" s="5"/>
      <c r="P463" s="5"/>
      <c r="Q463" s="5"/>
      <c r="R463" s="5"/>
      <c r="S463" s="5"/>
      <c r="T463" s="5"/>
      <c r="U463" s="5"/>
      <c r="V463" s="5"/>
      <c r="W463" s="5"/>
      <c r="X463" s="5"/>
      <c r="Y463" s="5"/>
      <c r="Z463" s="5"/>
    </row>
    <row r="464" spans="2:26" x14ac:dyDescent="0.2">
      <c r="D464" s="1" t="s">
        <v>2096</v>
      </c>
      <c r="G464" s="319"/>
    </row>
    <row r="465" spans="2:9" x14ac:dyDescent="0.2">
      <c r="C465" s="5" t="str">
        <f>Contexte!F3</f>
        <v>Absent</v>
      </c>
      <c r="D465" s="5" t="str">
        <f>Contexte!F18</f>
        <v>0 à 5</v>
      </c>
      <c r="G465" s="319"/>
      <c r="I465" s="5" t="s">
        <v>26</v>
      </c>
    </row>
    <row r="466" spans="2:9" x14ac:dyDescent="0.2">
      <c r="C466" s="5" t="str">
        <f>Contexte!G3</f>
        <v>Faible</v>
      </c>
      <c r="D466" s="5" t="str">
        <f>Contexte!G18</f>
        <v>6 à 15</v>
      </c>
      <c r="G466" s="319"/>
    </row>
    <row r="467" spans="2:9" x14ac:dyDescent="0.2">
      <c r="C467" s="5" t="str">
        <f>Contexte!H3</f>
        <v>Modéré</v>
      </c>
      <c r="D467" s="5" t="str">
        <f>Contexte!H18</f>
        <v>16 à 30</v>
      </c>
      <c r="G467" s="319"/>
      <c r="I467" s="5" t="s">
        <v>407</v>
      </c>
    </row>
    <row r="468" spans="2:9" x14ac:dyDescent="0.2">
      <c r="C468" s="5" t="str">
        <f>Contexte!I3</f>
        <v>Élevé</v>
      </c>
      <c r="D468" s="5" t="str">
        <f>Contexte!I18</f>
        <v>31 à 55</v>
      </c>
      <c r="G468" s="319"/>
    </row>
    <row r="469" spans="2:9" x14ac:dyDescent="0.2">
      <c r="G469" s="319"/>
      <c r="I469" s="5" t="s">
        <v>1335</v>
      </c>
    </row>
    <row r="470" spans="2:9" x14ac:dyDescent="0.2">
      <c r="G470" s="319"/>
    </row>
    <row r="472" spans="2:9" ht="24" x14ac:dyDescent="0.2">
      <c r="B472" s="2146" t="s">
        <v>2176</v>
      </c>
    </row>
    <row r="474" spans="2:9" ht="19" x14ac:dyDescent="0.25">
      <c r="B474" s="445" t="s">
        <v>2157</v>
      </c>
      <c r="F474" s="2019" t="s">
        <v>2119</v>
      </c>
    </row>
    <row r="475" spans="2:9" x14ac:dyDescent="0.2">
      <c r="B475" s="7" t="s">
        <v>2158</v>
      </c>
      <c r="F475" s="2160" t="s">
        <v>2118</v>
      </c>
      <c r="G475" s="2161"/>
      <c r="H475" s="2159"/>
      <c r="I475" s="2159"/>
    </row>
    <row r="476" spans="2:9" x14ac:dyDescent="0.2">
      <c r="G476" s="2019"/>
    </row>
    <row r="477" spans="2:9" x14ac:dyDescent="0.2">
      <c r="B477" s="2184" t="s">
        <v>2172</v>
      </c>
      <c r="C477" t="s">
        <v>2114</v>
      </c>
      <c r="E477" s="5">
        <v>6</v>
      </c>
    </row>
    <row r="478" spans="2:9" x14ac:dyDescent="0.2">
      <c r="B478" s="2184"/>
      <c r="C478" t="s">
        <v>2142</v>
      </c>
      <c r="E478" s="5">
        <v>10</v>
      </c>
    </row>
    <row r="479" spans="2:9" x14ac:dyDescent="0.2">
      <c r="B479" s="5"/>
      <c r="C479" s="2149"/>
      <c r="D479" s="2078" t="s">
        <v>2011</v>
      </c>
      <c r="G479" s="2019"/>
    </row>
    <row r="480" spans="2:9" ht="34" x14ac:dyDescent="0.2">
      <c r="C480" s="2024" t="s">
        <v>1890</v>
      </c>
      <c r="D480" s="2025" t="s">
        <v>1891</v>
      </c>
      <c r="E480" s="638" t="s">
        <v>318</v>
      </c>
      <c r="F480" s="5"/>
      <c r="H480" s="2019"/>
    </row>
    <row r="481" spans="2:8" x14ac:dyDescent="0.2">
      <c r="C481" s="2076" t="s">
        <v>488</v>
      </c>
      <c r="D481" s="2077"/>
      <c r="E481" s="2075">
        <f>'Analyse Catégories_CEV'!F81</f>
        <v>87</v>
      </c>
      <c r="F481" s="5"/>
      <c r="G481" s="2149"/>
      <c r="H481" s="2019"/>
    </row>
    <row r="482" spans="2:8" x14ac:dyDescent="0.2">
      <c r="B482">
        <v>1</v>
      </c>
      <c r="C482" s="2023"/>
      <c r="D482" s="2080"/>
      <c r="E482" s="975"/>
      <c r="F482" s="5"/>
      <c r="G482"/>
      <c r="H482" s="2019"/>
    </row>
    <row r="483" spans="2:8" x14ac:dyDescent="0.2">
      <c r="B483">
        <v>2</v>
      </c>
      <c r="C483" s="2023"/>
      <c r="D483" s="2080"/>
      <c r="E483" s="975"/>
      <c r="F483" s="5"/>
      <c r="G483"/>
      <c r="H483" s="2019"/>
    </row>
    <row r="484" spans="2:8" x14ac:dyDescent="0.2">
      <c r="B484">
        <v>3</v>
      </c>
      <c r="C484" s="2023"/>
      <c r="D484" s="2080"/>
      <c r="E484" s="975"/>
      <c r="F484" s="5"/>
      <c r="G484"/>
      <c r="H484" s="2019"/>
    </row>
    <row r="485" spans="2:8" x14ac:dyDescent="0.2">
      <c r="B485">
        <v>4</v>
      </c>
      <c r="C485" s="2023"/>
      <c r="D485" s="2080"/>
      <c r="E485" s="975"/>
      <c r="F485" s="5"/>
      <c r="G485"/>
      <c r="H485" s="2019"/>
    </row>
    <row r="486" spans="2:8" x14ac:dyDescent="0.2">
      <c r="B486">
        <v>5</v>
      </c>
      <c r="C486" s="2023"/>
      <c r="D486" s="2080"/>
      <c r="E486" s="975"/>
      <c r="F486" s="5"/>
      <c r="G486"/>
      <c r="H486" s="2019"/>
    </row>
    <row r="487" spans="2:8" x14ac:dyDescent="0.2">
      <c r="C487" s="2023"/>
      <c r="D487" s="977"/>
      <c r="E487" s="975"/>
      <c r="F487" s="5"/>
      <c r="G487"/>
      <c r="H487" s="2019"/>
    </row>
    <row r="488" spans="2:8" x14ac:dyDescent="0.2">
      <c r="C488" s="2076" t="s">
        <v>1892</v>
      </c>
      <c r="D488" s="2079"/>
      <c r="E488" s="2075">
        <f>'Analyse Catégories_CEV'!D81</f>
        <v>307</v>
      </c>
      <c r="F488" s="5"/>
      <c r="G488"/>
      <c r="H488" s="2019"/>
    </row>
    <row r="489" spans="2:8" x14ac:dyDescent="0.2">
      <c r="B489">
        <v>1</v>
      </c>
      <c r="C489" s="2023"/>
      <c r="D489" s="2074" t="str">
        <f>'Analyse Catégories_CEV'!C14</f>
        <v>Déforme les souvenirs</v>
      </c>
      <c r="E489" s="1288">
        <f>'Analyse Catégories_CEV'!D14</f>
        <v>30</v>
      </c>
      <c r="F489" s="5"/>
      <c r="G489"/>
      <c r="H489" s="2019"/>
    </row>
    <row r="490" spans="2:8" x14ac:dyDescent="0.2">
      <c r="B490">
        <v>2</v>
      </c>
      <c r="C490" s="2023"/>
      <c r="D490" s="977" t="str">
        <f>'Analyse Catégories_CEV'!C38</f>
        <v>Communique fréquemment avec l'enfant lorsqu'il est chez l'autre</v>
      </c>
      <c r="E490" s="975">
        <f>'Analyse Catégories_CEV'!D38</f>
        <v>21</v>
      </c>
      <c r="F490" s="5"/>
      <c r="G490"/>
      <c r="H490" s="2019"/>
    </row>
    <row r="491" spans="2:8" x14ac:dyDescent="0.2">
      <c r="B491">
        <v>3</v>
      </c>
      <c r="C491" s="2023"/>
      <c r="D491" s="2074" t="str">
        <f>'Analyse Catégories_CEV'!C55</f>
        <v>En compétition avec l'autre pour l'amour de l'enfant</v>
      </c>
      <c r="E491" s="1288">
        <f>'Analyse Catégories_CEV'!D55</f>
        <v>20</v>
      </c>
      <c r="F491" s="5"/>
      <c r="G491"/>
      <c r="H491" s="2019"/>
    </row>
    <row r="492" spans="2:8" x14ac:dyDescent="0.2">
      <c r="B492">
        <v>4</v>
      </c>
      <c r="C492" s="2023"/>
      <c r="D492" s="2074" t="str">
        <f>'Analyse Catégories_CEV'!C58</f>
        <v>Cherche à blesser l'autre</v>
      </c>
      <c r="E492" s="1288">
        <f>'Analyse Catégories_CEV'!D58</f>
        <v>21</v>
      </c>
      <c r="F492" s="5"/>
      <c r="G492"/>
      <c r="H492" s="2019"/>
    </row>
    <row r="493" spans="2:8" x14ac:dyDescent="0.2">
      <c r="B493">
        <v>5</v>
      </c>
      <c r="C493" s="2023"/>
      <c r="D493" s="2074" t="str">
        <f>'Analyse Catégories_CEV'!C76</f>
        <v>L'enfant est assez mature pour choisir</v>
      </c>
      <c r="E493" s="1288">
        <f>'Analyse Catégories_CEV'!D76</f>
        <v>21</v>
      </c>
      <c r="F493" s="5"/>
      <c r="G493"/>
      <c r="H493" s="2019"/>
    </row>
    <row r="494" spans="2:8" x14ac:dyDescent="0.2">
      <c r="C494" s="2023"/>
      <c r="D494" s="2074" t="str">
        <f>'Analyse Catégories_CEV'!C79</f>
        <v>Demande à l'enfant de faire les messages</v>
      </c>
      <c r="E494" s="1288">
        <f>'Analyse Catégories_CEV'!D79</f>
        <v>21</v>
      </c>
      <c r="F494" s="5"/>
      <c r="G494"/>
      <c r="H494" s="2019"/>
    </row>
    <row r="495" spans="2:8" x14ac:dyDescent="0.2">
      <c r="C495" s="2023"/>
      <c r="D495" s="2074"/>
      <c r="E495" s="1288"/>
      <c r="F495" s="5"/>
      <c r="G495"/>
      <c r="H495" s="2019"/>
    </row>
    <row r="496" spans="2:8" x14ac:dyDescent="0.2">
      <c r="C496" s="2076" t="s">
        <v>1893</v>
      </c>
      <c r="D496" s="2079"/>
      <c r="E496" s="2075">
        <f>'Analyse Catégories_CEV'!E81</f>
        <v>103</v>
      </c>
      <c r="F496" s="5"/>
      <c r="G496"/>
      <c r="H496" s="2019"/>
    </row>
    <row r="497" spans="2:16" x14ac:dyDescent="0.2">
      <c r="B497">
        <v>1</v>
      </c>
      <c r="C497" s="2023"/>
      <c r="D497" s="2074" t="str">
        <f>'Analyse Catégories_CEV'!C50</f>
        <v>S'impose responsable de la logistique familiale</v>
      </c>
      <c r="E497" s="1288">
        <f>'Analyse Catégories_CEV'!E50</f>
        <v>20</v>
      </c>
      <c r="F497" s="5"/>
      <c r="G497"/>
      <c r="H497" s="2019"/>
    </row>
    <row r="498" spans="2:16" x14ac:dyDescent="0.2">
      <c r="B498">
        <v>2</v>
      </c>
      <c r="C498" s="2023"/>
      <c r="D498" s="2074"/>
      <c r="E498" s="1288"/>
      <c r="F498" s="5"/>
      <c r="G498"/>
      <c r="H498" s="2019"/>
    </row>
    <row r="499" spans="2:16" x14ac:dyDescent="0.2">
      <c r="B499">
        <v>3</v>
      </c>
      <c r="C499" s="2023"/>
      <c r="D499" s="2074"/>
      <c r="E499" s="1288"/>
      <c r="F499" s="5"/>
      <c r="G499"/>
      <c r="H499" s="2019"/>
    </row>
    <row r="500" spans="2:16" x14ac:dyDescent="0.2">
      <c r="B500">
        <v>4</v>
      </c>
      <c r="C500" s="2023"/>
      <c r="D500" s="2074"/>
      <c r="E500" s="1288"/>
      <c r="F500" s="5"/>
      <c r="G500"/>
      <c r="H500" s="2019"/>
    </row>
    <row r="501" spans="2:16" x14ac:dyDescent="0.2">
      <c r="B501">
        <v>5</v>
      </c>
      <c r="C501" s="2023"/>
      <c r="D501" s="977"/>
      <c r="E501" s="1288"/>
      <c r="F501" s="5"/>
      <c r="G501"/>
      <c r="H501" s="2019"/>
    </row>
    <row r="502" spans="2:16" ht="50" customHeight="1" x14ac:dyDescent="0.2">
      <c r="C502" s="2183" t="s">
        <v>2010</v>
      </c>
      <c r="D502" s="2183"/>
      <c r="E502" s="2183"/>
      <c r="F502" s="2183"/>
      <c r="G502" s="2151"/>
      <c r="H502" s="2151"/>
    </row>
    <row r="503" spans="2:16" x14ac:dyDescent="0.2">
      <c r="C503" s="2070" t="s">
        <v>2001</v>
      </c>
      <c r="E503" s="114"/>
      <c r="F503" s="5"/>
      <c r="G503"/>
    </row>
    <row r="504" spans="2:16" x14ac:dyDescent="0.2">
      <c r="B504" s="5"/>
      <c r="C504" s="5"/>
    </row>
    <row r="506" spans="2:16" x14ac:dyDescent="0.2">
      <c r="G506" s="2019"/>
    </row>
    <row r="507" spans="2:16" ht="19" x14ac:dyDescent="0.25">
      <c r="B507" s="2142" t="s">
        <v>2120</v>
      </c>
      <c r="G507" s="2019"/>
      <c r="H507" s="2"/>
    </row>
    <row r="508" spans="2:16" x14ac:dyDescent="0.2">
      <c r="B508" s="2143" t="s">
        <v>2121</v>
      </c>
      <c r="F508" s="2019" t="s">
        <v>2151</v>
      </c>
      <c r="G508" s="2019"/>
    </row>
    <row r="509" spans="2:16" ht="19" x14ac:dyDescent="0.25">
      <c r="B509" s="2143"/>
      <c r="F509" s="2160" t="s">
        <v>2107</v>
      </c>
      <c r="G509" s="2161"/>
      <c r="H509" s="2159"/>
      <c r="I509" s="2096"/>
    </row>
    <row r="510" spans="2:16" ht="19" x14ac:dyDescent="0.25">
      <c r="C510" s="445"/>
      <c r="L510" s="2144"/>
      <c r="M510" s="1646"/>
    </row>
    <row r="511" spans="2:16" x14ac:dyDescent="0.2">
      <c r="C511" s="975" t="s">
        <v>318</v>
      </c>
      <c r="D511" s="74"/>
      <c r="E511" s="3"/>
      <c r="F511" s="3"/>
      <c r="G511" s="3"/>
      <c r="H511" s="3"/>
      <c r="J511" s="2"/>
      <c r="K511" s="2141"/>
    </row>
    <row r="512" spans="2:16" x14ac:dyDescent="0.2">
      <c r="C512" s="2145">
        <f>'Indice D''exclusion'!I58</f>
        <v>16</v>
      </c>
      <c r="J512"/>
      <c r="K512"/>
      <c r="L512" s="1"/>
      <c r="O512" s="5"/>
      <c r="P512" s="5"/>
    </row>
    <row r="513" spans="2:18" x14ac:dyDescent="0.2">
      <c r="D513" s="81" t="s">
        <v>2122</v>
      </c>
      <c r="J513"/>
    </row>
    <row r="514" spans="2:18" x14ac:dyDescent="0.2">
      <c r="C514" s="5" t="str">
        <f>'Indice D''exclusion'!K3</f>
        <v>Aucune</v>
      </c>
      <c r="D514" s="5" t="str">
        <f>'Indice D''exclusion'!K49</f>
        <v>0 -19</v>
      </c>
      <c r="J514"/>
    </row>
    <row r="515" spans="2:18" x14ac:dyDescent="0.2">
      <c r="C515" s="5" t="str">
        <f>'Indice D''exclusion'!L3</f>
        <v>Faible</v>
      </c>
      <c r="D515" s="5" t="str">
        <f>'Indice D''exclusion'!L49</f>
        <v>20 à 39</v>
      </c>
      <c r="J515"/>
    </row>
    <row r="516" spans="2:18" x14ac:dyDescent="0.2">
      <c r="C516" s="5" t="str">
        <f>'Indice D''exclusion'!M3</f>
        <v>Possible</v>
      </c>
      <c r="D516" s="5" t="str">
        <f>'Indice D''exclusion'!M49</f>
        <v>40 à 89</v>
      </c>
      <c r="G516" s="5" t="s">
        <v>1276</v>
      </c>
      <c r="J516"/>
    </row>
    <row r="517" spans="2:18" x14ac:dyDescent="0.2">
      <c r="C517" s="5" t="str">
        <f>'Indice D''exclusion'!N3</f>
        <v>Probable</v>
      </c>
      <c r="D517" s="5" t="str">
        <f>'Indice D''exclusion'!N49</f>
        <v>90 à 200</v>
      </c>
      <c r="J517"/>
      <c r="K517"/>
    </row>
    <row r="519" spans="2:18" x14ac:dyDescent="0.2">
      <c r="G519" s="5" t="s">
        <v>1275</v>
      </c>
    </row>
    <row r="521" spans="2:18" x14ac:dyDescent="0.2">
      <c r="G521" s="5" t="s">
        <v>407</v>
      </c>
    </row>
    <row r="523" spans="2:18" x14ac:dyDescent="0.2">
      <c r="G523" s="5" t="s">
        <v>1277</v>
      </c>
    </row>
    <row r="525" spans="2:18" x14ac:dyDescent="0.2">
      <c r="G525" s="2019"/>
    </row>
    <row r="526" spans="2:18" ht="24" x14ac:dyDescent="0.3">
      <c r="B526" s="315" t="s">
        <v>2177</v>
      </c>
      <c r="G526" s="319"/>
      <c r="M526" s="3"/>
      <c r="N526" s="3"/>
      <c r="O526" s="3"/>
      <c r="P526" s="3"/>
      <c r="Q526" s="3"/>
      <c r="R526" s="3"/>
    </row>
    <row r="527" spans="2:18" ht="24" x14ac:dyDescent="0.3">
      <c r="B527" s="315"/>
      <c r="G527" s="319"/>
      <c r="M527" s="3"/>
      <c r="N527" s="3"/>
      <c r="O527" s="3"/>
      <c r="P527" s="3"/>
      <c r="Q527" s="3"/>
      <c r="R527" s="3"/>
    </row>
    <row r="528" spans="2:18" ht="19" x14ac:dyDescent="0.25">
      <c r="B528" s="2142" t="s">
        <v>2110</v>
      </c>
      <c r="C528" s="5"/>
      <c r="E528"/>
      <c r="F528" s="2019"/>
      <c r="G528" s="2019"/>
    </row>
    <row r="529" spans="2:18" x14ac:dyDescent="0.2">
      <c r="B529" s="2148" t="s">
        <v>2111</v>
      </c>
      <c r="C529" s="5"/>
      <c r="E529"/>
      <c r="F529" s="2019" t="s">
        <v>2150</v>
      </c>
      <c r="G529" s="2019"/>
    </row>
    <row r="530" spans="2:18" ht="33" customHeight="1" x14ac:dyDescent="0.2">
      <c r="B530" s="5"/>
      <c r="C530" s="818" t="s">
        <v>1887</v>
      </c>
      <c r="D530" s="1487" t="s">
        <v>830</v>
      </c>
      <c r="E530" s="1487"/>
      <c r="F530" s="105" t="s">
        <v>1418</v>
      </c>
      <c r="G530" s="2019"/>
    </row>
    <row r="531" spans="2:18" ht="20" customHeight="1" x14ac:dyDescent="0.2">
      <c r="B531" s="2" t="str">
        <f>'Analyse spectre enfant'!D62</f>
        <v>insomnie</v>
      </c>
      <c r="C531" s="114">
        <f>'Analyse spectre enfant'!E62</f>
        <v>4</v>
      </c>
      <c r="D531" s="114">
        <f>'Analyse spectre enfant'!H62</f>
        <v>-3</v>
      </c>
      <c r="E531" s="2170">
        <v>0</v>
      </c>
      <c r="F531" t="s">
        <v>513</v>
      </c>
      <c r="G531" s="2019"/>
    </row>
    <row r="532" spans="2:18" ht="20" customHeight="1" x14ac:dyDescent="0.25">
      <c r="B532" s="2" t="str">
        <f>'Analyse spectre enfant'!D63</f>
        <v>anxiété</v>
      </c>
      <c r="C532" s="114">
        <f>'Analyse spectre enfant'!E63</f>
        <v>1</v>
      </c>
      <c r="D532" s="114">
        <f>'Analyse spectre enfant'!H63</f>
        <v>-3</v>
      </c>
      <c r="E532" s="2170">
        <v>1</v>
      </c>
      <c r="F532" t="s">
        <v>514</v>
      </c>
      <c r="G532" s="319"/>
      <c r="K532" s="2" t="s">
        <v>2160</v>
      </c>
      <c r="L532" s="2169">
        <f>Test_Bible!W343</f>
        <v>0</v>
      </c>
    </row>
    <row r="533" spans="2:18" ht="20" customHeight="1" x14ac:dyDescent="0.2">
      <c r="B533" s="2" t="str">
        <f>'Analyse spectre enfant'!D64</f>
        <v>isolement et difficulté à socialiser</v>
      </c>
      <c r="C533" s="114">
        <f>'Analyse spectre enfant'!E64</f>
        <v>1</v>
      </c>
      <c r="D533" s="114">
        <f>'Analyse spectre enfant'!H64</f>
        <v>-1</v>
      </c>
      <c r="E533" s="2170">
        <v>2</v>
      </c>
      <c r="F533" t="s">
        <v>2163</v>
      </c>
      <c r="G533" s="319"/>
      <c r="K533" s="2"/>
    </row>
    <row r="534" spans="2:18" ht="20" customHeight="1" x14ac:dyDescent="0.25">
      <c r="B534" s="2" t="str">
        <f>'Analyse spectre enfant'!D65</f>
        <v>trouble de l'opposition</v>
      </c>
      <c r="C534" s="114">
        <f>'Analyse spectre enfant'!E65</f>
        <v>0</v>
      </c>
      <c r="D534" s="114">
        <f>'Analyse spectre enfant'!H65</f>
        <v>-1</v>
      </c>
      <c r="E534" s="2170">
        <v>4</v>
      </c>
      <c r="F534" t="s">
        <v>516</v>
      </c>
      <c r="G534" s="2019"/>
      <c r="K534" s="2" t="s">
        <v>2161</v>
      </c>
      <c r="L534" s="2169">
        <f>Test_Bible!P349</f>
        <v>1</v>
      </c>
    </row>
    <row r="535" spans="2:18" ht="20" customHeight="1" x14ac:dyDescent="0.2">
      <c r="B535" s="2" t="str">
        <f>'Analyse spectre enfant'!D66</f>
        <v>trouble alimentaire</v>
      </c>
      <c r="C535" s="114">
        <f>'Analyse spectre enfant'!E66</f>
        <v>0</v>
      </c>
      <c r="D535" s="114">
        <f>'Analyse spectre enfant'!H66</f>
        <v>-1</v>
      </c>
      <c r="E535" s="2170">
        <v>7</v>
      </c>
      <c r="F535" t="s">
        <v>517</v>
      </c>
      <c r="G535" s="2019"/>
      <c r="K535" s="2"/>
    </row>
    <row r="536" spans="2:18" ht="20" customHeight="1" x14ac:dyDescent="0.25">
      <c r="B536" s="2176" t="s">
        <v>2173</v>
      </c>
      <c r="C536" s="2176"/>
      <c r="D536" s="2176"/>
      <c r="E536" s="2171">
        <v>10</v>
      </c>
      <c r="F536" t="s">
        <v>578</v>
      </c>
      <c r="G536" s="319"/>
      <c r="K536" s="2" t="s">
        <v>2162</v>
      </c>
      <c r="L536" s="2169">
        <f>Test_Bible!P351</f>
        <v>0</v>
      </c>
    </row>
    <row r="537" spans="2:18" ht="20" customHeight="1" x14ac:dyDescent="0.2">
      <c r="B537" s="2176"/>
      <c r="C537" s="2176"/>
      <c r="D537" s="2176"/>
      <c r="G537" s="319"/>
    </row>
    <row r="538" spans="2:18" ht="20" customHeight="1" x14ac:dyDescent="0.2">
      <c r="B538" s="2176"/>
      <c r="C538" s="2176"/>
      <c r="D538" s="2176"/>
      <c r="G538" s="319"/>
    </row>
    <row r="539" spans="2:18" x14ac:dyDescent="0.2">
      <c r="B539" s="2176"/>
      <c r="C539" s="2176"/>
      <c r="D539" s="2176"/>
      <c r="G539" s="319"/>
    </row>
    <row r="540" spans="2:18" x14ac:dyDescent="0.2">
      <c r="G540" s="319"/>
    </row>
    <row r="541" spans="2:18" x14ac:dyDescent="0.2">
      <c r="F541" s="2175" t="s">
        <v>2166</v>
      </c>
      <c r="G541" s="2175"/>
      <c r="H541" s="2175"/>
      <c r="I541" s="2175"/>
      <c r="J541" s="2175"/>
      <c r="K541" s="2175"/>
      <c r="L541" s="2175"/>
    </row>
    <row r="542" spans="2:18" ht="24" x14ac:dyDescent="0.3">
      <c r="B542" s="315"/>
      <c r="G542" s="319"/>
      <c r="M542" s="3"/>
      <c r="N542" s="3"/>
      <c r="O542" s="3"/>
      <c r="P542" s="3"/>
      <c r="Q542" s="3"/>
      <c r="R542" s="3"/>
    </row>
    <row r="543" spans="2:18" ht="38" customHeight="1" x14ac:dyDescent="0.25">
      <c r="B543" s="445" t="s">
        <v>2174</v>
      </c>
      <c r="C543" s="5"/>
      <c r="F543" s="2019" t="s">
        <v>2151</v>
      </c>
      <c r="P543" s="5"/>
      <c r="Q543" s="5"/>
    </row>
    <row r="544" spans="2:18" ht="23" customHeight="1" x14ac:dyDescent="0.2">
      <c r="B544" t="s">
        <v>2175</v>
      </c>
      <c r="C544" s="5"/>
      <c r="G544" s="2019"/>
      <c r="L544" s="2"/>
      <c r="R544" s="5"/>
    </row>
    <row r="545" spans="2:18" ht="19" customHeight="1" x14ac:dyDescent="0.2">
      <c r="C545" s="5"/>
      <c r="F545" s="2160" t="s">
        <v>2107</v>
      </c>
      <c r="G545" s="2161"/>
      <c r="H545" s="2159"/>
      <c r="L545" s="2"/>
      <c r="R545" s="5"/>
    </row>
    <row r="546" spans="2:18" ht="52" customHeight="1" x14ac:dyDescent="0.2">
      <c r="C546" s="2147" t="s">
        <v>2108</v>
      </c>
      <c r="D546" s="2147" t="s">
        <v>2109</v>
      </c>
      <c r="G546" s="2019"/>
      <c r="L546" s="2"/>
    </row>
    <row r="547" spans="2:18" ht="20" customHeight="1" x14ac:dyDescent="0.2">
      <c r="B547" s="2" t="s">
        <v>2079</v>
      </c>
      <c r="C547" s="8" t="str">
        <f>IF(Test_Bible!$E$378=1,1,"")</f>
        <v/>
      </c>
      <c r="D547" s="8" t="str">
        <f>IF(Test_Bible!$E$319=1,1,"")</f>
        <v/>
      </c>
      <c r="G547" s="2019"/>
    </row>
    <row r="548" spans="2:18" ht="22" customHeight="1" x14ac:dyDescent="0.2">
      <c r="B548" s="2" t="s">
        <v>2078</v>
      </c>
      <c r="C548" s="8">
        <f>IF(Test_Bible!$E$377=1,1,"")</f>
        <v>1</v>
      </c>
      <c r="D548" s="8" t="str">
        <f>IF(Test_Bible!$E$318=1,1,"")</f>
        <v/>
      </c>
      <c r="G548" s="2167" t="s">
        <v>2079</v>
      </c>
    </row>
    <row r="549" spans="2:18" ht="22" customHeight="1" x14ac:dyDescent="0.2">
      <c r="B549" s="2" t="s">
        <v>2077</v>
      </c>
      <c r="C549" s="8" t="str">
        <f>IF(Test_Bible!$E$376=1,1,"")</f>
        <v/>
      </c>
      <c r="D549" s="8" t="str">
        <f>IF(Test_Bible!$E$317=1,1,"")</f>
        <v/>
      </c>
      <c r="G549" s="2167" t="s">
        <v>2078</v>
      </c>
    </row>
    <row r="550" spans="2:18" ht="22" customHeight="1" x14ac:dyDescent="0.2">
      <c r="B550" s="2" t="s">
        <v>2076</v>
      </c>
      <c r="C550" s="8" t="str">
        <f>IF(Test_Bible!$E$375=1,1,"")</f>
        <v/>
      </c>
      <c r="D550" s="8" t="str">
        <f>IF(Test_Bible!$E$316=1,1,"")</f>
        <v/>
      </c>
      <c r="G550" s="2167" t="s">
        <v>2077</v>
      </c>
    </row>
    <row r="551" spans="2:18" ht="22" customHeight="1" x14ac:dyDescent="0.2">
      <c r="B551" s="2" t="s">
        <v>272</v>
      </c>
      <c r="C551" s="8" t="str">
        <f>IF(Test_Bible!$E$374=1,1,"")</f>
        <v/>
      </c>
      <c r="D551" s="8">
        <f>IF(Test_Bible!$E$315=1,1,"")</f>
        <v>1</v>
      </c>
      <c r="G551" s="2167" t="s">
        <v>2076</v>
      </c>
    </row>
    <row r="552" spans="2:18" ht="22" customHeight="1" x14ac:dyDescent="0.2">
      <c r="B552" s="2" t="s">
        <v>2075</v>
      </c>
      <c r="C552" s="8" t="str">
        <f>IF(Test_Bible!$E$373=1,1,"")</f>
        <v/>
      </c>
      <c r="D552" s="8" t="str">
        <f>IF(Test_Bible!$E$314=1,1,"")</f>
        <v/>
      </c>
      <c r="G552" s="2167" t="s">
        <v>272</v>
      </c>
    </row>
    <row r="553" spans="2:18" ht="22" customHeight="1" x14ac:dyDescent="0.2">
      <c r="G553" s="2167" t="s">
        <v>2075</v>
      </c>
    </row>
    <row r="554" spans="2:18" ht="37" customHeight="1" x14ac:dyDescent="0.2">
      <c r="G554" s="319"/>
    </row>
    <row r="555" spans="2:18" ht="19" x14ac:dyDescent="0.25">
      <c r="B555" s="2142" t="s">
        <v>2112</v>
      </c>
      <c r="F555" s="2019" t="s">
        <v>2113</v>
      </c>
    </row>
    <row r="556" spans="2:18" ht="19" x14ac:dyDescent="0.25">
      <c r="B556" s="2142"/>
      <c r="E556"/>
      <c r="F556" s="2162" t="s">
        <v>2106</v>
      </c>
      <c r="G556" s="2159"/>
      <c r="H556" s="2159"/>
      <c r="I556" s="5" t="s">
        <v>2149</v>
      </c>
      <c r="J556" s="2159"/>
    </row>
    <row r="557" spans="2:18" ht="26" customHeight="1" x14ac:dyDescent="0.2">
      <c r="B557" t="s">
        <v>1875</v>
      </c>
      <c r="G557" s="319"/>
    </row>
    <row r="558" spans="2:18" ht="27" customHeight="1" x14ac:dyDescent="0.2">
      <c r="G558" s="319"/>
    </row>
    <row r="559" spans="2:18" ht="24" customHeight="1" x14ac:dyDescent="0.2">
      <c r="C559" s="5"/>
      <c r="D559" s="1487" t="s">
        <v>288</v>
      </c>
      <c r="E559" s="1487" t="s">
        <v>830</v>
      </c>
      <c r="F559" s="1487" t="s">
        <v>1885</v>
      </c>
      <c r="G559"/>
      <c r="H559"/>
    </row>
    <row r="560" spans="2:18" ht="24" customHeight="1" x14ac:dyDescent="0.2">
      <c r="C560" s="2" t="s">
        <v>1871</v>
      </c>
      <c r="D560" s="2009">
        <f>Diff!P22</f>
        <v>9.5</v>
      </c>
      <c r="E560" s="2009">
        <f>Diff!R22</f>
        <v>-4</v>
      </c>
      <c r="F560" s="2018" t="str">
        <f>Diff!S22</f>
        <v>il y a eu une dégradation majeure</v>
      </c>
      <c r="G560"/>
      <c r="H560"/>
    </row>
    <row r="561" spans="2:9" ht="24" customHeight="1" x14ac:dyDescent="0.2">
      <c r="C561" s="2" t="s">
        <v>1873</v>
      </c>
      <c r="D561" s="2009">
        <f>Diff!P23</f>
        <v>2</v>
      </c>
      <c r="E561" s="2009">
        <f>Diff!R23</f>
        <v>5</v>
      </c>
      <c r="F561" s="2018" t="str">
        <f>Diff!S23</f>
        <v>il y a eu une amélioration majeure</v>
      </c>
      <c r="G561"/>
      <c r="H561"/>
    </row>
    <row r="562" spans="2:9" ht="24" customHeight="1" x14ac:dyDescent="0.2">
      <c r="C562" s="2" t="s">
        <v>1872</v>
      </c>
      <c r="D562" s="2009">
        <f>Diff!P24</f>
        <v>9</v>
      </c>
      <c r="E562" s="2009">
        <f>Diff!R24</f>
        <v>-7</v>
      </c>
      <c r="F562" s="2018" t="str">
        <f>Diff!S24</f>
        <v>il y a eu une dégradation majeure</v>
      </c>
      <c r="G562"/>
      <c r="H562"/>
    </row>
    <row r="563" spans="2:9" ht="24" customHeight="1" x14ac:dyDescent="0.2">
      <c r="C563" s="2" t="s">
        <v>1874</v>
      </c>
      <c r="D563" s="2009">
        <f>Diff!P25</f>
        <v>9</v>
      </c>
      <c r="E563" s="2009">
        <f>Diff!R25</f>
        <v>-2</v>
      </c>
      <c r="F563" s="2018" t="str">
        <f>Diff!S25</f>
        <v xml:space="preserve">il y a eu une faible dégradation </v>
      </c>
      <c r="G563"/>
      <c r="H563"/>
    </row>
    <row r="564" spans="2:9" ht="24" customHeight="1" x14ac:dyDescent="0.2">
      <c r="G564" s="319"/>
    </row>
    <row r="565" spans="2:9" ht="24" customHeight="1" x14ac:dyDescent="0.2">
      <c r="G565" s="319"/>
    </row>
    <row r="566" spans="2:9" ht="24" customHeight="1" x14ac:dyDescent="0.2">
      <c r="G566" s="319"/>
    </row>
    <row r="567" spans="2:9" ht="24" customHeight="1" x14ac:dyDescent="0.2">
      <c r="G567" s="319"/>
    </row>
    <row r="568" spans="2:9" ht="24" customHeight="1" x14ac:dyDescent="0.2">
      <c r="G568" s="319"/>
      <c r="H568" s="2166" t="s">
        <v>2156</v>
      </c>
    </row>
    <row r="569" spans="2:9" ht="24" x14ac:dyDescent="0.2">
      <c r="B569" s="2146" t="s">
        <v>2123</v>
      </c>
    </row>
    <row r="571" spans="2:9" ht="19" x14ac:dyDescent="0.25">
      <c r="B571" s="445" t="s">
        <v>1865</v>
      </c>
      <c r="F571" s="2019" t="s">
        <v>1866</v>
      </c>
    </row>
    <row r="572" spans="2:9" ht="16" customHeight="1" x14ac:dyDescent="0.2">
      <c r="B572" t="s">
        <v>2072</v>
      </c>
      <c r="D572"/>
      <c r="E572"/>
      <c r="F572" s="2162" t="s">
        <v>2118</v>
      </c>
      <c r="H572"/>
      <c r="I572"/>
    </row>
    <row r="573" spans="2:9" x14ac:dyDescent="0.2">
      <c r="G573" s="2019"/>
    </row>
    <row r="574" spans="2:9" x14ac:dyDescent="0.2">
      <c r="C574" s="5"/>
      <c r="D574" s="2078" t="s">
        <v>2124</v>
      </c>
    </row>
    <row r="575" spans="2:9" x14ac:dyDescent="0.2">
      <c r="C575" s="2177" t="s">
        <v>2159</v>
      </c>
      <c r="D575" s="2177"/>
      <c r="E575" s="2177"/>
    </row>
    <row r="576" spans="2:9" x14ac:dyDescent="0.2">
      <c r="C576" s="2177"/>
      <c r="D576" s="2177"/>
      <c r="E576" s="2177"/>
    </row>
    <row r="577" spans="3:9" ht="34" x14ac:dyDescent="0.2">
      <c r="C577" s="2024" t="s">
        <v>1890</v>
      </c>
      <c r="D577" s="2025" t="s">
        <v>1891</v>
      </c>
      <c r="E577" s="638" t="s">
        <v>318</v>
      </c>
      <c r="F577" s="5"/>
      <c r="H577"/>
      <c r="I577"/>
    </row>
    <row r="578" spans="3:9" x14ac:dyDescent="0.2">
      <c r="C578" s="2084" t="str">
        <f>'Analyse Catégories_CEV'!G8</f>
        <v>A:Alliance</v>
      </c>
      <c r="D578" s="2085"/>
      <c r="E578" s="2086">
        <f>GETPIVOTDATA("Intensité des comportements/catégorie",'Analyse Catégories_CEV'!$L$4,"Catégories","A:Alliance")</f>
        <v>14</v>
      </c>
      <c r="F578" s="5"/>
      <c r="H578"/>
      <c r="I578"/>
    </row>
    <row r="579" spans="3:9" x14ac:dyDescent="0.2">
      <c r="C579" s="2069"/>
      <c r="D579" s="2022"/>
      <c r="E579" s="977"/>
      <c r="F579" s="5"/>
      <c r="H579"/>
      <c r="I579"/>
    </row>
    <row r="580" spans="3:9" x14ac:dyDescent="0.2">
      <c r="C580" s="2069"/>
      <c r="D580" s="2022"/>
      <c r="E580" s="977"/>
      <c r="F580" s="5"/>
      <c r="H580"/>
      <c r="I580"/>
    </row>
    <row r="581" spans="3:9" x14ac:dyDescent="0.2">
      <c r="C581" s="2084" t="str">
        <f>'Analyse Catégories_CEV'!G14</f>
        <v>B:Altération/dévoiement de la réalité</v>
      </c>
      <c r="D581" s="2085"/>
      <c r="E581" s="2086">
        <f>GETPIVOTDATA("Intensité des comportements/catégorie",'Analyse Catégories_CEV'!$L$4,"Catégories","B:Altération/dévoiement de la réalité")</f>
        <v>49</v>
      </c>
      <c r="F581" s="2070"/>
      <c r="H581"/>
      <c r="I581"/>
    </row>
    <row r="582" spans="3:9" x14ac:dyDescent="0.2">
      <c r="C582" s="2069"/>
      <c r="D582" s="2083" t="str">
        <f>'Analyse Catégories_CEV'!L9</f>
        <v>Déforme les souvenirs</v>
      </c>
      <c r="E582" s="1288">
        <f>GETPIVOTDATA("Intensité des comportements/catégorie",'Analyse Catégories_CEV'!$L$4,"Catégories","B:Altération/dévoiement de la réalité","Comportements préjudiciables","Déforme les souvenirs")</f>
        <v>30</v>
      </c>
      <c r="H582"/>
      <c r="I582"/>
    </row>
    <row r="583" spans="3:9" x14ac:dyDescent="0.2">
      <c r="C583" s="2069"/>
      <c r="D583" s="2022"/>
      <c r="E583" s="631"/>
      <c r="F583" s="5"/>
      <c r="H583"/>
      <c r="I583"/>
    </row>
    <row r="584" spans="3:9" x14ac:dyDescent="0.2">
      <c r="C584" s="2084" t="str">
        <f>'Analyse Catégories_CEV'!G25</f>
        <v>C: Chantage affectif, loyauté, manipulation</v>
      </c>
      <c r="D584" s="2085"/>
      <c r="E584" s="2086">
        <f>GETPIVOTDATA("Intensité des comportements/catégorie",'Analyse Catégories_CEV'!$L$4,"Catégories","C: Chantage affectif, loyauté, manipulation")</f>
        <v>51</v>
      </c>
      <c r="F584" s="5"/>
      <c r="H584"/>
      <c r="I584"/>
    </row>
    <row r="585" spans="3:9" x14ac:dyDescent="0.2">
      <c r="C585" s="2069"/>
      <c r="D585" s="2022" t="str">
        <f>'Analyse Catégories_CEV'!L14</f>
        <v>Fait des compromis</v>
      </c>
      <c r="E585" s="975">
        <f>GETPIVOTDATA("Intensité des comportements/catégorie",'Analyse Catégories_CEV'!$L$4,"Catégories","C: Chantage affectif, loyauté, manipulation","Comportements préjudiciables","Fait des compromis")</f>
        <v>16</v>
      </c>
      <c r="F585" s="5"/>
      <c r="H585"/>
      <c r="I585"/>
    </row>
    <row r="586" spans="3:9" x14ac:dyDescent="0.2">
      <c r="C586" s="2069"/>
      <c r="D586" s="2022" t="str">
        <f>'Analyse Catégories_CEV'!L15</f>
        <v>Salue l'autre lors de rencontre</v>
      </c>
      <c r="E586" s="975">
        <f>GETPIVOTDATA("Intensité des comportements/catégorie",'Analyse Catégories_CEV'!$L$4,"Catégories","C: Chantage affectif, loyauté, manipulation","Comportements préjudiciables","Salue l'autre lors de rencontre")</f>
        <v>16</v>
      </c>
      <c r="F586" s="5"/>
      <c r="H586"/>
      <c r="I586"/>
    </row>
    <row r="587" spans="3:9" x14ac:dyDescent="0.2">
      <c r="C587" s="2084" t="str">
        <f>'Analyse Catégories_CEV'!G37</f>
        <v>D: Dénigrement</v>
      </c>
      <c r="D587" s="2085"/>
      <c r="E587" s="2086">
        <f>GETPIVOTDATA("Intensité des comportements/catégorie",'Analyse Catégories_CEV'!$L$4,"Catégories","D: Dénigrement")</f>
        <v>78</v>
      </c>
      <c r="F587" s="5"/>
      <c r="H587"/>
      <c r="I587"/>
    </row>
    <row r="588" spans="3:9" x14ac:dyDescent="0.2">
      <c r="C588" s="2069"/>
      <c r="D588" s="2022" t="str">
        <f>'Analyse Catégories_CEV'!L18</f>
        <v>Dénigre l'autre devant l'enfant</v>
      </c>
      <c r="E588" s="975">
        <f>GETPIVOTDATA("Intensité des comportements/catégorie",'Analyse Catégories_CEV'!$L$4,"Catégories","D: Dénigrement","Comportements préjudiciables","Dénigre l'autre devant l'enfant")</f>
        <v>19</v>
      </c>
      <c r="F588" s="5"/>
      <c r="H588"/>
      <c r="I588"/>
    </row>
    <row r="589" spans="3:9" x14ac:dyDescent="0.2">
      <c r="C589" s="2069"/>
      <c r="D589" s="2022"/>
      <c r="E589" s="977"/>
      <c r="F589" s="5"/>
      <c r="H589"/>
      <c r="I589"/>
    </row>
    <row r="590" spans="3:9" x14ac:dyDescent="0.2">
      <c r="C590" s="2084" t="str">
        <f>'Analyse Catégories_CEV'!G50</f>
        <v>E: Interférence temps et/ou communication</v>
      </c>
      <c r="D590" s="2085"/>
      <c r="E590" s="2086">
        <f>GETPIVOTDATA("Intensité des comportements/catégorie",'Analyse Catégories_CEV'!$L$4,"Catégories","E: Interférence temps et/ou communication")</f>
        <v>107</v>
      </c>
      <c r="F590" s="5"/>
      <c r="H590"/>
      <c r="I590"/>
    </row>
    <row r="591" spans="3:9" x14ac:dyDescent="0.2">
      <c r="C591" s="2069"/>
      <c r="D591" s="2022" t="str">
        <f>'Analyse Catégories_CEV'!L21</f>
        <v>Change les horaires sans consulter l'autre</v>
      </c>
      <c r="E591" s="975">
        <f>GETPIVOTDATA("Intensité des comportements/catégorie",'Analyse Catégories_CEV'!$L$4,"Catégories","E: Interférence temps et/ou communication","Comportements préjudiciables","Change les horaires sans consulter l'autre")</f>
        <v>16</v>
      </c>
      <c r="F591" s="5"/>
      <c r="H591"/>
      <c r="I591"/>
    </row>
    <row r="592" spans="3:9" x14ac:dyDescent="0.2">
      <c r="C592" s="2069"/>
      <c r="D592" s="2022" t="str">
        <f>'Analyse Catégories_CEV'!L22</f>
        <v>Communique fréquemment avec l'enfant lorsqu'il est chez l'autre</v>
      </c>
      <c r="E592" s="975">
        <f>GETPIVOTDATA("Intensité des comportements/catégorie",'Analyse Catégories_CEV'!$L$4,"Catégories","E: Interférence temps et/ou communication","Comportements préjudiciables","Change les horaires sans consulter l'autre")</f>
        <v>16</v>
      </c>
      <c r="F592" s="5"/>
      <c r="H592"/>
      <c r="I592"/>
    </row>
    <row r="593" spans="2:25" x14ac:dyDescent="0.2">
      <c r="C593" s="2069"/>
      <c r="D593" s="2022" t="str">
        <f>'Analyse Catégories_CEV'!L23</f>
        <v>S'impose responsable de la logistique familiale</v>
      </c>
      <c r="E593" s="975">
        <f>GETPIVOTDATA("Intensité des comportements/catégorie",'Analyse Catégories_CEV'!$L$4,"Catégories","E: Interférence temps et/ou communication","Comportements préjudiciables","Change les horaires sans consulter l'autre")</f>
        <v>16</v>
      </c>
      <c r="F593" s="5"/>
      <c r="H593"/>
      <c r="I593"/>
    </row>
    <row r="594" spans="2:25" x14ac:dyDescent="0.2">
      <c r="C594" s="2084" t="str">
        <f>'Analyse Catégories_CEV'!G68</f>
        <v>F: Interférence lien affectif ou symbolique</v>
      </c>
      <c r="D594" s="2085"/>
      <c r="E594" s="2086">
        <f>GETPIVOTDATA("Intensité des comportements/catégorie",'Analyse Catégories_CEV'!$L$4,"Catégories","F: Interférence lien affectif ou symbolique")</f>
        <v>93</v>
      </c>
      <c r="F594" s="5"/>
      <c r="H594"/>
      <c r="I594"/>
    </row>
    <row r="595" spans="2:25" x14ac:dyDescent="0.2">
      <c r="C595" s="2069"/>
      <c r="D595" s="2022" t="str">
        <f>'Analyse Catégories_CEV'!L26</f>
        <v>Cherche à blesser l'autre</v>
      </c>
      <c r="E595" s="975">
        <f>GETPIVOTDATA("Intensité des comportements/catégorie",'Analyse Catégories_CEV'!$L$4,"Catégories","F: Interférence lien affectif ou symbolique","Comportements préjudiciables","Cherche à blesser l'autre")</f>
        <v>21</v>
      </c>
      <c r="F595" s="5"/>
      <c r="H595"/>
      <c r="I595"/>
    </row>
    <row r="596" spans="2:25" x14ac:dyDescent="0.2">
      <c r="C596" s="2069"/>
      <c r="D596" s="2022" t="str">
        <f>'Analyse Catégories_CEV'!L27</f>
        <v>En compétition avec l'autre pour l'amour de l'enfant</v>
      </c>
      <c r="E596" s="975">
        <f>GETPIVOTDATA("Intensité des comportements/catégorie",'Analyse Catégories_CEV'!$L$4,"Catégories","F: Interférence lien affectif ou symbolique","Comportements préjudiciables","Cherche à blesser l'autre")</f>
        <v>21</v>
      </c>
      <c r="F596" s="5"/>
      <c r="H596"/>
      <c r="I596"/>
    </row>
    <row r="597" spans="2:25" x14ac:dyDescent="0.2">
      <c r="C597" s="2084" t="str">
        <f>'Analyse Catégories_CEV'!G75</f>
        <v>G: Parentification</v>
      </c>
      <c r="D597" s="2085"/>
      <c r="E597" s="2086">
        <f>GETPIVOTDATA("Intensité des comportements/catégorie",'Analyse Catégories_CEV'!$L$4,"Catégories","G: Parentification")</f>
        <v>51</v>
      </c>
      <c r="F597" s="5"/>
      <c r="H597"/>
      <c r="I597"/>
    </row>
    <row r="598" spans="2:25" x14ac:dyDescent="0.2">
      <c r="C598" s="2069"/>
      <c r="D598" s="2022"/>
      <c r="E598" s="977"/>
      <c r="F598" s="5"/>
      <c r="H598"/>
      <c r="I598"/>
    </row>
    <row r="599" spans="2:25" x14ac:dyDescent="0.2">
      <c r="C599" s="2069"/>
      <c r="D599" s="2022"/>
      <c r="E599" s="977"/>
      <c r="F599" s="5"/>
      <c r="H599"/>
      <c r="I599"/>
    </row>
    <row r="600" spans="2:25" x14ac:dyDescent="0.2">
      <c r="C600" s="2084" t="str">
        <f>'Analyse Catégories_CEV'!G80</f>
        <v>H: Rôle actif, Réponse au CC, r</v>
      </c>
      <c r="D600" s="2085"/>
      <c r="E600" s="2086">
        <f>GETPIVOTDATA("Intensité des comportements/catégorie",'Analyse Catégories_CEV'!$L$4,"Catégories","H: Rôle actif, Réponse au CC, r")</f>
        <v>54</v>
      </c>
      <c r="F600" s="5"/>
      <c r="H600"/>
      <c r="I600"/>
    </row>
    <row r="601" spans="2:25" x14ac:dyDescent="0.2">
      <c r="C601" s="2069"/>
      <c r="D601" s="2022" t="str">
        <f>'Analyse Catégories_CEV'!L32</f>
        <v>Demande à l'enfant de faire les messages</v>
      </c>
      <c r="E601" s="975">
        <f>GETPIVOTDATA("Intensité des comportements/catégorie",'Analyse Catégories_CEV'!$L$4,"Catégories","H: Rôle actif, Réponse au CC, r","Comportements préjudiciables","Demande à l'enfant de faire les messages")</f>
        <v>21</v>
      </c>
      <c r="F601" s="5"/>
      <c r="H601"/>
      <c r="I601"/>
    </row>
    <row r="602" spans="2:25" x14ac:dyDescent="0.2">
      <c r="C602" s="2069"/>
      <c r="D602" s="2022" t="str">
        <f>'Analyse Catégories_CEV'!L33</f>
        <v>L'enfant est assez mature pour choisir</v>
      </c>
      <c r="E602" s="975">
        <f>GETPIVOTDATA("Intensité des comportements/catégorie",'Analyse Catégories_CEV'!$L$4,"Catégories","H: Rôle actif, Réponse au CC, r","Comportements préjudiciables","Demande à l'enfant de faire les messages")</f>
        <v>21</v>
      </c>
      <c r="F602" s="5"/>
      <c r="H602"/>
      <c r="I602"/>
      <c r="J602" s="2"/>
    </row>
    <row r="603" spans="2:25" x14ac:dyDescent="0.2">
      <c r="C603" s="2069"/>
      <c r="D603" s="977"/>
      <c r="E603" s="977"/>
      <c r="F603" s="5"/>
      <c r="H603"/>
      <c r="I603"/>
    </row>
    <row r="604" spans="2:25" x14ac:dyDescent="0.2">
      <c r="D604" s="2"/>
      <c r="F604" s="5"/>
      <c r="H604"/>
      <c r="I604"/>
    </row>
    <row r="607" spans="2:25" ht="19" x14ac:dyDescent="0.25">
      <c r="B607" s="445" t="s">
        <v>1867</v>
      </c>
      <c r="F607" s="2019" t="s">
        <v>1868</v>
      </c>
      <c r="X607" s="2018"/>
      <c r="Y607" s="2021" t="str">
        <f>'Modèle Calcul A-R + miroir'!BG3</f>
        <v>Devant les comportements aliénants du PF, l'enfant répond :</v>
      </c>
    </row>
    <row r="608" spans="2:25" x14ac:dyDescent="0.2">
      <c r="B608" s="2143" t="s">
        <v>2125</v>
      </c>
      <c r="G608" s="2019"/>
      <c r="X608" s="2018" t="str">
        <f>'Modèle Calcul A-R + miroir'!BD4</f>
        <v>Demande de garder des secrets</v>
      </c>
      <c r="Y608" s="631">
        <f>IF('Modèle Calcul A-R + miroir'!BG4&lt;&gt;"",'Modèle Calcul A-R + miroir'!BF4,"")</f>
        <v>34</v>
      </c>
    </row>
    <row r="609" spans="3:25" x14ac:dyDescent="0.2">
      <c r="G609" s="2153"/>
      <c r="X609" s="2018" t="str">
        <f>'Modèle Calcul A-R + miroir'!BD5</f>
        <v>Abandon de la famille</v>
      </c>
      <c r="Y609" s="631" t="str">
        <f>IF('Modèle Calcul A-R + miroir'!BG5&lt;&gt;"",'Modèle Calcul A-R + miroir'!BF5,"")</f>
        <v/>
      </c>
    </row>
    <row r="610" spans="3:25" x14ac:dyDescent="0.2">
      <c r="X610" s="2018" t="str">
        <f>'Modèle Calcul A-R + miroir'!BD6</f>
        <v>Accusation de maladie mentale et dangerosité</v>
      </c>
      <c r="Y610" s="631" t="str">
        <f>IF('Modèle Calcul A-R + miroir'!BG6&lt;&gt;"",'Modèle Calcul A-R + miroir'!BF6,"")</f>
        <v/>
      </c>
    </row>
    <row r="611" spans="3:25" x14ac:dyDescent="0.2">
      <c r="C611" s="5"/>
      <c r="E611" s="5" t="s">
        <v>2126</v>
      </c>
      <c r="G611" s="2019"/>
      <c r="X611" s="2018" t="str">
        <f>'Modèle Calcul A-R + miroir'!BD7</f>
        <v>Manque de sécurité</v>
      </c>
      <c r="Y611" s="631" t="str">
        <f>IF('Modèle Calcul A-R + miroir'!BG7&lt;&gt;"",'Modèle Calcul A-R + miroir'!BF7,"")</f>
        <v/>
      </c>
    </row>
    <row r="612" spans="3:25" x14ac:dyDescent="0.2">
      <c r="C612" s="5"/>
      <c r="D612" s="5" t="str" cm="1">
        <f t="array" ref="D612:E637">_xlfn._xlws.SORT(_xlfn._xlws.FILTER(X608:Y633,Y608:Y633&gt;=Y648,""),2,1)</f>
        <v>Sérénité et confidence face à la séparation</v>
      </c>
      <c r="E612" s="975">
        <v>21</v>
      </c>
      <c r="X612" s="2018" t="str">
        <f>'Modèle Calcul A-R + miroir'!BD8</f>
        <v>Modifications des faits et souvenirs</v>
      </c>
      <c r="Y612" s="631">
        <f>IF('Modèle Calcul A-R + miroir'!BG8&lt;&gt;"",'Modèle Calcul A-R + miroir'!BF8,"")</f>
        <v>42</v>
      </c>
    </row>
    <row r="613" spans="3:25" s="7" customFormat="1" ht="23" customHeight="1" x14ac:dyDescent="0.2">
      <c r="C613" s="8"/>
      <c r="D613" s="8" t="str">
        <v>Réaction en présence des deux parents</v>
      </c>
      <c r="E613" s="14">
        <v>22</v>
      </c>
      <c r="G613" s="2178" t="s">
        <v>2128</v>
      </c>
      <c r="H613" s="2178"/>
      <c r="I613" s="2178"/>
      <c r="J613" s="2178"/>
      <c r="K613" s="8"/>
      <c r="L613" s="8"/>
      <c r="M613" s="8"/>
      <c r="X613" s="2088" t="str">
        <f>'Modèle Calcul A-R + miroir'!BD9</f>
        <v>Culpabilise l'enfant de son amour envers vous</v>
      </c>
      <c r="Y613" s="596" t="str">
        <f>IF('Modèle Calcul A-R + miroir'!BG9&lt;&gt;"",'Modèle Calcul A-R + miroir'!BF9,"")</f>
        <v/>
      </c>
    </row>
    <row r="614" spans="3:25" x14ac:dyDescent="0.2">
      <c r="C614" s="5"/>
      <c r="D614" s="5" t="str">
        <v>Changement d'horaire de l'enfant</v>
      </c>
      <c r="E614" s="975">
        <v>22</v>
      </c>
      <c r="G614" s="2178"/>
      <c r="H614" s="2178"/>
      <c r="I614" s="2178"/>
      <c r="J614" s="2178"/>
      <c r="X614" s="2018" t="str">
        <f>'Modèle Calcul A-R + miroir'!BD10</f>
        <v>Reproche au retour de garde</v>
      </c>
      <c r="Y614" s="631" t="str">
        <f>IF('Modèle Calcul A-R + miroir'!BG10&lt;&gt;"",'Modèle Calcul A-R + miroir'!BF10,"")</f>
        <v/>
      </c>
    </row>
    <row r="615" spans="3:25" x14ac:dyDescent="0.2">
      <c r="C615" s="5"/>
      <c r="D615" s="5" t="str">
        <v>Contrôle des communications</v>
      </c>
      <c r="E615" s="975">
        <v>28</v>
      </c>
      <c r="G615" s="2019"/>
      <c r="X615" s="2018" t="str">
        <f>'Modèle Calcul A-R + miroir'!BD11</f>
        <v>Réaction en présence des deux parents</v>
      </c>
      <c r="Y615" s="631">
        <f>IF('Modèle Calcul A-R + miroir'!BG11&lt;&gt;"",'Modèle Calcul A-R + miroir'!BF11,"")</f>
        <v>22</v>
      </c>
    </row>
    <row r="616" spans="3:25" x14ac:dyDescent="0.2">
      <c r="C616" s="5"/>
      <c r="D616" s="5" t="str">
        <v>Fait lire les communications à l'enfant</v>
      </c>
      <c r="E616" s="975">
        <v>28</v>
      </c>
      <c r="G616" s="2019"/>
      <c r="X616" s="2018" t="str">
        <f>'Modèle Calcul A-R + miroir'!BD12</f>
        <v>Dénigre l'autre</v>
      </c>
      <c r="Y616" s="631" t="str">
        <f>IF('Modèle Calcul A-R + miroir'!BG12&lt;&gt;"",'Modèle Calcul A-R + miroir'!BF12,"")</f>
        <v/>
      </c>
    </row>
    <row r="617" spans="3:25" x14ac:dyDescent="0.2">
      <c r="C617" s="5"/>
      <c r="D617" s="5" t="str">
        <v>Demande de garder des secrets</v>
      </c>
      <c r="E617" s="975">
        <v>34</v>
      </c>
      <c r="G617" s="2019"/>
      <c r="X617" s="2018" t="str">
        <f>'Modèle Calcul A-R + miroir'!BD13</f>
        <v>Dénigre la nouvelle famille</v>
      </c>
      <c r="Y617" s="631" t="str">
        <f>IF('Modèle Calcul A-R + miroir'!BG13&lt;&gt;"",'Modèle Calcul A-R + miroir'!BF13,"")</f>
        <v/>
      </c>
    </row>
    <row r="618" spans="3:25" x14ac:dyDescent="0.2">
      <c r="C618" s="5"/>
      <c r="D618" s="5" t="str">
        <v>Organise des activités hors de sa garde</v>
      </c>
      <c r="E618" s="975">
        <v>34</v>
      </c>
      <c r="G618" s="2019"/>
      <c r="X618" s="2018" t="str">
        <f>'Modèle Calcul A-R + miroir'!BD14</f>
        <v>La nouvelle famille est "LA vraie"</v>
      </c>
      <c r="Y618" s="631" t="str">
        <f>IF('Modèle Calcul A-R + miroir'!BG14&lt;&gt;"",'Modèle Calcul A-R + miroir'!BF14,"")</f>
        <v/>
      </c>
    </row>
    <row r="619" spans="3:25" x14ac:dyDescent="0.2">
      <c r="C619" s="5"/>
      <c r="D619" s="5" t="str">
        <v>Modifications des faits et souvenirs</v>
      </c>
      <c r="E619" s="975">
        <v>42</v>
      </c>
      <c r="G619" s="2019"/>
      <c r="X619" s="2018" t="str">
        <f>'Modèle Calcul A-R + miroir'!BD15</f>
        <v>Le nouveau ou la nouvelle conjoint.e se fait appeler "papa" ou "maman"</v>
      </c>
      <c r="Y619" s="631" t="str">
        <f>IF('Modèle Calcul A-R + miroir'!BG15&lt;&gt;"",'Modèle Calcul A-R + miroir'!BF15,"")</f>
        <v/>
      </c>
    </row>
    <row r="620" spans="3:25" x14ac:dyDescent="0.2">
      <c r="C620" s="5"/>
      <c r="D620" s="5" t="str">
        <v>Abandon de la famille</v>
      </c>
      <c r="E620" s="975" t="str">
        <v/>
      </c>
      <c r="G620" s="2019"/>
      <c r="X620" s="2018" t="str">
        <f>'Modèle Calcul A-R + miroir'!BD16</f>
        <v>Changement d'horaire de l'enfant</v>
      </c>
      <c r="Y620" s="631">
        <f>IF('Modèle Calcul A-R + miroir'!BG16&lt;&gt;"",'Modèle Calcul A-R + miroir'!BF16,"")</f>
        <v>22</v>
      </c>
    </row>
    <row r="621" spans="3:25" x14ac:dyDescent="0.2">
      <c r="C621" s="5"/>
      <c r="D621" s="5" t="str">
        <v>Accusation de maladie mentale et dangerosité</v>
      </c>
      <c r="E621" s="975" t="str">
        <v/>
      </c>
      <c r="G621" s="2019"/>
      <c r="X621" s="2018" t="str">
        <f>'Modèle Calcul A-R + miroir'!BD17</f>
        <v>Organise des activités hors de sa garde</v>
      </c>
      <c r="Y621" s="631">
        <f>IF('Modèle Calcul A-R + miroir'!BG17&lt;&gt;"",'Modèle Calcul A-R + miroir'!BF17,"")</f>
        <v>34</v>
      </c>
    </row>
    <row r="622" spans="3:25" x14ac:dyDescent="0.2">
      <c r="C622" s="5"/>
      <c r="D622" s="5" t="str">
        <v>Manque de sécurité</v>
      </c>
      <c r="E622" s="975" t="str">
        <v/>
      </c>
      <c r="G622" s="2019"/>
      <c r="X622" s="2018" t="str">
        <f>'Modèle Calcul A-R + miroir'!BD18</f>
        <v>Impose sa présence (appel, texto)</v>
      </c>
      <c r="Y622" s="631" t="str">
        <f>IF('Modèle Calcul A-R + miroir'!BG18&lt;&gt;"",'Modèle Calcul A-R + miroir'!BF18,"")</f>
        <v/>
      </c>
    </row>
    <row r="623" spans="3:25" x14ac:dyDescent="0.2">
      <c r="C623" s="5"/>
      <c r="D623" s="5" t="str">
        <v>Culpabilise l'enfant de son amour envers vous</v>
      </c>
      <c r="E623" s="975" t="str">
        <v/>
      </c>
      <c r="G623" s="2019"/>
      <c r="X623" s="2018" t="str">
        <f>'Modèle Calcul A-R + miroir'!BD19</f>
        <v>Contrôle des communications</v>
      </c>
      <c r="Y623" s="631">
        <f>IF('Modèle Calcul A-R + miroir'!BG19&lt;&gt;"",'Modèle Calcul A-R + miroir'!BF19,"")</f>
        <v>28</v>
      </c>
    </row>
    <row r="624" spans="3:25" x14ac:dyDescent="0.2">
      <c r="C624" s="5"/>
      <c r="D624" s="5" t="str">
        <v>Reproche au retour de garde</v>
      </c>
      <c r="E624" s="975" t="str">
        <v/>
      </c>
      <c r="G624" s="2019"/>
      <c r="X624" s="2018" t="str">
        <f>'Modèle Calcul A-R + miroir'!BD20</f>
        <v>Contact de l'enfant avec la famille élargie</v>
      </c>
      <c r="Y624" s="631" t="str">
        <f>IF('Modèle Calcul A-R + miroir'!BG20&lt;&gt;"",'Modèle Calcul A-R + miroir'!BF20,"")</f>
        <v/>
      </c>
    </row>
    <row r="625" spans="2:25" x14ac:dyDescent="0.2">
      <c r="C625" s="5"/>
      <c r="D625" s="5" t="str">
        <v>Dénigre l'autre</v>
      </c>
      <c r="E625" s="975" t="str">
        <v/>
      </c>
      <c r="G625" s="2019"/>
      <c r="X625" s="2018" t="str">
        <f>'Modèle Calcul A-R + miroir'!BD21</f>
        <v>Sujet personnel|intime partagé à l'enfant</v>
      </c>
      <c r="Y625" s="631" t="str">
        <f>IF('Modèle Calcul A-R + miroir'!BG21&lt;&gt;"",'Modèle Calcul A-R + miroir'!BF21,"")</f>
        <v/>
      </c>
    </row>
    <row r="626" spans="2:25" x14ac:dyDescent="0.2">
      <c r="C626" s="5"/>
      <c r="D626" s="5" t="str">
        <v>Dénigre la nouvelle famille</v>
      </c>
      <c r="E626" s="975" t="str">
        <v/>
      </c>
      <c r="G626" s="2019"/>
      <c r="X626" s="2018" t="str">
        <f>'Modèle Calcul A-R + miroir'!BD22</f>
        <v>Fait lire les communications à l'enfant</v>
      </c>
      <c r="Y626" s="631">
        <f>IF('Modèle Calcul A-R + miroir'!BG22&lt;&gt;"",'Modèle Calcul A-R + miroir'!BF22,"")</f>
        <v>28</v>
      </c>
    </row>
    <row r="627" spans="2:25" x14ac:dyDescent="0.2">
      <c r="C627" s="5"/>
      <c r="D627" s="5" t="str">
        <v>La nouvelle famille est "LA vraie"</v>
      </c>
      <c r="E627" s="975" t="str">
        <v/>
      </c>
      <c r="G627" s="2019"/>
      <c r="X627" s="2018" t="str">
        <f>'Modèle Calcul A-R + miroir'!BD23</f>
        <v>L'enfant est messager de la logistique</v>
      </c>
      <c r="Y627" s="631" t="str">
        <f>IF('Modèle Calcul A-R + miroir'!BG23&lt;&gt;"",'Modèle Calcul A-R + miroir'!BF23,"")</f>
        <v/>
      </c>
    </row>
    <row r="628" spans="2:25" x14ac:dyDescent="0.2">
      <c r="C628" s="5"/>
      <c r="D628" s="5" t="str">
        <v>Le nouveau ou la nouvelle conjoint.e se fait appeler "papa" ou "maman"</v>
      </c>
      <c r="E628" s="975" t="str">
        <v/>
      </c>
      <c r="G628" s="2019"/>
      <c r="X628" s="2018" t="str">
        <f>'Modèle Calcul A-R + miroir'!BD24</f>
        <v>Liberté du choix de l'enfant</v>
      </c>
      <c r="Y628" s="631" t="str">
        <f>IF('Modèle Calcul A-R + miroir'!BG24&lt;&gt;"",'Modèle Calcul A-R + miroir'!BF24,"")</f>
        <v/>
      </c>
    </row>
    <row r="629" spans="2:25" x14ac:dyDescent="0.2">
      <c r="C629" s="5"/>
      <c r="D629" s="5" t="str">
        <v>Impose sa présence (appel, texto)</v>
      </c>
      <c r="E629" s="975" t="str">
        <v/>
      </c>
      <c r="G629" s="2019"/>
      <c r="X629" s="2018" t="str">
        <f>'Modèle Calcul A-R + miroir'!BD25</f>
        <v>Maturité de l'enfant de choisir</v>
      </c>
      <c r="Y629" s="631" t="str">
        <f>IF('Modèle Calcul A-R + miroir'!BG25&lt;&gt;"",'Modèle Calcul A-R + miroir'!BF25,"")</f>
        <v/>
      </c>
    </row>
    <row r="630" spans="2:25" x14ac:dyDescent="0.2">
      <c r="C630" s="5"/>
      <c r="D630" s="5" t="str">
        <v>Contact de l'enfant avec la famille élargie</v>
      </c>
      <c r="E630" s="975" t="str">
        <v/>
      </c>
      <c r="G630" s="2019"/>
      <c r="X630" s="2018" t="str">
        <f>'Modèle Calcul A-R + miroir'!BD26</f>
        <v>Respecter les désirs de l'enfant</v>
      </c>
      <c r="Y630" s="631" t="str">
        <f>IF('Modèle Calcul A-R + miroir'!BG26&lt;&gt;"",'Modèle Calcul A-R + miroir'!BF26,"")</f>
        <v/>
      </c>
    </row>
    <row r="631" spans="2:25" x14ac:dyDescent="0.2">
      <c r="C631" s="5"/>
      <c r="D631" s="5" t="str">
        <v>Sujet personnel|intime partagé à l'enfant</v>
      </c>
      <c r="E631" s="975" t="str">
        <v/>
      </c>
      <c r="G631" s="2019"/>
      <c r="X631" s="2018" t="str">
        <f>'Modèle Calcul A-R + miroir'!BD27</f>
        <v>Demande / force l'enfant à choisir</v>
      </c>
      <c r="Y631" s="631" t="str">
        <f>IF('Modèle Calcul A-R + miroir'!BG27&lt;&gt;"",'Modèle Calcul A-R + miroir'!BF27,"")</f>
        <v/>
      </c>
    </row>
    <row r="632" spans="2:25" x14ac:dyDescent="0.2">
      <c r="C632" s="5"/>
      <c r="D632" s="5" t="str">
        <v>L'enfant est messager de la logistique</v>
      </c>
      <c r="E632" s="975" t="str">
        <v/>
      </c>
      <c r="G632" s="2019"/>
      <c r="X632" s="2018" t="str">
        <f>'Modèle Calcul A-R + miroir'!BD28</f>
        <v>Transport d'objets d'un domicile à l'autre</v>
      </c>
      <c r="Y632" s="631" t="str">
        <f>IF('Modèle Calcul A-R + miroir'!BG28&lt;&gt;"",'Modèle Calcul A-R + miroir'!BF28,"")</f>
        <v/>
      </c>
    </row>
    <row r="633" spans="2:25" x14ac:dyDescent="0.2">
      <c r="C633" s="5"/>
      <c r="D633" s="5" t="str">
        <v>Liberté du choix de l'enfant</v>
      </c>
      <c r="E633" s="975" t="str">
        <v/>
      </c>
      <c r="G633" s="2019"/>
      <c r="X633" s="2018" t="str">
        <f>'Modèle Calcul A-R + miroir'!BD29</f>
        <v>Sérénité et confidence face à la séparation</v>
      </c>
      <c r="Y633" s="631">
        <f>IF('Modèle Calcul A-R + miroir'!BG29&lt;&gt;"",'Modèle Calcul A-R + miroir'!BF29,"")</f>
        <v>21</v>
      </c>
    </row>
    <row r="634" spans="2:25" x14ac:dyDescent="0.2">
      <c r="C634" s="5"/>
      <c r="D634" s="5" t="str">
        <v>Maturité de l'enfant de choisir</v>
      </c>
      <c r="E634" s="975" t="str">
        <v/>
      </c>
      <c r="G634" s="2019"/>
    </row>
    <row r="635" spans="2:25" x14ac:dyDescent="0.2">
      <c r="C635" s="5"/>
      <c r="D635" s="5" t="str">
        <v>Respecter les désirs de l'enfant</v>
      </c>
      <c r="E635" s="975" t="str">
        <v/>
      </c>
    </row>
    <row r="636" spans="2:25" x14ac:dyDescent="0.2">
      <c r="C636" s="5"/>
      <c r="D636" s="5" t="str">
        <v>Demande / force l'enfant à choisir</v>
      </c>
      <c r="E636" s="975" t="str">
        <v/>
      </c>
    </row>
    <row r="637" spans="2:25" x14ac:dyDescent="0.2">
      <c r="C637" s="5"/>
      <c r="D637" s="5" t="str">
        <v>Transport d'objets d'un domicile à l'autre</v>
      </c>
      <c r="E637" s="975" t="str">
        <v/>
      </c>
    </row>
    <row r="638" spans="2:25" ht="34" customHeight="1" x14ac:dyDescent="0.2">
      <c r="C638" s="2179" t="s">
        <v>2127</v>
      </c>
      <c r="D638" s="2179"/>
      <c r="E638" s="2179"/>
    </row>
    <row r="640" spans="2:25" ht="21" x14ac:dyDescent="0.25">
      <c r="B640" s="2081"/>
      <c r="G640" s="319"/>
    </row>
    <row r="641" spans="2:25" ht="19" x14ac:dyDescent="0.25">
      <c r="B641" s="2142" t="s">
        <v>2129</v>
      </c>
      <c r="F641" s="2019" t="s">
        <v>2105</v>
      </c>
      <c r="G641" s="2019"/>
    </row>
    <row r="642" spans="2:25" x14ac:dyDescent="0.2">
      <c r="B642" s="2143" t="s">
        <v>2071</v>
      </c>
      <c r="E642" s="2159"/>
      <c r="F642" s="2160" t="s">
        <v>2104</v>
      </c>
      <c r="G642" s="2161"/>
      <c r="H642" s="2159"/>
      <c r="I642" s="2159"/>
    </row>
    <row r="643" spans="2:25" x14ac:dyDescent="0.2">
      <c r="G643" s="2019"/>
    </row>
    <row r="644" spans="2:25" x14ac:dyDescent="0.2">
      <c r="C644" s="2020" t="s">
        <v>318</v>
      </c>
      <c r="D644" s="2174" t="s">
        <v>1886</v>
      </c>
      <c r="E644" s="2174"/>
      <c r="F644" s="2174"/>
      <c r="G644" s="2174"/>
      <c r="H644" s="2174"/>
      <c r="I644" s="2174"/>
    </row>
    <row r="645" spans="2:25" x14ac:dyDescent="0.2">
      <c r="C645" s="631"/>
      <c r="D645" s="114" t="s">
        <v>1322</v>
      </c>
      <c r="F645" s="5"/>
      <c r="I645" s="5" t="s">
        <v>1323</v>
      </c>
    </row>
    <row r="646" spans="2:25" x14ac:dyDescent="0.2">
      <c r="B646" t="s">
        <v>2130</v>
      </c>
      <c r="C646" s="2010">
        <f>Test_Bible!V380</f>
        <v>260</v>
      </c>
      <c r="D646" s="114">
        <f>Test_Bible!X380</f>
        <v>0</v>
      </c>
      <c r="E646" s="114">
        <f>Test_Bible!Y380</f>
        <v>54</v>
      </c>
      <c r="F646" s="114">
        <f>Test_Bible!Z380</f>
        <v>108</v>
      </c>
      <c r="G646" s="114">
        <f>Test_Bible!AA380</f>
        <v>216</v>
      </c>
      <c r="H646" s="114">
        <f>Test_Bible!AB380</f>
        <v>378</v>
      </c>
      <c r="I646" s="114">
        <f>Test_Bible!AC380</f>
        <v>540</v>
      </c>
    </row>
    <row r="647" spans="2:25" x14ac:dyDescent="0.2">
      <c r="C647" s="2010"/>
      <c r="D647" s="1646"/>
      <c r="G647"/>
      <c r="H647"/>
      <c r="I647"/>
      <c r="Y647" t="s">
        <v>2074</v>
      </c>
    </row>
    <row r="648" spans="2:25" x14ac:dyDescent="0.2">
      <c r="J648" s="2"/>
      <c r="X648" t="s">
        <v>2073</v>
      </c>
      <c r="Y648">
        <v>10</v>
      </c>
    </row>
    <row r="649" spans="2:25" ht="29" x14ac:dyDescent="0.35">
      <c r="B649" t="s">
        <v>2130</v>
      </c>
      <c r="G649" s="2168" t="s">
        <v>2133</v>
      </c>
      <c r="I649" s="5" t="s">
        <v>2133</v>
      </c>
    </row>
    <row r="652" spans="2:25" x14ac:dyDescent="0.2">
      <c r="G652" s="2019"/>
    </row>
    <row r="653" spans="2:25" ht="27" customHeight="1" x14ac:dyDescent="0.2">
      <c r="E653" t="s">
        <v>2130</v>
      </c>
      <c r="G653" s="2019"/>
    </row>
    <row r="654" spans="2:25" ht="19" x14ac:dyDescent="0.25">
      <c r="B654" s="445" t="s">
        <v>2080</v>
      </c>
      <c r="F654" s="2019" t="s">
        <v>2134</v>
      </c>
    </row>
    <row r="655" spans="2:25" x14ac:dyDescent="0.2">
      <c r="B655" s="2143" t="s">
        <v>2081</v>
      </c>
      <c r="G655" s="2019"/>
    </row>
    <row r="656" spans="2:25" x14ac:dyDescent="0.2">
      <c r="B656" s="2143"/>
      <c r="E656" s="2159"/>
      <c r="F656" s="2160" t="s">
        <v>2135</v>
      </c>
      <c r="G656" s="2161"/>
      <c r="H656" s="2159"/>
      <c r="I656" s="2159"/>
    </row>
    <row r="658" spans="2:8" x14ac:dyDescent="0.2">
      <c r="C658" s="5"/>
      <c r="D658" s="2149"/>
      <c r="F658" s="5" t="s">
        <v>2137</v>
      </c>
      <c r="H658" t="s">
        <v>2136</v>
      </c>
    </row>
    <row r="659" spans="2:8" ht="22" customHeight="1" x14ac:dyDescent="0.2">
      <c r="C659" s="2155"/>
      <c r="D659" s="631" t="s">
        <v>2138</v>
      </c>
      <c r="G659" s="2019"/>
    </row>
    <row r="660" spans="2:8" ht="21" customHeight="1" x14ac:dyDescent="0.2">
      <c r="B660" t="s">
        <v>2137</v>
      </c>
      <c r="C660" s="2156" t="s">
        <v>1258</v>
      </c>
      <c r="D660" s="2158">
        <f>Test_Bible!AH432</f>
        <v>210.14</v>
      </c>
      <c r="G660" s="2019"/>
    </row>
    <row r="661" spans="2:8" ht="21" customHeight="1" x14ac:dyDescent="0.2">
      <c r="C661" s="2156" t="s">
        <v>1889</v>
      </c>
      <c r="D661" s="2158">
        <f>Test_Bible!AI432</f>
        <v>90.72</v>
      </c>
      <c r="G661" s="319"/>
    </row>
    <row r="662" spans="2:8" ht="21" customHeight="1" x14ac:dyDescent="0.2">
      <c r="C662" s="2156" t="s">
        <v>1260</v>
      </c>
      <c r="D662" s="2158">
        <f>Test_Bible!AJ432</f>
        <v>84.14</v>
      </c>
      <c r="G662" s="319"/>
    </row>
    <row r="663" spans="2:8" ht="21" customHeight="1" x14ac:dyDescent="0.2">
      <c r="C663" s="319"/>
      <c r="G663" s="319"/>
    </row>
    <row r="664" spans="2:8" ht="21" customHeight="1" x14ac:dyDescent="0.2">
      <c r="C664" s="319"/>
      <c r="G664" s="319"/>
    </row>
    <row r="665" spans="2:8" ht="21" customHeight="1" x14ac:dyDescent="0.2">
      <c r="C665" s="5"/>
      <c r="G665" s="319"/>
    </row>
    <row r="666" spans="2:8" ht="21" customHeight="1" x14ac:dyDescent="0.2">
      <c r="B666" t="s">
        <v>2136</v>
      </c>
      <c r="C666" s="2155"/>
      <c r="D666" s="631" t="s">
        <v>2138</v>
      </c>
      <c r="G666" s="319"/>
    </row>
    <row r="667" spans="2:8" ht="21" customHeight="1" x14ac:dyDescent="0.2">
      <c r="C667" s="2156" t="s">
        <v>1258</v>
      </c>
      <c r="D667" s="2158">
        <f>Test_Bible!AH457</f>
        <v>151</v>
      </c>
      <c r="G667" s="319"/>
    </row>
    <row r="668" spans="2:8" ht="21" customHeight="1" x14ac:dyDescent="0.2">
      <c r="C668" s="2156" t="s">
        <v>1889</v>
      </c>
      <c r="D668" s="2158">
        <f>Test_Bible!AI457</f>
        <v>84</v>
      </c>
      <c r="G668" s="319"/>
    </row>
    <row r="669" spans="2:8" ht="21" customHeight="1" x14ac:dyDescent="0.2">
      <c r="C669" s="2156" t="s">
        <v>1260</v>
      </c>
      <c r="D669" s="2158">
        <f>Test_Bible!AJ457</f>
        <v>11</v>
      </c>
      <c r="G669" s="319"/>
    </row>
    <row r="670" spans="2:8" x14ac:dyDescent="0.2">
      <c r="G670" s="319"/>
    </row>
    <row r="679" spans="7:7" x14ac:dyDescent="0.2">
      <c r="G679" s="2019"/>
    </row>
    <row r="680" spans="7:7" x14ac:dyDescent="0.2">
      <c r="G680" s="2019"/>
    </row>
    <row r="681" spans="7:7" x14ac:dyDescent="0.2">
      <c r="G681" s="2019"/>
    </row>
    <row r="682" spans="7:7" x14ac:dyDescent="0.2">
      <c r="G682" s="2019"/>
    </row>
    <row r="683" spans="7:7" x14ac:dyDescent="0.2">
      <c r="G683" s="2019"/>
    </row>
    <row r="698" spans="7:7" x14ac:dyDescent="0.2">
      <c r="G698" s="2019"/>
    </row>
  </sheetData>
  <mergeCells count="15">
    <mergeCell ref="H3:M3"/>
    <mergeCell ref="B460:C460"/>
    <mergeCell ref="J456:K457"/>
    <mergeCell ref="C502:F502"/>
    <mergeCell ref="B477:B478"/>
    <mergeCell ref="B417:H417"/>
    <mergeCell ref="E423:G423"/>
    <mergeCell ref="I417:L417"/>
    <mergeCell ref="D644:I644"/>
    <mergeCell ref="D451:I451"/>
    <mergeCell ref="F541:L541"/>
    <mergeCell ref="B536:D539"/>
    <mergeCell ref="C575:E576"/>
    <mergeCell ref="G613:J614"/>
    <mergeCell ref="C638:E638"/>
  </mergeCells>
  <phoneticPr fontId="11" type="noConversion"/>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2" id="{4F31148E-D9EB-1E48-96F2-E91F399F21F6}">
            <x14:iconSet custom="1">
              <x14:cfvo type="percent">
                <xm:f>0</xm:f>
              </x14:cfvo>
              <x14:cfvo type="num">
                <xm:f>0</xm:f>
              </x14:cfvo>
              <x14:cfvo type="num">
                <xm:f>0</xm:f>
              </x14:cfvo>
              <x14:cfIcon iconSet="3TrafficLights1" iconId="2"/>
              <x14:cfIcon iconSet="3TrafficLights1" iconId="2"/>
              <x14:cfIcon iconSet="3TrafficLights1" iconId="2"/>
            </x14:iconSet>
          </x14:cfRule>
          <xm:sqref>C550:D552</xm:sqref>
        </x14:conditionalFormatting>
        <x14:conditionalFormatting xmlns:xm="http://schemas.microsoft.com/office/excel/2006/main">
          <x14:cfRule type="iconSet" priority="8" id="{2BA386A4-03FE-664F-95C7-2E54B92135F1}">
            <x14:iconSet custom="1">
              <x14:cfvo type="percent">
                <xm:f>0</xm:f>
              </x14:cfvo>
              <x14:cfvo type="num">
                <xm:f>1</xm:f>
              </x14:cfvo>
              <x14:cfvo type="num">
                <xm:f>1</xm:f>
              </x14:cfvo>
              <x14:cfIcon iconSet="3TrafficLights1" iconId="0"/>
              <x14:cfIcon iconSet="3TrafficLights1" iconId="0"/>
              <x14:cfIcon iconSet="3TrafficLights1" iconId="0"/>
            </x14:iconSet>
          </x14:cfRule>
          <xm:sqref>C547:D549 R544:R545</xm:sqref>
        </x14:conditionalFormatting>
        <x14:conditionalFormatting xmlns:xm="http://schemas.microsoft.com/office/excel/2006/main">
          <x14:cfRule type="iconSet" priority="6" id="{34003CA8-E197-1F49-B8F3-29FF354A32B2}">
            <x14:iconSet iconSet="3Flags" showValue="0" custom="1">
              <x14:cfvo type="percent">
                <xm:f>0</xm:f>
              </x14:cfvo>
              <x14:cfvo type="num">
                <xm:f>0</xm:f>
              </x14:cfvo>
              <x14:cfvo type="num">
                <xm:f>1</xm:f>
              </x14:cfvo>
              <x14:cfIcon iconSet="NoIcons" iconId="0"/>
              <x14:cfIcon iconSet="NoIcons" iconId="0"/>
              <x14:cfIcon iconSet="3Flags" iconId="0"/>
            </x14:iconSet>
          </x14:cfRule>
          <xm:sqref>H428:I428</xm:sqref>
        </x14:conditionalFormatting>
        <x14:conditionalFormatting xmlns:xm="http://schemas.microsoft.com/office/excel/2006/main">
          <x14:cfRule type="iconSet" priority="1" id="{1C375BC2-B3A3-4C4C-B5AC-4B7C4154E10F}">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2" id="{CDB4AF77-4205-6C41-9BA2-ACD3AC149F6D}">
            <x14:iconSet iconSet="3Flags" custom="1">
              <x14:cfvo type="percent">
                <xm:f>0</xm:f>
              </x14:cfvo>
              <x14:cfvo type="num">
                <xm:f>0</xm:f>
              </x14:cfvo>
              <x14:cfvo type="num">
                <xm:f>0</xm:f>
              </x14:cfvo>
              <x14:cfIcon iconSet="NoIcons" iconId="0"/>
              <x14:cfIcon iconSet="NoIcons" iconId="0"/>
              <x14:cfIcon iconSet="3Flags" iconId="0"/>
            </x14:iconSet>
          </x14:cfRule>
          <xm:sqref>L532</xm:sqref>
        </x14:conditionalFormatting>
        <x14:conditionalFormatting xmlns:xm="http://schemas.microsoft.com/office/excel/2006/main">
          <x14:cfRule type="iconSet" priority="29" id="{C3ED2061-7BFC-4043-B489-B73F324332C8}">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30" id="{0CF2B5AA-19A8-724A-A7A2-24851418C0E1}">
            <x14:iconSet iconSet="3Flags" custom="1">
              <x14:cfvo type="percent">
                <xm:f>0</xm:f>
              </x14:cfvo>
              <x14:cfvo type="num">
                <xm:f>0</xm:f>
              </x14:cfvo>
              <x14:cfvo type="num">
                <xm:f>0</xm:f>
              </x14:cfvo>
              <x14:cfIcon iconSet="NoIcons" iconId="0"/>
              <x14:cfIcon iconSet="NoIcons" iconId="0"/>
              <x14:cfIcon iconSet="3Flags" iconId="0"/>
            </x14:iconSet>
          </x14:cfRule>
          <xm:sqref>L534 L536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33E-8BFC-564C-813C-63F93A66E3BC}">
  <sheetPr>
    <pageSetUpPr fitToPage="1"/>
  </sheetPr>
  <dimension ref="A1:CT357"/>
  <sheetViews>
    <sheetView topLeftCell="E203" workbookViewId="0">
      <selection activeCell="O207" sqref="O207"/>
    </sheetView>
    <sheetView workbookViewId="1"/>
  </sheetViews>
  <sheetFormatPr baseColWidth="10" defaultColWidth="11" defaultRowHeight="40" customHeight="1" x14ac:dyDescent="0.2"/>
  <cols>
    <col min="1" max="1" width="22.6640625" customWidth="1"/>
    <col min="2" max="2" width="17.33203125" customWidth="1"/>
    <col min="3" max="3" width="20.1640625" customWidth="1"/>
    <col min="4" max="4" width="10" style="8" customWidth="1"/>
    <col min="5" max="5" width="8.83203125" style="8" customWidth="1"/>
    <col min="6" max="6" width="47.83203125" style="17" customWidth="1"/>
    <col min="7" max="7" width="74.5" style="16" hidden="1" customWidth="1"/>
    <col min="8" max="8" width="28.33203125" style="17" customWidth="1"/>
    <col min="9" max="9" width="0.1640625" style="17" customWidth="1"/>
    <col min="10" max="10" width="15.5" style="8" bestFit="1" customWidth="1"/>
    <col min="11" max="11" width="8.1640625" style="8" bestFit="1" customWidth="1"/>
    <col min="12" max="13" width="14.1640625" style="133" customWidth="1"/>
    <col min="14" max="14" width="19.33203125" style="133" customWidth="1"/>
    <col min="15" max="15" width="36.33203125" style="654" customWidth="1"/>
    <col min="16" max="17" width="9.1640625" style="133" customWidth="1"/>
    <col min="18" max="18" width="27.5" style="133" customWidth="1"/>
    <col min="19" max="19" width="9" style="188" customWidth="1"/>
    <col min="20" max="21" width="9" style="134" customWidth="1"/>
    <col min="22" max="22" width="35.1640625" style="177" customWidth="1"/>
    <col min="23" max="24" width="5.6640625" style="5" customWidth="1"/>
    <col min="25" max="26" width="5.6640625" style="447" customWidth="1"/>
    <col min="27" max="30" width="5.6640625" style="162" customWidth="1"/>
    <col min="31" max="31" width="28.5" style="8" customWidth="1"/>
    <col min="32" max="33" width="13.6640625" style="1142" customWidth="1"/>
    <col min="34" max="34" width="13.6640625" style="8" customWidth="1"/>
    <col min="35" max="35" width="13.6640625" style="292" customWidth="1"/>
    <col min="36" max="36" width="16.83203125" customWidth="1"/>
    <col min="37" max="47" width="13.6640625" customWidth="1"/>
  </cols>
  <sheetData>
    <row r="1" spans="4:51" ht="20" customHeight="1" x14ac:dyDescent="0.2">
      <c r="L1" s="581" t="s">
        <v>0</v>
      </c>
      <c r="M1" s="152" t="s">
        <v>1</v>
      </c>
      <c r="N1" s="583"/>
      <c r="O1" s="1846"/>
      <c r="P1" s="152"/>
      <c r="Q1" s="188"/>
      <c r="R1" s="188"/>
      <c r="S1" s="134"/>
      <c r="U1" s="318"/>
    </row>
    <row r="2" spans="4:51" ht="15" customHeight="1" x14ac:dyDescent="0.2">
      <c r="F2" s="1105"/>
      <c r="L2" s="2193" t="s">
        <v>2</v>
      </c>
      <c r="M2" s="7" t="s">
        <v>3</v>
      </c>
      <c r="N2" s="584"/>
      <c r="O2" s="17" t="s">
        <v>1418</v>
      </c>
      <c r="P2" s="17"/>
      <c r="Q2" s="188"/>
      <c r="R2" s="188"/>
      <c r="S2" s="134"/>
      <c r="U2" s="318"/>
      <c r="AX2" s="7" t="s">
        <v>3</v>
      </c>
      <c r="AY2" t="str">
        <f>O2</f>
        <v xml:space="preserve">Jamais / Rarement / Occasionnellement / Régulièrement / Souvent / Toujours / S.O. </v>
      </c>
    </row>
    <row r="3" spans="4:51" ht="15" customHeight="1" x14ac:dyDescent="0.2">
      <c r="L3" s="2193"/>
      <c r="M3" s="7" t="s">
        <v>4</v>
      </c>
      <c r="N3" s="584"/>
      <c r="O3" s="17" t="s">
        <v>5</v>
      </c>
      <c r="P3" s="17"/>
      <c r="Q3" s="188"/>
      <c r="R3" s="188"/>
      <c r="S3" s="134"/>
      <c r="U3" s="318"/>
      <c r="AX3" s="7" t="s">
        <v>11</v>
      </c>
      <c r="AY3" t="str">
        <f>O9</f>
        <v>Toujours / Souvent / Régulièrement / Occasionnellement / Rarement / Jamais / S.O.</v>
      </c>
    </row>
    <row r="4" spans="4:51" ht="15" customHeight="1" x14ac:dyDescent="0.2">
      <c r="L4" s="2193"/>
      <c r="M4" s="7" t="s">
        <v>6</v>
      </c>
      <c r="N4" s="584"/>
      <c r="O4" s="17" t="s">
        <v>929</v>
      </c>
      <c r="P4" s="17"/>
      <c r="Q4" s="188"/>
      <c r="R4" s="188"/>
      <c r="S4" s="134"/>
      <c r="U4" s="318"/>
      <c r="AU4" t="s">
        <v>931</v>
      </c>
      <c r="AX4" s="7" t="s">
        <v>4</v>
      </c>
      <c r="AY4" t="str">
        <f>O3</f>
        <v xml:space="preserve">Excellente / Très bonne / Bonne / Moyenne / Faible / Mauvaise / S.O.   </v>
      </c>
    </row>
    <row r="5" spans="4:51" ht="15" customHeight="1" x14ac:dyDescent="0.2">
      <c r="L5" s="2193"/>
      <c r="M5" s="7" t="s">
        <v>7</v>
      </c>
      <c r="N5" s="584"/>
      <c r="O5" s="17" t="s">
        <v>1525</v>
      </c>
      <c r="P5" s="17"/>
      <c r="Q5" s="188"/>
      <c r="R5" s="188"/>
      <c r="S5" s="134"/>
      <c r="U5" s="318"/>
      <c r="AX5" s="937" t="s">
        <v>13</v>
      </c>
      <c r="AY5" t="str">
        <f>O10</f>
        <v xml:space="preserve">Mauvaise / Faible / Moyenne / Bonne / Très bonne / Excellente / S.O </v>
      </c>
    </row>
    <row r="6" spans="4:51" ht="15" customHeight="1" x14ac:dyDescent="0.2">
      <c r="L6" s="2193"/>
      <c r="M6" s="7" t="s">
        <v>122</v>
      </c>
      <c r="N6" s="584"/>
      <c r="O6" s="17" t="s">
        <v>1528</v>
      </c>
      <c r="P6" s="17"/>
      <c r="Q6" s="188"/>
      <c r="R6" s="188"/>
      <c r="S6" s="134"/>
      <c r="U6" s="318"/>
      <c r="AX6" s="937"/>
    </row>
    <row r="7" spans="4:51" ht="15" customHeight="1" x14ac:dyDescent="0.2">
      <c r="L7" s="994"/>
      <c r="M7" s="7" t="s">
        <v>9</v>
      </c>
      <c r="N7" s="584"/>
      <c r="O7" s="17" t="s">
        <v>1818</v>
      </c>
      <c r="P7" s="17"/>
      <c r="Q7" s="188"/>
      <c r="R7" s="188"/>
      <c r="S7" s="134"/>
      <c r="U7" s="318"/>
      <c r="AX7" s="936" t="s">
        <v>6</v>
      </c>
      <c r="AY7" t="str">
        <f>O4</f>
        <v>Tout à fait en désaccord / En désaccord /  Partiellement en désaccord /  Partiellement d’accord / D’accord / Tout à fait d’accord / S.O.</v>
      </c>
    </row>
    <row r="8" spans="4:51" ht="15" customHeight="1" x14ac:dyDescent="0.2">
      <c r="L8" s="994"/>
      <c r="M8" s="7" t="s">
        <v>1516</v>
      </c>
      <c r="N8" s="584"/>
      <c r="O8" s="17" t="s">
        <v>1817</v>
      </c>
      <c r="P8" s="17"/>
      <c r="Q8" s="188"/>
      <c r="R8" s="188"/>
      <c r="S8" s="134"/>
      <c r="U8" s="318"/>
      <c r="AX8" s="935" t="s">
        <v>15</v>
      </c>
      <c r="AY8" t="s">
        <v>930</v>
      </c>
    </row>
    <row r="9" spans="4:51" ht="15" customHeight="1" x14ac:dyDescent="0.2">
      <c r="L9" s="2194" t="s">
        <v>10</v>
      </c>
      <c r="M9" s="7" t="s">
        <v>11</v>
      </c>
      <c r="N9" s="584"/>
      <c r="O9" s="17" t="s">
        <v>1419</v>
      </c>
      <c r="P9" s="17"/>
      <c r="Q9" s="188"/>
      <c r="R9" s="188"/>
      <c r="S9" s="134"/>
      <c r="U9" s="318"/>
      <c r="AX9" s="7" t="s">
        <v>7</v>
      </c>
      <c r="AY9" t="str">
        <f>O5</f>
        <v xml:space="preserve">Nulle / Très faible / Faible / Moyenne / Élevée / Très élevée / S.O. </v>
      </c>
    </row>
    <row r="10" spans="4:51" ht="15" customHeight="1" x14ac:dyDescent="0.2">
      <c r="L10" s="2194"/>
      <c r="M10" s="937" t="s">
        <v>13</v>
      </c>
      <c r="N10" s="938" t="s">
        <v>1524</v>
      </c>
      <c r="O10" s="937" t="s">
        <v>14</v>
      </c>
      <c r="P10" s="937"/>
      <c r="Q10" s="1825"/>
      <c r="R10" s="1825"/>
      <c r="S10" s="1826"/>
      <c r="T10" s="1826"/>
      <c r="U10" s="1827"/>
      <c r="V10" s="1828"/>
      <c r="W10" s="319"/>
      <c r="AX10" s="937" t="s">
        <v>16</v>
      </c>
      <c r="AY10" t="str">
        <f>O13</f>
        <v>Totalement / Grandement / Moyennement / Un peu / Très peu / Pas du tout / S.O.</v>
      </c>
    </row>
    <row r="11" spans="4:51" ht="15" customHeight="1" x14ac:dyDescent="0.2">
      <c r="L11" s="2194"/>
      <c r="M11" s="17" t="s">
        <v>15</v>
      </c>
      <c r="N11" s="584" t="s">
        <v>1524</v>
      </c>
      <c r="O11" s="17" t="s">
        <v>930</v>
      </c>
      <c r="P11" s="17"/>
      <c r="Q11" s="188"/>
      <c r="R11" s="188"/>
      <c r="S11" s="134"/>
      <c r="U11" s="318"/>
      <c r="AU11" t="s">
        <v>931</v>
      </c>
      <c r="AX11" s="7" t="s">
        <v>8</v>
      </c>
      <c r="AY11" t="str">
        <f>O7</f>
        <v xml:space="preserve">Jamais / Rarement, au besoin / 1 à 2 fois semaine / 3 à 5 fois semaine / Presque tous les jours / Plusieurs fois par jour / S.O. </v>
      </c>
    </row>
    <row r="12" spans="4:51" ht="15" customHeight="1" x14ac:dyDescent="0.2">
      <c r="L12" s="2194"/>
      <c r="M12" s="17" t="s">
        <v>16</v>
      </c>
      <c r="N12" s="584"/>
      <c r="O12" s="17" t="s">
        <v>1526</v>
      </c>
      <c r="P12" s="17"/>
      <c r="Q12" s="188"/>
      <c r="R12" s="188"/>
      <c r="S12" s="134"/>
      <c r="U12" s="318"/>
      <c r="AX12" s="7" t="s">
        <v>9</v>
      </c>
      <c r="AY12" t="str">
        <f>O7</f>
        <v xml:space="preserve">Jamais / Rarement, au besoin / 1 à 2 fois semaine / 3 à 5 fois semaine / Presque tous les jours / Plusieurs fois par jour / S.O. </v>
      </c>
    </row>
    <row r="13" spans="4:51" ht="15" customHeight="1" x14ac:dyDescent="0.2">
      <c r="L13" s="2194"/>
      <c r="M13" s="7" t="s">
        <v>1527</v>
      </c>
      <c r="N13" s="584"/>
      <c r="O13" s="17" t="s">
        <v>1529</v>
      </c>
      <c r="P13" s="17"/>
      <c r="Q13" s="188"/>
      <c r="R13" s="188"/>
      <c r="S13" s="134"/>
      <c r="U13" s="318"/>
      <c r="AX13" s="937"/>
    </row>
    <row r="14" spans="4:51" ht="76" customHeight="1" x14ac:dyDescent="0.2">
      <c r="N14" s="17"/>
      <c r="O14" s="297" t="s">
        <v>1542</v>
      </c>
      <c r="P14" s="17"/>
      <c r="Q14" s="17"/>
      <c r="R14" s="17"/>
      <c r="S14" s="17"/>
    </row>
    <row r="15" spans="4:51" ht="20" customHeight="1" x14ac:dyDescent="0.25">
      <c r="D15" s="2195" t="s">
        <v>17</v>
      </c>
      <c r="E15" s="46"/>
      <c r="F15" s="119"/>
      <c r="G15" s="46"/>
      <c r="H15" s="119"/>
      <c r="I15" s="119"/>
      <c r="J15" s="46"/>
      <c r="K15" s="46"/>
      <c r="L15" s="523"/>
      <c r="M15" s="523"/>
      <c r="N15" s="523"/>
      <c r="O15" s="1830"/>
      <c r="P15" s="523"/>
      <c r="Q15" s="523"/>
      <c r="R15" s="523"/>
      <c r="T15" s="524"/>
      <c r="U15" s="524"/>
      <c r="W15" s="452"/>
      <c r="X15" s="452"/>
      <c r="Y15" s="447" t="s">
        <v>378</v>
      </c>
      <c r="AE15" s="1143"/>
      <c r="AF15" s="1144"/>
      <c r="AG15" s="1144"/>
      <c r="AH15" s="1143"/>
      <c r="AI15" s="1145"/>
      <c r="AJ15" s="1143"/>
    </row>
    <row r="16" spans="4:51" ht="18" customHeight="1" x14ac:dyDescent="0.25">
      <c r="D16" s="2195"/>
      <c r="E16" s="46"/>
      <c r="F16" s="119"/>
      <c r="G16" s="46"/>
      <c r="H16" s="119"/>
      <c r="I16" s="119"/>
      <c r="J16" s="46"/>
      <c r="K16" s="46"/>
      <c r="L16" s="523"/>
      <c r="M16" s="523"/>
      <c r="N16" s="523"/>
      <c r="O16" s="1830"/>
      <c r="P16" s="523"/>
      <c r="Q16" s="523"/>
      <c r="R16" s="523"/>
      <c r="S16" s="538"/>
      <c r="T16" s="535"/>
      <c r="U16" s="535"/>
      <c r="V16" s="930"/>
      <c r="W16" s="452"/>
      <c r="X16" s="452"/>
      <c r="AE16" s="1143"/>
      <c r="AF16" s="1144"/>
      <c r="AG16" s="1144"/>
      <c r="AH16" s="1143"/>
      <c r="AI16" s="1145"/>
      <c r="AJ16" s="1143"/>
    </row>
    <row r="17" spans="1:36" ht="55" customHeight="1" thickBot="1" x14ac:dyDescent="0.3">
      <c r="A17" s="2188" t="s">
        <v>870</v>
      </c>
      <c r="B17" s="2188"/>
      <c r="C17" s="2188"/>
      <c r="D17" s="2196"/>
      <c r="E17" s="119"/>
      <c r="F17" s="119"/>
      <c r="G17" s="119"/>
      <c r="H17" s="119" t="s">
        <v>19</v>
      </c>
      <c r="I17" s="119"/>
      <c r="J17" s="46" t="s">
        <v>20</v>
      </c>
      <c r="K17" s="46"/>
      <c r="L17" s="2189" t="s">
        <v>22</v>
      </c>
      <c r="M17" s="2189"/>
      <c r="N17" s="2189" t="s">
        <v>1</v>
      </c>
      <c r="O17" s="2189"/>
      <c r="P17" s="893"/>
      <c r="Q17" s="525" t="s">
        <v>369</v>
      </c>
      <c r="R17" s="525"/>
      <c r="S17" s="2197" t="s">
        <v>23</v>
      </c>
      <c r="T17" s="2197"/>
      <c r="U17" s="2197"/>
      <c r="V17" s="842" t="s">
        <v>18</v>
      </c>
      <c r="W17" s="452"/>
      <c r="X17" s="452"/>
      <c r="AE17" s="2198" t="s">
        <v>641</v>
      </c>
      <c r="AF17" s="2198"/>
      <c r="AG17" s="2198"/>
      <c r="AH17" s="2198" t="s">
        <v>412</v>
      </c>
      <c r="AI17" s="2198"/>
      <c r="AJ17" s="2198"/>
    </row>
    <row r="18" spans="1:36" ht="78" customHeight="1" thickBot="1" x14ac:dyDescent="0.25">
      <c r="A18" s="897" t="s">
        <v>923</v>
      </c>
      <c r="B18" s="895" t="s">
        <v>920</v>
      </c>
      <c r="C18" s="896" t="s">
        <v>917</v>
      </c>
      <c r="D18" s="899"/>
      <c r="E18" s="137"/>
      <c r="F18" s="526" t="s">
        <v>926</v>
      </c>
      <c r="G18" s="526" t="s">
        <v>1002</v>
      </c>
      <c r="H18" s="119" t="s">
        <v>1135</v>
      </c>
      <c r="I18" s="119" t="s">
        <v>1136</v>
      </c>
      <c r="J18" s="527" t="s">
        <v>28</v>
      </c>
      <c r="K18" s="929" t="s">
        <v>21</v>
      </c>
      <c r="L18" s="928" t="s">
        <v>925</v>
      </c>
      <c r="M18" s="927" t="s">
        <v>569</v>
      </c>
      <c r="N18" s="528" t="s">
        <v>230</v>
      </c>
      <c r="O18" s="1831" t="s">
        <v>924</v>
      </c>
      <c r="P18" s="529" t="s">
        <v>231</v>
      </c>
      <c r="Q18" s="529" t="s">
        <v>370</v>
      </c>
      <c r="R18" s="529"/>
      <c r="S18" s="530" t="s">
        <v>29</v>
      </c>
      <c r="T18" s="531" t="s">
        <v>30</v>
      </c>
      <c r="U18" s="532" t="s">
        <v>31</v>
      </c>
      <c r="V18" s="533"/>
      <c r="W18" s="1196" t="s">
        <v>55</v>
      </c>
      <c r="X18" s="1197" t="s">
        <v>97</v>
      </c>
      <c r="Y18" s="1198" t="s">
        <v>69</v>
      </c>
      <c r="Z18" s="1199" t="s">
        <v>62</v>
      </c>
      <c r="AA18" s="1200" t="s">
        <v>44</v>
      </c>
      <c r="AB18" s="1201" t="s">
        <v>65</v>
      </c>
      <c r="AC18" s="1202" t="s">
        <v>84</v>
      </c>
      <c r="AD18" s="1203" t="s">
        <v>149</v>
      </c>
      <c r="AE18" s="1146"/>
      <c r="AF18" s="1147"/>
      <c r="AG18" s="292" t="s">
        <v>642</v>
      </c>
      <c r="AH18" s="1148"/>
      <c r="AI18" s="292" t="s">
        <v>642</v>
      </c>
      <c r="AJ18" s="995"/>
    </row>
    <row r="19" spans="1:36" ht="50" customHeight="1" x14ac:dyDescent="0.2">
      <c r="A19" s="990"/>
      <c r="B19" s="990" t="s">
        <v>921</v>
      </c>
      <c r="C19" s="990" t="s">
        <v>922</v>
      </c>
      <c r="D19" s="1130" t="s">
        <v>32</v>
      </c>
      <c r="E19" s="597"/>
      <c r="F19" s="1131"/>
      <c r="H19" s="1132"/>
      <c r="I19" s="155"/>
      <c r="J19" s="1133"/>
      <c r="K19" s="1134"/>
      <c r="L19" s="1135"/>
      <c r="M19" s="1136"/>
      <c r="N19" s="1137"/>
      <c r="O19" s="1832"/>
      <c r="P19" s="334"/>
      <c r="Q19" s="334"/>
      <c r="R19" s="334"/>
      <c r="S19" s="1138"/>
      <c r="T19" s="1139"/>
      <c r="U19" s="1140"/>
      <c r="V19" s="1141"/>
      <c r="W19" s="456"/>
      <c r="X19" s="456"/>
      <c r="AE19" s="541"/>
      <c r="AH19" s="541"/>
      <c r="AJ19" s="541"/>
    </row>
    <row r="20" spans="1:36" ht="119" x14ac:dyDescent="0.2">
      <c r="D20" s="200">
        <v>0</v>
      </c>
      <c r="E20" s="200" t="s">
        <v>544</v>
      </c>
      <c r="F20" s="620" t="s">
        <v>545</v>
      </c>
      <c r="G20" s="542"/>
      <c r="H20" s="203" t="s">
        <v>564</v>
      </c>
      <c r="I20" s="209"/>
      <c r="J20" s="209"/>
      <c r="K20" s="222"/>
      <c r="L20" s="579"/>
      <c r="M20" s="599"/>
      <c r="N20" s="914"/>
      <c r="O20" s="1833"/>
      <c r="P20" s="333"/>
      <c r="Q20" s="333"/>
      <c r="R20" s="333"/>
      <c r="S20" s="189"/>
      <c r="T20" s="383"/>
      <c r="U20" s="384"/>
      <c r="V20" s="178"/>
      <c r="W20" s="456"/>
      <c r="X20" s="456"/>
      <c r="AE20" s="541"/>
      <c r="AF20" s="1149"/>
      <c r="AH20" s="541"/>
      <c r="AJ20" s="541"/>
    </row>
    <row r="21" spans="1:36" ht="203" customHeight="1" x14ac:dyDescent="0.2">
      <c r="A21" s="199" t="s">
        <v>1595</v>
      </c>
      <c r="C21" s="978"/>
      <c r="D21" s="200">
        <v>1</v>
      </c>
      <c r="E21" s="200" t="s">
        <v>33</v>
      </c>
      <c r="F21" s="620" t="s">
        <v>1855</v>
      </c>
      <c r="G21" s="542"/>
      <c r="H21" s="520" t="s">
        <v>1594</v>
      </c>
      <c r="I21" s="1044"/>
      <c r="J21" s="209"/>
      <c r="K21" s="223"/>
      <c r="L21" s="579"/>
      <c r="M21" s="599"/>
      <c r="N21" s="914" t="s">
        <v>19</v>
      </c>
      <c r="O21" s="1833"/>
      <c r="P21" s="333"/>
      <c r="Q21" s="333"/>
      <c r="R21" s="333"/>
      <c r="S21" s="189" t="s">
        <v>34</v>
      </c>
      <c r="T21" s="383" t="s">
        <v>34</v>
      </c>
      <c r="U21" s="384" t="s">
        <v>34</v>
      </c>
      <c r="V21" s="178" t="s">
        <v>35</v>
      </c>
      <c r="W21" s="454"/>
      <c r="X21" s="454"/>
      <c r="AE21" s="541" t="s">
        <v>24</v>
      </c>
      <c r="AF21" s="1149" t="s">
        <v>679</v>
      </c>
      <c r="AH21" s="1146"/>
      <c r="AI21" s="993"/>
      <c r="AJ21" s="995"/>
    </row>
    <row r="22" spans="1:36" ht="192" customHeight="1" x14ac:dyDescent="0.2">
      <c r="C22" s="978" t="s">
        <v>972</v>
      </c>
      <c r="D22" s="200">
        <v>2</v>
      </c>
      <c r="E22" s="200" t="s">
        <v>36</v>
      </c>
      <c r="F22" s="620" t="s">
        <v>1530</v>
      </c>
      <c r="G22" s="991"/>
      <c r="H22" s="520"/>
      <c r="I22" s="1044"/>
      <c r="J22" s="209"/>
      <c r="K22" s="223"/>
      <c r="L22" s="579"/>
      <c r="M22" s="599"/>
      <c r="N22" s="914" t="s">
        <v>971</v>
      </c>
      <c r="O22" s="1833"/>
      <c r="P22" s="333"/>
      <c r="Q22" s="333"/>
      <c r="R22" s="333"/>
      <c r="S22" s="189"/>
      <c r="T22" s="383"/>
      <c r="U22" s="384"/>
      <c r="V22" s="178"/>
      <c r="W22" s="454"/>
      <c r="X22" s="454"/>
      <c r="AE22" s="541"/>
      <c r="AF22" s="1149"/>
      <c r="AH22" s="1146"/>
      <c r="AI22" s="993"/>
      <c r="AJ22" s="995"/>
    </row>
    <row r="23" spans="1:36" ht="96" customHeight="1" x14ac:dyDescent="0.2">
      <c r="D23" s="200">
        <v>3</v>
      </c>
      <c r="E23" s="200" t="s">
        <v>37</v>
      </c>
      <c r="F23" s="620" t="s">
        <v>1531</v>
      </c>
      <c r="G23" s="542" t="s">
        <v>492</v>
      </c>
      <c r="H23" s="518" t="s">
        <v>1596</v>
      </c>
      <c r="I23" s="1045"/>
      <c r="J23" s="202"/>
      <c r="K23" s="222"/>
      <c r="L23" s="220"/>
      <c r="M23" s="598"/>
      <c r="N23" s="135" t="s">
        <v>19</v>
      </c>
      <c r="O23" s="1832"/>
      <c r="P23" s="334"/>
      <c r="Q23" s="334"/>
      <c r="R23" s="334"/>
      <c r="S23" s="189" t="s">
        <v>34</v>
      </c>
      <c r="T23" s="383" t="s">
        <v>34</v>
      </c>
      <c r="U23" s="384" t="s">
        <v>34</v>
      </c>
      <c r="V23" s="178" t="s">
        <v>35</v>
      </c>
      <c r="W23" s="454"/>
      <c r="X23" s="454"/>
      <c r="AE23" s="541"/>
      <c r="AF23" s="1147"/>
      <c r="AG23" s="1147"/>
      <c r="AH23" s="541" t="s">
        <v>25</v>
      </c>
      <c r="AI23" s="993"/>
      <c r="AJ23" s="994" t="s">
        <v>606</v>
      </c>
    </row>
    <row r="24" spans="1:36" ht="97" customHeight="1" x14ac:dyDescent="0.2">
      <c r="D24" s="200">
        <v>4</v>
      </c>
      <c r="E24" s="200" t="s">
        <v>38</v>
      </c>
      <c r="F24" s="620" t="s">
        <v>1532</v>
      </c>
      <c r="G24" s="542" t="s">
        <v>1003</v>
      </c>
      <c r="H24" s="518" t="s">
        <v>1001</v>
      </c>
      <c r="I24" s="1045"/>
      <c r="J24" s="202"/>
      <c r="K24" s="222"/>
      <c r="L24" s="220"/>
      <c r="M24" s="598"/>
      <c r="N24" s="135" t="s">
        <v>19</v>
      </c>
      <c r="O24" s="1832"/>
      <c r="P24" s="334"/>
      <c r="Q24" s="334"/>
      <c r="R24" s="334"/>
      <c r="S24" s="189" t="s">
        <v>34</v>
      </c>
      <c r="T24" s="383" t="s">
        <v>34</v>
      </c>
      <c r="U24" s="384" t="s">
        <v>34</v>
      </c>
      <c r="V24" s="178" t="s">
        <v>35</v>
      </c>
      <c r="W24" s="454"/>
      <c r="X24" s="454"/>
      <c r="AE24" s="541"/>
      <c r="AF24" s="1149"/>
      <c r="AG24" s="1149"/>
      <c r="AH24" s="541" t="s">
        <v>25</v>
      </c>
      <c r="AI24" s="993"/>
      <c r="AJ24" s="1149" t="s">
        <v>652</v>
      </c>
    </row>
    <row r="25" spans="1:36" ht="95" customHeight="1" x14ac:dyDescent="0.2">
      <c r="D25" s="200">
        <v>5</v>
      </c>
      <c r="E25" s="200" t="s">
        <v>39</v>
      </c>
      <c r="F25" s="620" t="s">
        <v>1004</v>
      </c>
      <c r="G25" s="620" t="s">
        <v>1004</v>
      </c>
      <c r="H25" s="1103" t="s">
        <v>974</v>
      </c>
      <c r="I25" s="1104"/>
      <c r="J25" s="202"/>
      <c r="K25" s="222"/>
      <c r="L25" s="220"/>
      <c r="M25" s="598"/>
      <c r="N25" s="135" t="s">
        <v>19</v>
      </c>
      <c r="O25" s="1832"/>
      <c r="P25" s="334"/>
      <c r="Q25" s="334"/>
      <c r="R25" s="334"/>
      <c r="S25" s="189"/>
      <c r="T25" s="383"/>
      <c r="U25" s="384"/>
      <c r="V25" s="178"/>
      <c r="W25" s="454"/>
      <c r="X25" s="454"/>
      <c r="AE25" s="541"/>
      <c r="AF25" s="1149"/>
      <c r="AG25" s="1149"/>
      <c r="AH25" s="1146"/>
      <c r="AI25" s="993"/>
      <c r="AJ25" s="995"/>
    </row>
    <row r="26" spans="1:36" ht="79" customHeight="1" x14ac:dyDescent="0.2">
      <c r="D26" s="200">
        <v>6</v>
      </c>
      <c r="E26" s="200" t="s">
        <v>969</v>
      </c>
      <c r="F26" s="620" t="s">
        <v>973</v>
      </c>
      <c r="G26" s="620" t="s">
        <v>973</v>
      </c>
      <c r="H26" s="201"/>
      <c r="I26" s="208"/>
      <c r="J26" s="202"/>
      <c r="K26" s="222"/>
      <c r="L26" s="220"/>
      <c r="M26" s="598"/>
      <c r="N26" s="135" t="s">
        <v>19</v>
      </c>
      <c r="O26" s="1832"/>
      <c r="P26" s="334"/>
      <c r="Q26" s="334"/>
      <c r="R26" s="334"/>
      <c r="S26" s="189" t="s">
        <v>34</v>
      </c>
      <c r="T26" s="383" t="s">
        <v>34</v>
      </c>
      <c r="U26" s="384" t="s">
        <v>34</v>
      </c>
      <c r="V26" s="178" t="s">
        <v>35</v>
      </c>
      <c r="W26" s="454"/>
      <c r="X26" s="454"/>
      <c r="AE26" s="541" t="s">
        <v>24</v>
      </c>
      <c r="AF26" s="1149" t="s">
        <v>680</v>
      </c>
      <c r="AG26" s="1149"/>
      <c r="AH26" s="1146"/>
      <c r="AI26" s="993"/>
      <c r="AJ26" s="995"/>
    </row>
    <row r="27" spans="1:36" ht="98" customHeight="1" x14ac:dyDescent="0.2">
      <c r="D27" s="200">
        <v>7</v>
      </c>
      <c r="E27" s="200" t="s">
        <v>40</v>
      </c>
      <c r="F27" s="620" t="s">
        <v>1533</v>
      </c>
      <c r="G27" s="620" t="s">
        <v>1014</v>
      </c>
      <c r="H27" s="518" t="s">
        <v>1593</v>
      </c>
      <c r="I27" s="1045"/>
      <c r="J27" s="202"/>
      <c r="K27" s="222"/>
      <c r="L27" s="220"/>
      <c r="M27" s="598"/>
      <c r="N27" s="135" t="s">
        <v>19</v>
      </c>
      <c r="O27" s="1824"/>
      <c r="P27" s="334"/>
      <c r="Q27" s="334"/>
      <c r="R27" s="334"/>
      <c r="S27" s="189" t="s">
        <v>34</v>
      </c>
      <c r="T27" s="383" t="s">
        <v>34</v>
      </c>
      <c r="U27" s="384" t="s">
        <v>34</v>
      </c>
      <c r="V27" s="178" t="s">
        <v>35</v>
      </c>
      <c r="W27" s="454"/>
      <c r="X27" s="454"/>
      <c r="AE27" s="541"/>
      <c r="AF27" s="1149"/>
      <c r="AH27" s="1146"/>
      <c r="AI27" s="993"/>
      <c r="AJ27" s="1149" t="s">
        <v>676</v>
      </c>
    </row>
    <row r="28" spans="1:36" ht="71" customHeight="1" x14ac:dyDescent="0.2">
      <c r="D28" s="200">
        <v>8</v>
      </c>
      <c r="E28" s="200" t="s">
        <v>41</v>
      </c>
      <c r="F28" s="620" t="s">
        <v>1534</v>
      </c>
      <c r="G28" s="620" t="s">
        <v>1015</v>
      </c>
      <c r="H28" s="518" t="s">
        <v>1593</v>
      </c>
      <c r="I28" s="1045"/>
      <c r="J28" s="202"/>
      <c r="K28" s="222"/>
      <c r="L28" s="220"/>
      <c r="M28" s="598"/>
      <c r="N28" s="135" t="s">
        <v>19</v>
      </c>
      <c r="O28" s="1824"/>
      <c r="P28" s="334"/>
      <c r="Q28" s="334"/>
      <c r="R28" s="334"/>
      <c r="S28" s="189" t="s">
        <v>34</v>
      </c>
      <c r="T28" s="383" t="s">
        <v>34</v>
      </c>
      <c r="U28" s="384" t="s">
        <v>34</v>
      </c>
      <c r="V28" s="178" t="s">
        <v>35</v>
      </c>
      <c r="W28" s="454"/>
      <c r="X28" s="454"/>
      <c r="AE28" s="541"/>
      <c r="AF28" s="1149"/>
      <c r="AG28" s="1147"/>
      <c r="AH28" s="1146"/>
      <c r="AI28" s="993"/>
      <c r="AJ28" s="995"/>
    </row>
    <row r="29" spans="1:36" ht="57" customHeight="1" x14ac:dyDescent="0.2">
      <c r="B29" s="1823"/>
      <c r="D29" s="200">
        <v>9</v>
      </c>
      <c r="E29" s="200" t="s">
        <v>42</v>
      </c>
      <c r="F29" s="620" t="s">
        <v>1535</v>
      </c>
      <c r="G29" s="620" t="s">
        <v>1016</v>
      </c>
      <c r="H29" s="245"/>
      <c r="I29" s="1046"/>
      <c r="J29" s="205"/>
      <c r="K29" s="222">
        <v>4</v>
      </c>
      <c r="L29" s="221">
        <v>3</v>
      </c>
      <c r="M29" s="598"/>
      <c r="N29" s="135" t="s">
        <v>1516</v>
      </c>
      <c r="O29" s="297" t="s">
        <v>1817</v>
      </c>
      <c r="P29" s="340">
        <f>Test_Bible!P53</f>
        <v>2</v>
      </c>
      <c r="Q29" s="340">
        <f>Test_Bible!Q53</f>
        <v>6</v>
      </c>
      <c r="R29" s="340"/>
      <c r="S29" s="189" t="s">
        <v>34</v>
      </c>
      <c r="T29" s="383" t="s">
        <v>34</v>
      </c>
      <c r="U29" s="384" t="s">
        <v>34</v>
      </c>
      <c r="V29" s="179" t="s">
        <v>44</v>
      </c>
      <c r="W29" s="456"/>
      <c r="X29" s="456"/>
      <c r="AE29" s="541" t="s">
        <v>24</v>
      </c>
      <c r="AF29" s="288" t="s">
        <v>681</v>
      </c>
      <c r="AH29" s="996" t="s">
        <v>626</v>
      </c>
      <c r="AI29" s="993"/>
      <c r="AJ29" s="995"/>
    </row>
    <row r="30" spans="1:36" ht="51" customHeight="1" x14ac:dyDescent="0.2">
      <c r="B30" s="123" t="s">
        <v>875</v>
      </c>
      <c r="D30" s="200">
        <v>10</v>
      </c>
      <c r="E30" s="142" t="s">
        <v>45</v>
      </c>
      <c r="F30" s="299" t="s">
        <v>494</v>
      </c>
      <c r="G30" s="299" t="s">
        <v>1017</v>
      </c>
      <c r="H30" s="121"/>
      <c r="I30" s="1047"/>
      <c r="J30" s="123"/>
      <c r="K30" s="224"/>
      <c r="L30" s="590"/>
      <c r="M30" s="600"/>
      <c r="N30" s="135" t="s">
        <v>46</v>
      </c>
      <c r="O30" s="1824"/>
      <c r="P30" s="334"/>
      <c r="Q30" s="334"/>
      <c r="R30" s="334"/>
      <c r="S30" s="189" t="s">
        <v>34</v>
      </c>
      <c r="T30" s="383" t="s">
        <v>34</v>
      </c>
      <c r="U30" s="384" t="s">
        <v>34</v>
      </c>
      <c r="V30" s="178" t="s">
        <v>35</v>
      </c>
      <c r="W30" s="454"/>
      <c r="X30" s="454"/>
      <c r="Y30" s="163"/>
      <c r="AE30" s="541"/>
      <c r="AF30" s="1147"/>
      <c r="AG30" s="1147"/>
      <c r="AH30" s="1146"/>
      <c r="AI30" s="993"/>
      <c r="AJ30" s="995"/>
    </row>
    <row r="31" spans="1:36" ht="59" customHeight="1" x14ac:dyDescent="0.2">
      <c r="B31" s="123" t="s">
        <v>876</v>
      </c>
      <c r="D31" s="200">
        <v>11</v>
      </c>
      <c r="E31" s="142" t="s">
        <v>47</v>
      </c>
      <c r="F31" s="299" t="s">
        <v>493</v>
      </c>
      <c r="G31" s="299" t="s">
        <v>1018</v>
      </c>
      <c r="H31" s="121"/>
      <c r="I31" s="1047"/>
      <c r="J31" s="123"/>
      <c r="K31" s="224"/>
      <c r="L31" s="582">
        <v>2</v>
      </c>
      <c r="M31" s="600"/>
      <c r="N31" s="135" t="s">
        <v>43</v>
      </c>
      <c r="O31" s="1847" t="s">
        <v>1419</v>
      </c>
      <c r="P31" s="340">
        <f>Test_Bible!P56</f>
        <v>0</v>
      </c>
      <c r="Q31" s="340">
        <f>Test_Bible!Q56</f>
        <v>0</v>
      </c>
      <c r="R31" s="340"/>
      <c r="S31" s="189" t="s">
        <v>34</v>
      </c>
      <c r="T31" s="383" t="s">
        <v>34</v>
      </c>
      <c r="U31" s="384" t="s">
        <v>34</v>
      </c>
      <c r="V31" s="179" t="s">
        <v>44</v>
      </c>
      <c r="W31" s="455"/>
      <c r="X31" s="455"/>
      <c r="AE31" s="1146"/>
      <c r="AF31" s="1147"/>
      <c r="AG31" s="1147"/>
      <c r="AH31" s="996" t="s">
        <v>626</v>
      </c>
      <c r="AI31" s="993"/>
      <c r="AJ31" s="995"/>
    </row>
    <row r="32" spans="1:36" ht="59" customHeight="1" x14ac:dyDescent="0.2">
      <c r="B32" s="123" t="s">
        <v>875</v>
      </c>
      <c r="D32" s="200">
        <v>12</v>
      </c>
      <c r="E32" s="142" t="s">
        <v>49</v>
      </c>
      <c r="F32" s="299" t="s">
        <v>1584</v>
      </c>
      <c r="G32" s="299" t="s">
        <v>1019</v>
      </c>
      <c r="H32" s="121"/>
      <c r="I32" s="1047"/>
      <c r="J32" s="123"/>
      <c r="K32" s="224"/>
      <c r="L32" s="582">
        <v>2</v>
      </c>
      <c r="M32" s="600"/>
      <c r="N32" s="135" t="s">
        <v>43</v>
      </c>
      <c r="O32" s="1847" t="s">
        <v>1419</v>
      </c>
      <c r="P32" s="340">
        <f>Test_Bible!P57</f>
        <v>0</v>
      </c>
      <c r="Q32" s="340">
        <f>Test_Bible!Q57</f>
        <v>0</v>
      </c>
      <c r="R32" s="340"/>
      <c r="S32" s="189" t="s">
        <v>34</v>
      </c>
      <c r="T32" s="383" t="s">
        <v>34</v>
      </c>
      <c r="U32" s="384" t="s">
        <v>34</v>
      </c>
      <c r="V32" s="179" t="s">
        <v>44</v>
      </c>
      <c r="W32" s="456"/>
      <c r="X32" s="456"/>
      <c r="AE32" s="1146"/>
      <c r="AF32" s="1147"/>
      <c r="AG32" s="1147"/>
      <c r="AH32" s="1146"/>
      <c r="AI32" s="993"/>
      <c r="AJ32" s="995"/>
    </row>
    <row r="33" spans="2:47" ht="125" customHeight="1" thickBot="1" x14ac:dyDescent="0.25">
      <c r="B33" s="1821"/>
      <c r="D33" s="200">
        <v>13</v>
      </c>
      <c r="E33" s="142" t="s">
        <v>1406</v>
      </c>
      <c r="F33" s="299" t="s">
        <v>1536</v>
      </c>
      <c r="G33" s="1599" t="s">
        <v>1020</v>
      </c>
      <c r="H33" s="1679" t="s">
        <v>1476</v>
      </c>
      <c r="I33" s="1047"/>
      <c r="J33" s="123"/>
      <c r="K33" s="224"/>
      <c r="L33" s="590"/>
      <c r="M33" s="600"/>
      <c r="N33" s="916" t="s">
        <v>51</v>
      </c>
      <c r="O33" s="1832"/>
      <c r="P33" s="334"/>
      <c r="Q33" s="334"/>
      <c r="R33" s="334"/>
      <c r="S33" s="189" t="s">
        <v>34</v>
      </c>
      <c r="T33" s="383" t="s">
        <v>34</v>
      </c>
      <c r="U33" s="384" t="s">
        <v>34</v>
      </c>
      <c r="V33" s="179" t="s">
        <v>44</v>
      </c>
      <c r="W33" s="456"/>
      <c r="X33" s="456"/>
      <c r="AE33" s="541" t="s">
        <v>24</v>
      </c>
      <c r="AF33" s="1149" t="s">
        <v>682</v>
      </c>
      <c r="AH33" s="541" t="s">
        <v>25</v>
      </c>
      <c r="AJ33" s="292" t="s">
        <v>683</v>
      </c>
    </row>
    <row r="34" spans="2:47" ht="128" customHeight="1" x14ac:dyDescent="0.2">
      <c r="B34" s="123" t="s">
        <v>1473</v>
      </c>
      <c r="D34" s="200">
        <v>14</v>
      </c>
      <c r="E34" s="142" t="s">
        <v>1410</v>
      </c>
      <c r="F34" s="299" t="s">
        <v>1537</v>
      </c>
      <c r="G34" s="299" t="s">
        <v>1021</v>
      </c>
      <c r="H34" s="1679" t="s">
        <v>1477</v>
      </c>
      <c r="I34" s="1048"/>
      <c r="J34" s="123"/>
      <c r="K34" s="224"/>
      <c r="L34" s="590"/>
      <c r="M34" s="601"/>
      <c r="N34" s="915" t="s">
        <v>51</v>
      </c>
      <c r="O34" s="1832"/>
      <c r="P34" s="334"/>
      <c r="Q34" s="334"/>
      <c r="R34" s="334"/>
      <c r="S34" s="189" t="s">
        <v>34</v>
      </c>
      <c r="T34" s="383" t="s">
        <v>34</v>
      </c>
      <c r="U34" s="384" t="s">
        <v>34</v>
      </c>
      <c r="V34" s="179"/>
      <c r="W34" s="456"/>
      <c r="X34" s="456"/>
      <c r="AE34" s="541"/>
      <c r="AH34" s="541"/>
      <c r="AJ34" s="541"/>
    </row>
    <row r="35" spans="2:47" ht="87" customHeight="1" x14ac:dyDescent="0.2">
      <c r="B35" s="123" t="s">
        <v>1473</v>
      </c>
      <c r="D35" s="200">
        <v>15</v>
      </c>
      <c r="E35" s="142" t="s">
        <v>1411</v>
      </c>
      <c r="F35" s="299" t="s">
        <v>1538</v>
      </c>
      <c r="G35" s="299" t="s">
        <v>1022</v>
      </c>
      <c r="H35" s="121" t="s">
        <v>552</v>
      </c>
      <c r="I35" s="1047"/>
      <c r="J35" s="123"/>
      <c r="K35" s="224"/>
      <c r="L35" s="590"/>
      <c r="M35" s="600"/>
      <c r="N35" s="135" t="s">
        <v>1539</v>
      </c>
      <c r="O35" s="1832"/>
      <c r="P35" s="334"/>
      <c r="Q35" s="334"/>
      <c r="R35" s="334"/>
      <c r="S35" s="189" t="s">
        <v>34</v>
      </c>
      <c r="T35" s="383" t="s">
        <v>34</v>
      </c>
      <c r="U35" s="384" t="s">
        <v>34</v>
      </c>
      <c r="V35" s="179"/>
      <c r="W35" s="456"/>
      <c r="X35" s="456"/>
      <c r="AE35" s="541"/>
      <c r="AH35" s="541"/>
      <c r="AJ35" s="541"/>
    </row>
    <row r="36" spans="2:47" ht="48" customHeight="1" x14ac:dyDescent="0.2">
      <c r="B36" s="123" t="s">
        <v>1474</v>
      </c>
      <c r="D36" s="200">
        <v>16</v>
      </c>
      <c r="E36" s="142" t="s">
        <v>1412</v>
      </c>
      <c r="F36" s="299" t="s">
        <v>970</v>
      </c>
      <c r="G36" s="299" t="s">
        <v>1023</v>
      </c>
      <c r="H36" s="554"/>
      <c r="I36" s="1049"/>
      <c r="J36" s="123"/>
      <c r="K36" s="224"/>
      <c r="L36" s="590"/>
      <c r="M36" s="600"/>
      <c r="N36" s="135" t="s">
        <v>46</v>
      </c>
      <c r="O36" s="1832"/>
      <c r="P36" s="334"/>
      <c r="Q36" s="334"/>
      <c r="R36" s="334"/>
      <c r="S36" s="189" t="s">
        <v>34</v>
      </c>
      <c r="T36" s="383" t="s">
        <v>34</v>
      </c>
      <c r="U36" s="384" t="s">
        <v>34</v>
      </c>
      <c r="V36" s="179"/>
      <c r="W36" s="456"/>
      <c r="X36" s="456"/>
      <c r="AE36" s="541" t="s">
        <v>24</v>
      </c>
      <c r="AF36" s="1149" t="s">
        <v>682</v>
      </c>
      <c r="AG36" s="1149"/>
      <c r="AH36" s="541"/>
      <c r="AJ36" s="541"/>
    </row>
    <row r="37" spans="2:47" ht="135" customHeight="1" thickBot="1" x14ac:dyDescent="0.25">
      <c r="B37" s="123" t="s">
        <v>1474</v>
      </c>
      <c r="D37" s="200">
        <v>17</v>
      </c>
      <c r="E37" s="142" t="s">
        <v>1413</v>
      </c>
      <c r="F37" s="299" t="s">
        <v>1616</v>
      </c>
      <c r="G37" s="544" t="s">
        <v>1024</v>
      </c>
      <c r="H37" s="555" t="s">
        <v>629</v>
      </c>
      <c r="I37" s="1050"/>
      <c r="J37" s="123"/>
      <c r="K37" s="144"/>
      <c r="L37" s="591"/>
      <c r="M37" s="601"/>
      <c r="N37" s="916" t="s">
        <v>51</v>
      </c>
      <c r="O37" s="1834"/>
      <c r="P37" s="355"/>
      <c r="Q37" s="355"/>
      <c r="R37" s="355"/>
      <c r="S37" s="189" t="s">
        <v>34</v>
      </c>
      <c r="T37" s="383" t="s">
        <v>34</v>
      </c>
      <c r="U37" s="384" t="s">
        <v>34</v>
      </c>
      <c r="V37" s="402"/>
      <c r="W37" s="456"/>
      <c r="X37" s="456"/>
      <c r="AE37" s="541" t="s">
        <v>24</v>
      </c>
      <c r="AF37" s="1149" t="s">
        <v>684</v>
      </c>
      <c r="AG37" s="1149" t="s">
        <v>677</v>
      </c>
      <c r="AH37" s="541"/>
      <c r="AI37" s="1150" t="s">
        <v>685</v>
      </c>
      <c r="AJ37" s="133" t="s">
        <v>677</v>
      </c>
    </row>
    <row r="38" spans="2:47" ht="40" customHeight="1" thickBot="1" x14ac:dyDescent="0.25">
      <c r="D38" s="359"/>
      <c r="E38" s="359"/>
      <c r="F38" s="360"/>
      <c r="G38" s="359"/>
      <c r="H38" s="360"/>
      <c r="I38" s="360"/>
      <c r="J38" s="359"/>
      <c r="K38" s="359"/>
      <c r="L38" s="359"/>
      <c r="M38" s="359"/>
      <c r="N38" s="361"/>
      <c r="O38" s="1835"/>
      <c r="P38" s="361"/>
      <c r="Q38" s="361"/>
      <c r="R38" s="361"/>
      <c r="S38" s="422"/>
      <c r="T38" s="400"/>
      <c r="U38" s="400"/>
      <c r="V38" s="364"/>
      <c r="W38" s="456"/>
      <c r="X38" s="456"/>
      <c r="AE38" s="1151"/>
      <c r="AF38" s="1152"/>
      <c r="AH38" s="541"/>
      <c r="AI38" s="292" t="s">
        <v>686</v>
      </c>
      <c r="AJ38" s="541"/>
    </row>
    <row r="39" spans="2:47" ht="40" customHeight="1" thickBot="1" x14ac:dyDescent="0.25">
      <c r="D39" s="174" t="s">
        <v>52</v>
      </c>
      <c r="E39" s="143"/>
      <c r="F39" s="572"/>
      <c r="G39" s="37"/>
      <c r="H39" s="403"/>
      <c r="I39" s="1051"/>
      <c r="J39" s="404"/>
      <c r="K39" s="405"/>
      <c r="L39" s="405"/>
      <c r="M39" s="37"/>
      <c r="N39" s="912"/>
      <c r="O39" s="1836"/>
      <c r="P39" s="406"/>
      <c r="Q39" s="406"/>
      <c r="R39" s="406"/>
      <c r="S39" s="423"/>
      <c r="T39" s="424"/>
      <c r="U39" s="424"/>
      <c r="V39" s="407"/>
      <c r="W39" s="456"/>
      <c r="X39" s="456"/>
      <c r="AE39" s="849"/>
      <c r="AF39" s="1153"/>
      <c r="AH39" s="541"/>
      <c r="AJ39" s="541"/>
    </row>
    <row r="40" spans="2:47" s="7" customFormat="1" ht="45" x14ac:dyDescent="0.2">
      <c r="D40" s="174">
        <v>0</v>
      </c>
      <c r="E40" s="143" t="s">
        <v>53</v>
      </c>
      <c r="F40" s="992" t="s">
        <v>1662</v>
      </c>
      <c r="G40" s="992" t="s">
        <v>1025</v>
      </c>
      <c r="H40" s="128"/>
      <c r="I40" s="1052"/>
      <c r="J40" s="132" t="s">
        <v>1630</v>
      </c>
      <c r="K40" s="1911"/>
      <c r="L40" s="592">
        <v>1</v>
      </c>
      <c r="M40" s="602"/>
      <c r="N40" s="913" t="s">
        <v>54</v>
      </c>
      <c r="O40" s="911" t="s">
        <v>1480</v>
      </c>
      <c r="P40" s="341">
        <f>Test_Bible!P98</f>
        <v>9</v>
      </c>
      <c r="Q40" s="341">
        <f>Test_Bible!Q98</f>
        <v>9</v>
      </c>
      <c r="R40" s="341"/>
      <c r="S40" s="189" t="s">
        <v>34</v>
      </c>
      <c r="T40" s="383" t="s">
        <v>34</v>
      </c>
      <c r="U40" s="384" t="s">
        <v>34</v>
      </c>
      <c r="V40" s="180" t="s">
        <v>55</v>
      </c>
      <c r="W40" s="454"/>
      <c r="X40" s="454"/>
      <c r="Y40" s="58"/>
      <c r="Z40" s="58"/>
      <c r="AA40" s="56"/>
      <c r="AB40" s="56"/>
      <c r="AC40" s="56"/>
      <c r="AD40" s="56"/>
      <c r="AE40" s="1146"/>
      <c r="AF40" s="1147"/>
      <c r="AG40" s="1147"/>
      <c r="AH40" s="996" t="s">
        <v>621</v>
      </c>
      <c r="AI40" s="993"/>
      <c r="AJ40" s="995"/>
      <c r="AU40" s="1141" t="s">
        <v>55</v>
      </c>
    </row>
    <row r="41" spans="2:47" s="7" customFormat="1" ht="51" x14ac:dyDescent="0.2">
      <c r="D41" s="174">
        <v>1</v>
      </c>
      <c r="E41" s="143" t="s">
        <v>56</v>
      </c>
      <c r="F41" s="572" t="s">
        <v>1663</v>
      </c>
      <c r="G41" s="572" t="s">
        <v>1026</v>
      </c>
      <c r="H41" s="128"/>
      <c r="I41" s="1052"/>
      <c r="J41" s="132" t="s">
        <v>1630</v>
      </c>
      <c r="K41" s="1911"/>
      <c r="L41" s="592">
        <v>1</v>
      </c>
      <c r="M41" s="602"/>
      <c r="N41" s="136" t="s">
        <v>54</v>
      </c>
      <c r="O41" s="911" t="s">
        <v>1480</v>
      </c>
      <c r="P41" s="341">
        <f>Test_Bible!P99</f>
        <v>7</v>
      </c>
      <c r="Q41" s="341">
        <f>Test_Bible!Q99</f>
        <v>7</v>
      </c>
      <c r="R41" s="341"/>
      <c r="S41" s="189" t="s">
        <v>34</v>
      </c>
      <c r="T41" s="383" t="s">
        <v>34</v>
      </c>
      <c r="U41" s="384" t="s">
        <v>34</v>
      </c>
      <c r="V41" s="180" t="s">
        <v>55</v>
      </c>
      <c r="W41" s="454"/>
      <c r="X41" s="454"/>
      <c r="Y41" s="58"/>
      <c r="Z41" s="58"/>
      <c r="AA41" s="56"/>
      <c r="AB41" s="56"/>
      <c r="AC41" s="56"/>
      <c r="AD41" s="56"/>
      <c r="AE41" s="1146"/>
      <c r="AF41" s="1147"/>
      <c r="AG41" s="1147"/>
      <c r="AH41" s="1146"/>
      <c r="AI41" s="993"/>
      <c r="AJ41" s="995"/>
      <c r="AU41" s="7" t="s">
        <v>97</v>
      </c>
    </row>
    <row r="42" spans="2:47" s="7" customFormat="1" ht="34" x14ac:dyDescent="0.2">
      <c r="D42" s="174">
        <v>2</v>
      </c>
      <c r="E42" s="143" t="s">
        <v>58</v>
      </c>
      <c r="F42" s="572" t="s">
        <v>1664</v>
      </c>
      <c r="G42" s="572" t="s">
        <v>1028</v>
      </c>
      <c r="H42" s="128"/>
      <c r="I42" s="1052"/>
      <c r="J42" s="132" t="s">
        <v>1630</v>
      </c>
      <c r="K42" s="1911">
        <v>6</v>
      </c>
      <c r="L42" s="592">
        <v>1</v>
      </c>
      <c r="M42" s="602"/>
      <c r="N42" s="136" t="s">
        <v>54</v>
      </c>
      <c r="O42" s="911" t="s">
        <v>1480</v>
      </c>
      <c r="P42" s="341">
        <f>Test_Bible!P100</f>
        <v>4</v>
      </c>
      <c r="Q42" s="341">
        <f>Test_Bible!Q100</f>
        <v>4</v>
      </c>
      <c r="R42" s="341"/>
      <c r="S42" s="189" t="s">
        <v>34</v>
      </c>
      <c r="T42" s="383" t="s">
        <v>34</v>
      </c>
      <c r="U42" s="384" t="s">
        <v>34</v>
      </c>
      <c r="V42" s="180" t="s">
        <v>55</v>
      </c>
      <c r="W42" s="454"/>
      <c r="X42" s="454"/>
      <c r="Y42" s="58"/>
      <c r="Z42" s="58"/>
      <c r="AA42" s="56"/>
      <c r="AB42" s="56"/>
      <c r="AC42" s="56"/>
      <c r="AD42" s="56"/>
      <c r="AE42" s="1146"/>
      <c r="AF42" s="1147"/>
      <c r="AG42" s="1147"/>
      <c r="AH42" s="1146"/>
      <c r="AI42" s="993"/>
      <c r="AJ42" s="995"/>
      <c r="AU42" s="7" t="s">
        <v>69</v>
      </c>
    </row>
    <row r="43" spans="2:47" s="7" customFormat="1" ht="64" customHeight="1" x14ac:dyDescent="0.2">
      <c r="B43" s="123" t="s">
        <v>877</v>
      </c>
      <c r="D43" s="174">
        <v>3</v>
      </c>
      <c r="E43" s="142" t="s">
        <v>59</v>
      </c>
      <c r="F43" s="299" t="s">
        <v>1540</v>
      </c>
      <c r="G43" s="299" t="s">
        <v>1029</v>
      </c>
      <c r="H43" s="121"/>
      <c r="I43" s="1047"/>
      <c r="J43" s="132" t="s">
        <v>1630</v>
      </c>
      <c r="K43" s="1911">
        <v>5</v>
      </c>
      <c r="L43" s="592">
        <v>1</v>
      </c>
      <c r="M43" s="602"/>
      <c r="N43" s="136" t="s">
        <v>54</v>
      </c>
      <c r="O43" s="911" t="s">
        <v>1480</v>
      </c>
      <c r="P43" s="341">
        <f>Test_Bible!P101</f>
        <v>0</v>
      </c>
      <c r="Q43" s="341">
        <f>Test_Bible!Q101</f>
        <v>0</v>
      </c>
      <c r="R43" s="341"/>
      <c r="S43" s="189" t="s">
        <v>34</v>
      </c>
      <c r="T43" s="383" t="s">
        <v>34</v>
      </c>
      <c r="U43" s="384" t="s">
        <v>34</v>
      </c>
      <c r="V43" s="180" t="s">
        <v>55</v>
      </c>
      <c r="W43" s="454"/>
      <c r="X43" s="454"/>
      <c r="Y43" s="58"/>
      <c r="Z43" s="58"/>
      <c r="AA43" s="56"/>
      <c r="AB43" s="56"/>
      <c r="AC43" s="56"/>
      <c r="AD43" s="56"/>
      <c r="AE43" s="541" t="s">
        <v>24</v>
      </c>
      <c r="AF43" s="1149" t="s">
        <v>672</v>
      </c>
      <c r="AG43" s="1149"/>
      <c r="AH43" s="541" t="s">
        <v>25</v>
      </c>
      <c r="AI43" s="288"/>
      <c r="AJ43" s="1149" t="s">
        <v>687</v>
      </c>
      <c r="AU43" s="7" t="s">
        <v>62</v>
      </c>
    </row>
    <row r="44" spans="2:47" s="7" customFormat="1" ht="48" customHeight="1" x14ac:dyDescent="0.2">
      <c r="B44" s="123" t="s">
        <v>1585</v>
      </c>
      <c r="D44" s="174">
        <v>4</v>
      </c>
      <c r="E44" s="142" t="s">
        <v>1454</v>
      </c>
      <c r="F44" s="299" t="s">
        <v>1541</v>
      </c>
      <c r="G44" s="299" t="s">
        <v>1027</v>
      </c>
      <c r="H44" s="121"/>
      <c r="I44" s="1052"/>
      <c r="J44" s="132" t="s">
        <v>1630</v>
      </c>
      <c r="K44" s="1911"/>
      <c r="L44" s="592">
        <v>1</v>
      </c>
      <c r="M44" s="602"/>
      <c r="N44" s="136" t="s">
        <v>54</v>
      </c>
      <c r="O44" s="911" t="s">
        <v>1480</v>
      </c>
      <c r="P44" s="341">
        <f>Test_Bible!P102</f>
        <v>0</v>
      </c>
      <c r="Q44" s="341">
        <f>Test_Bible!Q102</f>
        <v>0</v>
      </c>
      <c r="R44" s="341"/>
      <c r="S44" s="189" t="s">
        <v>34</v>
      </c>
      <c r="T44" s="383" t="s">
        <v>34</v>
      </c>
      <c r="U44" s="384" t="s">
        <v>34</v>
      </c>
      <c r="V44" s="180" t="s">
        <v>55</v>
      </c>
      <c r="W44" s="454"/>
      <c r="X44" s="454"/>
      <c r="Y44" s="58"/>
      <c r="Z44" s="58"/>
      <c r="AA44" s="56"/>
      <c r="AB44" s="56"/>
      <c r="AC44" s="56"/>
      <c r="AD44" s="56"/>
      <c r="AE44" s="1146"/>
      <c r="AF44" s="1147"/>
      <c r="AG44" s="1147"/>
      <c r="AH44" s="1146"/>
      <c r="AI44" s="993"/>
      <c r="AJ44" s="995"/>
      <c r="AU44" s="7" t="s">
        <v>44</v>
      </c>
    </row>
    <row r="45" spans="2:47" s="7" customFormat="1" ht="48" customHeight="1" x14ac:dyDescent="0.2">
      <c r="D45" s="174">
        <v>7</v>
      </c>
      <c r="E45" s="143" t="s">
        <v>60</v>
      </c>
      <c r="F45" s="572" t="s">
        <v>1665</v>
      </c>
      <c r="G45" s="572" t="s">
        <v>61</v>
      </c>
      <c r="H45" s="128"/>
      <c r="I45" s="1052"/>
      <c r="J45" s="132" t="s">
        <v>1630</v>
      </c>
      <c r="K45" s="1506">
        <v>2</v>
      </c>
      <c r="L45" s="582">
        <v>2</v>
      </c>
      <c r="M45" s="602"/>
      <c r="N45" s="602" t="s">
        <v>3</v>
      </c>
      <c r="O45" s="1848" t="s">
        <v>1418</v>
      </c>
      <c r="P45" s="340">
        <f>Test_Bible!P104</f>
        <v>1</v>
      </c>
      <c r="Q45" s="340">
        <f>Test_Bible!Q104</f>
        <v>2</v>
      </c>
      <c r="R45" s="340"/>
      <c r="S45" s="189" t="s">
        <v>34</v>
      </c>
      <c r="T45" s="383" t="s">
        <v>34</v>
      </c>
      <c r="U45" s="384" t="s">
        <v>34</v>
      </c>
      <c r="V45" s="181" t="s">
        <v>62</v>
      </c>
      <c r="W45" s="454"/>
      <c r="X45" s="454"/>
      <c r="Y45" s="58"/>
      <c r="Z45" s="58"/>
      <c r="AA45" s="56"/>
      <c r="AB45" s="56"/>
      <c r="AC45" s="56"/>
      <c r="AD45" s="56"/>
      <c r="AE45" s="541"/>
      <c r="AF45" s="1149"/>
      <c r="AG45" s="1147"/>
      <c r="AH45" s="541" t="s">
        <v>25</v>
      </c>
      <c r="AI45" s="993"/>
      <c r="AJ45" s="1149" t="s">
        <v>653</v>
      </c>
      <c r="AU45" s="7" t="s">
        <v>65</v>
      </c>
    </row>
    <row r="46" spans="2:47" s="7" customFormat="1" ht="34" x14ac:dyDescent="0.2">
      <c r="B46" s="123" t="s">
        <v>878</v>
      </c>
      <c r="D46" s="174">
        <v>8</v>
      </c>
      <c r="E46" s="142" t="s">
        <v>63</v>
      </c>
      <c r="F46" s="573" t="s">
        <v>1666</v>
      </c>
      <c r="G46" s="573" t="s">
        <v>568</v>
      </c>
      <c r="H46" s="120"/>
      <c r="I46" s="1053"/>
      <c r="J46" s="123" t="s">
        <v>50</v>
      </c>
      <c r="K46" s="224"/>
      <c r="L46" s="221">
        <v>3</v>
      </c>
      <c r="M46" s="602"/>
      <c r="N46" s="602" t="s">
        <v>3</v>
      </c>
      <c r="O46" s="1848" t="s">
        <v>1418</v>
      </c>
      <c r="P46" s="340">
        <f>Test_Bible!P105</f>
        <v>0</v>
      </c>
      <c r="Q46" s="340">
        <f>Test_Bible!Q105</f>
        <v>0</v>
      </c>
      <c r="R46" s="340"/>
      <c r="S46" s="189" t="s">
        <v>34</v>
      </c>
      <c r="T46" s="383" t="s">
        <v>34</v>
      </c>
      <c r="U46" s="384" t="s">
        <v>34</v>
      </c>
      <c r="V46" s="182" t="s">
        <v>62</v>
      </c>
      <c r="W46" s="455"/>
      <c r="X46" s="455"/>
      <c r="Y46" s="58"/>
      <c r="Z46" s="58"/>
      <c r="AA46" s="56"/>
      <c r="AB46" s="56"/>
      <c r="AC46" s="56"/>
      <c r="AD46" s="56"/>
      <c r="AE46" s="1146"/>
      <c r="AF46" s="1147"/>
      <c r="AG46" s="1147"/>
      <c r="AH46" s="1146"/>
      <c r="AI46" s="993"/>
      <c r="AJ46" s="995"/>
      <c r="AU46" s="7" t="s">
        <v>84</v>
      </c>
    </row>
    <row r="47" spans="2:47" s="7" customFormat="1" ht="74" customHeight="1" x14ac:dyDescent="0.2">
      <c r="D47" s="174">
        <v>5</v>
      </c>
      <c r="E47" s="143" t="s">
        <v>64</v>
      </c>
      <c r="F47" s="572" t="s">
        <v>1667</v>
      </c>
      <c r="G47" s="572" t="s">
        <v>1030</v>
      </c>
      <c r="H47" s="128"/>
      <c r="I47" s="1052"/>
      <c r="J47" s="1924"/>
      <c r="K47" s="1506">
        <v>4</v>
      </c>
      <c r="L47" s="580">
        <v>1</v>
      </c>
      <c r="M47" s="602"/>
      <c r="N47" s="602" t="s">
        <v>16</v>
      </c>
      <c r="O47" s="1849" t="s">
        <v>1526</v>
      </c>
      <c r="P47" s="340">
        <f>Test_Bible!P106</f>
        <v>2</v>
      </c>
      <c r="Q47" s="340">
        <f>Test_Bible!Q106</f>
        <v>2</v>
      </c>
      <c r="R47" s="340"/>
      <c r="S47" s="189" t="s">
        <v>34</v>
      </c>
      <c r="T47" s="383" t="s">
        <v>34</v>
      </c>
      <c r="U47" s="384" t="s">
        <v>34</v>
      </c>
      <c r="V47" s="183" t="s">
        <v>65</v>
      </c>
      <c r="W47" s="454"/>
      <c r="X47" s="454"/>
      <c r="Y47" s="58"/>
      <c r="Z47" s="58"/>
      <c r="AA47" s="56"/>
      <c r="AB47" s="56"/>
      <c r="AC47" s="56"/>
      <c r="AD47" s="56"/>
      <c r="AE47" s="541" t="s">
        <v>24</v>
      </c>
      <c r="AF47" s="1149" t="s">
        <v>648</v>
      </c>
      <c r="AG47" s="1149"/>
      <c r="AH47" s="541" t="s">
        <v>25</v>
      </c>
      <c r="AI47" s="993"/>
      <c r="AJ47" s="994" t="s">
        <v>673</v>
      </c>
      <c r="AU47" s="7" t="s">
        <v>149</v>
      </c>
    </row>
    <row r="48" spans="2:47" s="7" customFormat="1" ht="51" x14ac:dyDescent="0.2">
      <c r="B48" s="123" t="s">
        <v>1522</v>
      </c>
      <c r="D48" s="174">
        <v>6</v>
      </c>
      <c r="E48" s="142" t="s">
        <v>1032</v>
      </c>
      <c r="F48" s="573" t="s">
        <v>1668</v>
      </c>
      <c r="G48" s="573" t="s">
        <v>1031</v>
      </c>
      <c r="H48" s="120"/>
      <c r="I48" s="1053"/>
      <c r="J48" s="123" t="s">
        <v>50</v>
      </c>
      <c r="K48" s="224"/>
      <c r="L48" s="582">
        <v>3</v>
      </c>
      <c r="M48" s="602"/>
      <c r="N48" s="602" t="s">
        <v>3</v>
      </c>
      <c r="O48" s="1848" t="s">
        <v>1418</v>
      </c>
      <c r="P48" s="340">
        <f>Test_Bible!P107</f>
        <v>0</v>
      </c>
      <c r="Q48" s="340">
        <f>Test_Bible!Q107</f>
        <v>0</v>
      </c>
      <c r="R48" s="340"/>
      <c r="S48" s="189" t="s">
        <v>34</v>
      </c>
      <c r="T48" s="383" t="s">
        <v>34</v>
      </c>
      <c r="U48" s="384" t="s">
        <v>34</v>
      </c>
      <c r="V48" s="128" t="s">
        <v>62</v>
      </c>
      <c r="W48" s="454"/>
      <c r="X48" s="454"/>
      <c r="Y48" s="58"/>
      <c r="Z48" s="58"/>
      <c r="AA48" s="56"/>
      <c r="AB48" s="56"/>
      <c r="AC48" s="56"/>
      <c r="AD48" s="56"/>
      <c r="AE48" s="541"/>
      <c r="AF48" s="1149"/>
      <c r="AG48" s="1149"/>
      <c r="AH48" s="541"/>
      <c r="AI48" s="993"/>
      <c r="AJ48" s="994"/>
      <c r="AO48" s="26" t="s">
        <v>1895</v>
      </c>
      <c r="AP48" s="91" t="s">
        <v>97</v>
      </c>
    </row>
    <row r="49" spans="1:58" s="105" customFormat="1" ht="40" customHeight="1" x14ac:dyDescent="0.2">
      <c r="A49" s="1102" t="s">
        <v>67</v>
      </c>
      <c r="B49" s="130"/>
      <c r="C49" s="130"/>
      <c r="D49" s="359"/>
      <c r="E49" s="359"/>
      <c r="F49" s="360"/>
      <c r="G49" s="359"/>
      <c r="H49" s="360"/>
      <c r="I49" s="360"/>
      <c r="J49" s="359"/>
      <c r="K49" s="359"/>
      <c r="L49" s="359"/>
      <c r="M49" s="359"/>
      <c r="N49" s="361"/>
      <c r="O49" s="1835"/>
      <c r="P49" s="344" t="str">
        <f>Test_Bible!P162</f>
        <v>Fréquence seul.</v>
      </c>
      <c r="Q49" s="344" t="str">
        <f>Test_Bible!Q162</f>
        <v>Fréquence * Intensité
(valeur de base)</v>
      </c>
      <c r="R49" s="1234" t="s">
        <v>1896</v>
      </c>
      <c r="S49" s="362"/>
      <c r="T49" s="363"/>
      <c r="U49" s="363"/>
      <c r="V49" s="364"/>
      <c r="W49" s="457"/>
      <c r="X49" s="457"/>
      <c r="Y49" s="1100"/>
      <c r="Z49" s="1100"/>
      <c r="AA49" s="1101"/>
      <c r="AB49" s="1101"/>
      <c r="AC49" s="1101"/>
      <c r="AD49" s="1101"/>
      <c r="AE49" s="541"/>
      <c r="AF49" s="1142"/>
      <c r="AG49" s="1142"/>
      <c r="AH49" s="541"/>
      <c r="AI49" s="292"/>
      <c r="AJ49" s="1154"/>
    </row>
    <row r="50" spans="1:58" s="105" customFormat="1" ht="60" customHeight="1" thickBot="1" x14ac:dyDescent="0.25">
      <c r="D50" s="432">
        <v>0</v>
      </c>
      <c r="E50" s="365" t="s">
        <v>1686</v>
      </c>
      <c r="F50" s="366" t="s">
        <v>1687</v>
      </c>
      <c r="G50" s="365"/>
      <c r="H50" s="366"/>
      <c r="I50" s="366"/>
      <c r="J50" s="132" t="s">
        <v>1630</v>
      </c>
      <c r="K50" s="225">
        <v>6</v>
      </c>
      <c r="L50" s="594">
        <v>1</v>
      </c>
      <c r="M50" s="594"/>
      <c r="N50" s="918" t="s">
        <v>450</v>
      </c>
      <c r="O50" s="911" t="s">
        <v>1480</v>
      </c>
      <c r="Q50" s="2061">
        <f>Test_Bible!Q110</f>
        <v>6</v>
      </c>
      <c r="S50" s="350" t="s">
        <v>34</v>
      </c>
      <c r="T50" s="374" t="s">
        <v>34</v>
      </c>
      <c r="U50" s="377" t="s">
        <v>34</v>
      </c>
      <c r="V50" s="717" t="s">
        <v>55</v>
      </c>
      <c r="W50" s="1196" t="s">
        <v>55</v>
      </c>
      <c r="X50" s="1197" t="s">
        <v>97</v>
      </c>
      <c r="Y50" s="1198" t="s">
        <v>69</v>
      </c>
      <c r="Z50" s="1199" t="s">
        <v>62</v>
      </c>
      <c r="AA50" s="1200" t="s">
        <v>44</v>
      </c>
      <c r="AB50" s="1201" t="s">
        <v>65</v>
      </c>
      <c r="AC50" s="1202" t="s">
        <v>84</v>
      </c>
      <c r="AD50" s="1203" t="s">
        <v>149</v>
      </c>
      <c r="AE50" s="541"/>
      <c r="AF50" s="1142"/>
      <c r="AG50" s="1142"/>
      <c r="AH50" s="541"/>
      <c r="AI50" s="292"/>
      <c r="AJ50" s="1154"/>
      <c r="AO50" s="105" t="str" cm="1">
        <f t="array" ref="AO50:BF59">_xlfn._xlws.FILTER(E50:V234,V50:V234=AP48)</f>
        <v>PFA04</v>
      </c>
      <c r="AP50" s="105" t="str">
        <v>L’autre parent laisse entendre à votre enfant que vous avez abandonné la famille.</v>
      </c>
      <c r="AQ50" s="105" t="str">
        <v xml:space="preserve">Quelle est la probabilité de l'énoncé suivant? L’autre parent laissait entendre à votre enfant que vous aviez abandonné la famille. </v>
      </c>
      <c r="AR50" s="105">
        <v>0</v>
      </c>
      <c r="AS50" s="105">
        <v>0</v>
      </c>
      <c r="AT50" s="105">
        <v>0</v>
      </c>
      <c r="AU50" s="105">
        <v>4</v>
      </c>
      <c r="AV50" s="105">
        <v>1</v>
      </c>
      <c r="AW50" s="105">
        <v>0</v>
      </c>
      <c r="AX50" s="105" t="str">
        <v>E4A</v>
      </c>
      <c r="AY50" s="105" t="str">
        <v>Nulle / Très faible / Faible / Moyenne / Élevée / Très élevée / S.O.</v>
      </c>
      <c r="AZ50" s="105">
        <v>1</v>
      </c>
      <c r="BA50" s="105">
        <v>1</v>
      </c>
      <c r="BB50" s="105" t="str">
        <v>Abandon de la famille</v>
      </c>
      <c r="BC50" s="105">
        <v>0</v>
      </c>
      <c r="BD50" s="105">
        <v>1</v>
      </c>
      <c r="BE50" s="105">
        <v>0</v>
      </c>
      <c r="BF50" s="105" t="str">
        <v>B:Altération/dévoiement de la réalité</v>
      </c>
    </row>
    <row r="51" spans="1:58" ht="78" customHeight="1" thickBot="1" x14ac:dyDescent="0.3">
      <c r="A51" s="199" t="s">
        <v>1688</v>
      </c>
      <c r="C51" s="898" t="s">
        <v>1512</v>
      </c>
      <c r="D51" s="1940">
        <v>1</v>
      </c>
      <c r="E51" s="900" t="s">
        <v>871</v>
      </c>
      <c r="F51" s="366" t="s">
        <v>1689</v>
      </c>
      <c r="G51" s="545" t="s">
        <v>1037</v>
      </c>
      <c r="H51" s="250"/>
      <c r="I51" s="1054"/>
      <c r="J51" s="212"/>
      <c r="K51" s="356">
        <v>2</v>
      </c>
      <c r="L51" s="1906">
        <v>1</v>
      </c>
      <c r="M51" s="1904">
        <v>0</v>
      </c>
      <c r="N51" s="917" t="s">
        <v>15</v>
      </c>
      <c r="O51" s="297" t="s">
        <v>930</v>
      </c>
      <c r="P51" s="357"/>
      <c r="Q51" s="357">
        <f>Test_Bible!Q112</f>
        <v>4</v>
      </c>
      <c r="R51" s="357" t="s">
        <v>1897</v>
      </c>
      <c r="S51" s="1507">
        <v>0.5</v>
      </c>
      <c r="T51" s="1508">
        <v>0.5</v>
      </c>
      <c r="U51" s="1509">
        <v>0</v>
      </c>
      <c r="V51" s="709" t="s">
        <v>69</v>
      </c>
      <c r="W51" s="1477"/>
      <c r="X51" s="1477"/>
      <c r="Y51" s="1477">
        <v>1</v>
      </c>
      <c r="Z51" s="1477"/>
      <c r="AA51" s="1477"/>
      <c r="AB51" s="1477"/>
      <c r="AC51" s="1477"/>
      <c r="AD51" s="1477"/>
      <c r="AE51" s="1477"/>
      <c r="AF51" s="1156"/>
      <c r="AG51" s="1156"/>
      <c r="AH51" s="1155"/>
      <c r="AI51" s="1157"/>
      <c r="AJ51" s="1158"/>
      <c r="AO51" t="str">
        <v>PFA04a</v>
      </c>
      <c r="AP51" t="str">
        <v>L’autre parent laisse entendre à votre enfant que vous ne l’aimez pas vraiment.</v>
      </c>
      <c r="AQ51" t="str">
        <v>Quelle est la probabilité de l'énoncé suivant? L’autre parent laissait entendre à votre enfant que vous ne l’aimiez pas vraiment.</v>
      </c>
      <c r="AR51">
        <v>0</v>
      </c>
      <c r="AS51">
        <v>0</v>
      </c>
      <c r="AT51">
        <v>0</v>
      </c>
      <c r="AU51">
        <v>0</v>
      </c>
      <c r="AV51">
        <v>2</v>
      </c>
      <c r="AW51">
        <v>0</v>
      </c>
      <c r="AX51" t="str">
        <v>E4A</v>
      </c>
      <c r="AY51" t="str">
        <v>Nulle / Très faible / Faible / Moyenne / Élevée / Très élevée / S.O.</v>
      </c>
      <c r="AZ51">
        <v>1</v>
      </c>
      <c r="BA51">
        <v>2</v>
      </c>
      <c r="BB51" t="str">
        <v>N'aime pas l'enfant</v>
      </c>
      <c r="BC51">
        <v>0</v>
      </c>
      <c r="BD51">
        <v>1</v>
      </c>
      <c r="BE51">
        <v>0</v>
      </c>
      <c r="BF51" t="str">
        <v>B:Altération/dévoiement de la réalité</v>
      </c>
    </row>
    <row r="52" spans="1:58" ht="65" customHeight="1" thickBot="1" x14ac:dyDescent="0.3">
      <c r="B52" s="123" t="s">
        <v>1586</v>
      </c>
      <c r="D52" s="1940">
        <v>2</v>
      </c>
      <c r="E52" s="1955" t="s">
        <v>1035</v>
      </c>
      <c r="F52" s="299" t="s">
        <v>1690</v>
      </c>
      <c r="G52" s="546" t="s">
        <v>1038</v>
      </c>
      <c r="H52" s="250"/>
      <c r="I52" s="1054"/>
      <c r="J52" s="212"/>
      <c r="K52" s="356">
        <v>4</v>
      </c>
      <c r="L52" s="1906">
        <v>2</v>
      </c>
      <c r="M52" s="1904"/>
      <c r="N52" s="917" t="s">
        <v>3</v>
      </c>
      <c r="O52" s="297" t="s">
        <v>1418</v>
      </c>
      <c r="P52" s="357"/>
      <c r="Q52" s="357">
        <f>Test_Bible!Q113</f>
        <v>8</v>
      </c>
      <c r="R52" s="357" t="s">
        <v>1916</v>
      </c>
      <c r="S52" s="1507">
        <v>0.33</v>
      </c>
      <c r="T52" s="1508">
        <v>0.34</v>
      </c>
      <c r="U52" s="1509">
        <v>0.33</v>
      </c>
      <c r="V52" s="709" t="s">
        <v>69</v>
      </c>
      <c r="W52" s="1477"/>
      <c r="X52" s="1477"/>
      <c r="Y52" s="1477">
        <v>1</v>
      </c>
      <c r="Z52" s="1477"/>
      <c r="AA52" s="1477"/>
      <c r="AB52" s="1477"/>
      <c r="AC52" s="1477"/>
      <c r="AD52" s="1477"/>
      <c r="AE52" s="1477"/>
      <c r="AF52" s="1156"/>
      <c r="AG52" s="1156"/>
      <c r="AH52" s="1155"/>
      <c r="AI52" s="1157"/>
      <c r="AJ52" s="1158"/>
      <c r="AO52" t="str">
        <v>PFA05</v>
      </c>
      <c r="AP52" t="str">
        <v>L'autre parent laisse entendre à votre enfant qu’il ou elle n’est pas en sécurité avec vous.</v>
      </c>
      <c r="AQ52" t="str">
        <v>Quelle est la probabilité de l'énoncé suivant? L’autre parent laissait entendre à votre enfant que vous souffriez d’une maladie mentale ou que vous êtiez instable psychologiquement.</v>
      </c>
      <c r="AR52">
        <v>0</v>
      </c>
      <c r="AS52">
        <v>0</v>
      </c>
      <c r="AT52">
        <v>0</v>
      </c>
      <c r="AU52">
        <v>4</v>
      </c>
      <c r="AV52">
        <v>2</v>
      </c>
      <c r="AW52">
        <v>0</v>
      </c>
      <c r="AX52" t="str">
        <v>E4A</v>
      </c>
      <c r="AY52" t="str">
        <v>Nulle / Très faible / Faible / Moyenne / Élevée / Très élevée / S.O.</v>
      </c>
      <c r="AZ52">
        <v>1</v>
      </c>
      <c r="BA52">
        <v>2</v>
      </c>
      <c r="BB52" t="str">
        <v>Manque de sécurité chez l'autre</v>
      </c>
      <c r="BC52">
        <v>0</v>
      </c>
      <c r="BD52">
        <v>1</v>
      </c>
      <c r="BE52">
        <v>0</v>
      </c>
      <c r="BF52" t="str">
        <v>B:Altération/dévoiement de la réalité</v>
      </c>
    </row>
    <row r="53" spans="1:58" ht="60" customHeight="1" x14ac:dyDescent="0.25">
      <c r="B53" s="123" t="s">
        <v>1590</v>
      </c>
      <c r="D53" s="1940">
        <v>3</v>
      </c>
      <c r="E53" s="1955" t="s">
        <v>1433</v>
      </c>
      <c r="F53" s="998" t="s">
        <v>1691</v>
      </c>
      <c r="G53" s="999" t="s">
        <v>1039</v>
      </c>
      <c r="H53" s="250"/>
      <c r="I53" s="1054"/>
      <c r="J53" s="212"/>
      <c r="K53" s="356"/>
      <c r="L53" s="1906">
        <v>3</v>
      </c>
      <c r="M53" s="1904"/>
      <c r="N53" s="917" t="s">
        <v>3</v>
      </c>
      <c r="O53" s="297" t="s">
        <v>1418</v>
      </c>
      <c r="P53" s="357"/>
      <c r="Q53" s="357">
        <f>Test_Bible!Q114</f>
        <v>6</v>
      </c>
      <c r="R53" s="357" t="s">
        <v>1981</v>
      </c>
      <c r="S53" s="1510">
        <v>0</v>
      </c>
      <c r="T53" s="1511">
        <v>0.5</v>
      </c>
      <c r="U53" s="1512">
        <v>0.5</v>
      </c>
      <c r="V53" s="710" t="s">
        <v>62</v>
      </c>
      <c r="W53" s="1477"/>
      <c r="X53" s="1477"/>
      <c r="Y53" s="1477"/>
      <c r="Z53" s="1477">
        <v>1</v>
      </c>
      <c r="AA53" s="1477"/>
      <c r="AB53" s="1477"/>
      <c r="AC53" s="1477"/>
      <c r="AD53" s="1477"/>
      <c r="AE53" s="1477"/>
      <c r="AF53" s="1156"/>
      <c r="AG53" s="1156"/>
      <c r="AH53" s="1155"/>
      <c r="AI53" s="1157"/>
      <c r="AJ53" s="1158"/>
      <c r="AO53" t="str">
        <v>PFA05a</v>
      </c>
      <c r="AP53" t="str">
        <v>L’autre parent laisse entendre à votre enfant que vous souffrez d’une maladie mentale ou que vous êtes instable psychologiquement.</v>
      </c>
      <c r="AQ53" t="str">
        <v>Quelle est la probabilité de l'énoncé? L'autre parent laissait entendre à votre enfant qu’il ou elle n’était pas en sécurité avec vous.</v>
      </c>
      <c r="AR53">
        <v>0</v>
      </c>
      <c r="AS53">
        <v>0</v>
      </c>
      <c r="AT53" t="str">
        <v>sq1</v>
      </c>
      <c r="AU53">
        <v>0</v>
      </c>
      <c r="AV53">
        <v>2</v>
      </c>
      <c r="AW53">
        <v>0</v>
      </c>
      <c r="AX53" t="str">
        <v>E4A</v>
      </c>
      <c r="AY53" t="str">
        <v>Nulle / Très faible / Faible / Moyenne / Élevée / Très élevée / S.O.</v>
      </c>
      <c r="AZ53">
        <v>0</v>
      </c>
      <c r="BA53">
        <v>0</v>
      </c>
      <c r="BB53" t="str">
        <v>Accusation d'instabilité psychologique</v>
      </c>
      <c r="BC53">
        <v>0</v>
      </c>
      <c r="BD53">
        <v>1</v>
      </c>
      <c r="BE53">
        <v>0</v>
      </c>
      <c r="BF53" t="str">
        <v>B:Altération/dévoiement de la réalité</v>
      </c>
    </row>
    <row r="54" spans="1:58" ht="113" customHeight="1" thickBot="1" x14ac:dyDescent="0.25">
      <c r="B54" s="123" t="s">
        <v>1586</v>
      </c>
      <c r="D54" s="1940">
        <v>4</v>
      </c>
      <c r="E54" s="903" t="s">
        <v>1036</v>
      </c>
      <c r="F54" s="299" t="s">
        <v>1436</v>
      </c>
      <c r="G54" s="1006" t="s">
        <v>1043</v>
      </c>
      <c r="H54" s="287" t="s">
        <v>1437</v>
      </c>
      <c r="I54" s="1057"/>
      <c r="J54" s="247" t="s">
        <v>50</v>
      </c>
      <c r="K54" s="229"/>
      <c r="L54" s="1908"/>
      <c r="M54" s="1221"/>
      <c r="N54" s="918" t="s">
        <v>66</v>
      </c>
      <c r="O54" s="1850" t="s">
        <v>1588</v>
      </c>
      <c r="P54" s="347"/>
      <c r="Q54" s="347"/>
      <c r="R54" s="347"/>
      <c r="S54" s="350" t="s">
        <v>34</v>
      </c>
      <c r="T54" s="374" t="s">
        <v>34</v>
      </c>
      <c r="U54" s="377" t="s">
        <v>34</v>
      </c>
      <c r="V54" s="710" t="s">
        <v>62</v>
      </c>
      <c r="W54" s="461"/>
      <c r="X54" s="461"/>
      <c r="Y54" s="448"/>
      <c r="Z54" s="1477">
        <v>1</v>
      </c>
      <c r="AE54" s="1159"/>
      <c r="AF54" s="1160"/>
      <c r="AG54" s="1160"/>
      <c r="AH54" s="1159"/>
      <c r="AI54" s="1161"/>
      <c r="AJ54" s="1162"/>
      <c r="AO54" t="str">
        <v>PFA06</v>
      </c>
      <c r="AP54" t="str">
        <v>L'autre parent modifie certains faits concernant votre passé à son avantage ou à votre désavantage.</v>
      </c>
      <c r="AQ54" t="str">
        <v>Dans quelle mesure diriez-vous que l'autre parent modifiait certains faits (historiques) concernant votre passé à son avantage ou à votre désavantage?</v>
      </c>
      <c r="AR54">
        <v>0</v>
      </c>
      <c r="AS54">
        <v>0</v>
      </c>
      <c r="AT54">
        <v>0</v>
      </c>
      <c r="AU54">
        <v>4</v>
      </c>
      <c r="AV54">
        <v>2</v>
      </c>
      <c r="AW54">
        <v>0</v>
      </c>
      <c r="AX54" t="str">
        <v>E4A</v>
      </c>
      <c r="AY54" t="str">
        <v>Nulle / Très faible / Faible / Moyenne / Élevée / Très élevée / S.O.</v>
      </c>
      <c r="AZ54">
        <v>7</v>
      </c>
      <c r="BA54">
        <v>14</v>
      </c>
      <c r="BB54" t="str">
        <v>Modification de faits</v>
      </c>
      <c r="BC54">
        <v>0</v>
      </c>
      <c r="BD54">
        <v>0.5</v>
      </c>
      <c r="BE54">
        <v>0.5</v>
      </c>
      <c r="BF54" t="str">
        <v>B:Altération/dévoiement de la réalité</v>
      </c>
    </row>
    <row r="55" spans="1:58" ht="60" customHeight="1" x14ac:dyDescent="0.2">
      <c r="A55" s="199" t="s">
        <v>1523</v>
      </c>
      <c r="C55" t="s">
        <v>945</v>
      </c>
      <c r="D55" s="1940">
        <v>12</v>
      </c>
      <c r="E55" s="900" t="s">
        <v>70</v>
      </c>
      <c r="F55" s="1000" t="s">
        <v>1699</v>
      </c>
      <c r="G55" s="1001" t="s">
        <v>1040</v>
      </c>
      <c r="H55" s="250"/>
      <c r="I55" s="1054"/>
      <c r="J55" s="212" t="s">
        <v>68</v>
      </c>
      <c r="K55" s="226"/>
      <c r="L55" s="1907">
        <v>2</v>
      </c>
      <c r="M55" s="1905"/>
      <c r="N55" s="1959" t="s">
        <v>3</v>
      </c>
      <c r="O55" s="1847" t="s">
        <v>1418</v>
      </c>
      <c r="P55" s="357"/>
      <c r="Q55" s="357">
        <f>Test_Bible!Q123</f>
        <v>14</v>
      </c>
      <c r="R55" s="357" t="s">
        <v>1898</v>
      </c>
      <c r="S55" s="1510">
        <v>1</v>
      </c>
      <c r="T55" s="1511"/>
      <c r="U55" s="1512"/>
      <c r="V55" s="709" t="s">
        <v>69</v>
      </c>
      <c r="W55" s="1477"/>
      <c r="X55" s="1477"/>
      <c r="Y55" s="1477">
        <v>1</v>
      </c>
      <c r="Z55" s="1477"/>
      <c r="AA55" s="1477"/>
      <c r="AB55" s="1477"/>
      <c r="AC55" s="1477"/>
      <c r="AD55" s="1477"/>
      <c r="AE55" s="1478" t="s">
        <v>68</v>
      </c>
      <c r="AF55" s="1160"/>
      <c r="AG55" s="1160"/>
      <c r="AH55" s="1155"/>
      <c r="AI55" s="1161"/>
      <c r="AJ55" s="1162"/>
      <c r="AO55" t="str">
        <v>PFA06a</v>
      </c>
      <c r="AP55" t="str">
        <v xml:space="preserve">L'autre parent déforme les souvenirs de votre enfant (ex.: souvenirs de la petite enfance vus aujourd'hui négativement). </v>
      </c>
      <c r="AQ55" t="str">
        <v>Dans quelle mesure cet énoncé s'applique à votre situation? L'autre parent déformait les souvenirs de votre enfant (ex.: souvenirs heureux de la petite enfance vus aujourd'hui négativement).</v>
      </c>
      <c r="AR55">
        <v>0</v>
      </c>
      <c r="AS55">
        <v>0</v>
      </c>
      <c r="AT55" t="str">
        <v>sq1</v>
      </c>
      <c r="AU55">
        <v>0</v>
      </c>
      <c r="AV55">
        <v>3</v>
      </c>
      <c r="AW55">
        <v>0</v>
      </c>
      <c r="AX55" t="str">
        <v>E4A</v>
      </c>
      <c r="AY55" t="str">
        <v>Nulle / Très faible / Faible / Moyenne / Élevée / Très élevée / S.O.</v>
      </c>
      <c r="AZ55">
        <v>10</v>
      </c>
      <c r="BA55">
        <v>30</v>
      </c>
      <c r="BB55" t="str">
        <v>Déforme les souvenirs</v>
      </c>
      <c r="BC55">
        <v>0</v>
      </c>
      <c r="BD55">
        <v>1</v>
      </c>
      <c r="BE55">
        <v>0</v>
      </c>
      <c r="BF55" t="str">
        <v>B:Altération/dévoiement de la réalité</v>
      </c>
    </row>
    <row r="56" spans="1:58" ht="90" customHeight="1" x14ac:dyDescent="0.2">
      <c r="D56" s="1940">
        <v>9</v>
      </c>
      <c r="E56" s="900" t="s">
        <v>1034</v>
      </c>
      <c r="F56" s="366" t="s">
        <v>1696</v>
      </c>
      <c r="G56" s="522" t="s">
        <v>539</v>
      </c>
      <c r="H56" s="250"/>
      <c r="I56" s="1054"/>
      <c r="J56" s="212"/>
      <c r="K56" s="226"/>
      <c r="L56" s="580">
        <v>1</v>
      </c>
      <c r="M56" s="580"/>
      <c r="N56" s="921" t="s">
        <v>43</v>
      </c>
      <c r="O56" s="1847" t="s">
        <v>1419</v>
      </c>
      <c r="P56" s="346">
        <f>Test_Bible!P124</f>
        <v>2</v>
      </c>
      <c r="Q56" s="346">
        <f>Test_Bible!Q124</f>
        <v>2</v>
      </c>
      <c r="R56" s="346" t="s">
        <v>1899</v>
      </c>
      <c r="S56" s="350">
        <v>1</v>
      </c>
      <c r="T56" s="374">
        <v>0</v>
      </c>
      <c r="U56" s="375">
        <v>0</v>
      </c>
      <c r="V56" s="709" t="s">
        <v>69</v>
      </c>
      <c r="W56" s="461"/>
      <c r="X56" s="461"/>
      <c r="Y56" s="449">
        <v>1</v>
      </c>
      <c r="Z56" s="462"/>
      <c r="AA56" s="1476"/>
      <c r="AB56" s="1476"/>
      <c r="AC56" s="1476"/>
      <c r="AD56" s="1476"/>
      <c r="AE56" s="1478"/>
      <c r="AF56" s="1160"/>
      <c r="AG56" s="1160"/>
      <c r="AH56" s="1155"/>
      <c r="AI56" s="1161"/>
      <c r="AJ56" s="1162"/>
      <c r="AO56" t="str">
        <v>E06</v>
      </c>
      <c r="AP56" t="str">
        <v>Votre enfant vous accuse ou vous reproche d'avoir brisé ou abandonné la famille.</v>
      </c>
      <c r="AQ56" t="str">
        <v>Dans quelle mesure diriez-vous que votre enfant vous accusait ou vous reprochait d'avoir abandonné la famille?</v>
      </c>
      <c r="AR56">
        <v>0</v>
      </c>
      <c r="AS56">
        <v>0</v>
      </c>
      <c r="AT56">
        <v>0</v>
      </c>
      <c r="AU56">
        <v>4</v>
      </c>
      <c r="AV56">
        <v>1</v>
      </c>
      <c r="AW56">
        <v>2</v>
      </c>
      <c r="AX56" t="str">
        <v>E1A</v>
      </c>
      <c r="AY56" t="str">
        <v xml:space="preserve">Jamais / Rarement / Occasionnellement / Régulièrement / Souvent / Toujours / S.O. </v>
      </c>
      <c r="AZ56">
        <v>4</v>
      </c>
      <c r="BA56">
        <v>8</v>
      </c>
      <c r="BB56" t="str">
        <v>Pense qu'il a été abandonné</v>
      </c>
      <c r="BC56">
        <v>0</v>
      </c>
      <c r="BD56">
        <v>0.5</v>
      </c>
      <c r="BE56">
        <v>0.5</v>
      </c>
      <c r="BF56" t="str">
        <v>B:Altération/dévoiement de la réalité</v>
      </c>
    </row>
    <row r="57" spans="1:58" s="7" customFormat="1" ht="104" customHeight="1" x14ac:dyDescent="0.2">
      <c r="D57" s="1940">
        <v>16</v>
      </c>
      <c r="E57" s="901" t="s">
        <v>71</v>
      </c>
      <c r="F57" s="366" t="s">
        <v>1702</v>
      </c>
      <c r="G57" s="1004" t="s">
        <v>1041</v>
      </c>
      <c r="H57" s="251"/>
      <c r="I57" s="1055"/>
      <c r="J57" s="213"/>
      <c r="K57" s="227"/>
      <c r="L57" s="588">
        <v>2</v>
      </c>
      <c r="M57" s="588"/>
      <c r="N57" s="918" t="s">
        <v>3</v>
      </c>
      <c r="O57" s="297" t="s">
        <v>1418</v>
      </c>
      <c r="P57" s="346">
        <f>Test_Bible!P125</f>
        <v>1</v>
      </c>
      <c r="Q57" s="346">
        <f>Test_Bible!Q125</f>
        <v>2</v>
      </c>
      <c r="R57" s="346" t="s">
        <v>1900</v>
      </c>
      <c r="S57" s="351">
        <v>0</v>
      </c>
      <c r="T57" s="352">
        <v>0</v>
      </c>
      <c r="U57" s="353">
        <v>1</v>
      </c>
      <c r="V57" s="709" t="s">
        <v>69</v>
      </c>
      <c r="W57" s="461"/>
      <c r="X57" s="461"/>
      <c r="Y57" s="449">
        <v>1</v>
      </c>
      <c r="Z57" s="462"/>
      <c r="AA57" s="56"/>
      <c r="AB57" s="56"/>
      <c r="AC57" s="56"/>
      <c r="AD57" s="56"/>
      <c r="AE57" s="541"/>
      <c r="AF57" s="1142"/>
      <c r="AG57" s="1142"/>
      <c r="AH57" s="1155" t="s">
        <v>25</v>
      </c>
      <c r="AI57" s="993"/>
      <c r="AJ57" s="994" t="s">
        <v>674</v>
      </c>
      <c r="AO57" s="7" t="str">
        <v>E06a</v>
      </c>
      <c r="AP57" s="7" t="str">
        <v>Votre enfant croit que vous souffrez d’une maladie mentale ou que vous êtes instable psychologiquement.</v>
      </c>
      <c r="AQ57" s="7" t="str">
        <v>Évaluez la fréquence ou l'intensité de l'énoncé : votre enfant croyait que vous souffriez d’une maladie mentale ou que vous étiez instable psychologiquement.</v>
      </c>
      <c r="AR57" s="7">
        <v>0</v>
      </c>
      <c r="AS57" s="7">
        <v>0</v>
      </c>
      <c r="AT57" s="7" t="str">
        <v>sq1</v>
      </c>
      <c r="AU57" s="7">
        <v>4</v>
      </c>
      <c r="AV57" s="7">
        <v>3</v>
      </c>
      <c r="AW57" s="7">
        <v>0</v>
      </c>
      <c r="AX57" s="7" t="str">
        <v>E4A</v>
      </c>
      <c r="AY57" s="7" t="str">
        <v>Nulle / Très faible / Faible / Moyenne / Élevée / Très élevée / S.O.</v>
      </c>
      <c r="AZ57" s="7">
        <v>4</v>
      </c>
      <c r="BA57" s="7">
        <v>12</v>
      </c>
      <c r="BB57" s="7" t="str">
        <v>Pense que son parent souffre de maladie mentale</v>
      </c>
      <c r="BC57" s="7">
        <v>0</v>
      </c>
      <c r="BD57" s="7">
        <v>1</v>
      </c>
      <c r="BE57" s="7">
        <v>0</v>
      </c>
      <c r="BF57" s="7" t="str">
        <v>B:Altération/dévoiement de la réalité</v>
      </c>
    </row>
    <row r="58" spans="1:58" ht="99" customHeight="1" x14ac:dyDescent="0.2">
      <c r="D58" s="1940">
        <v>17</v>
      </c>
      <c r="E58" s="902" t="s">
        <v>72</v>
      </c>
      <c r="F58" s="366" t="s">
        <v>1703</v>
      </c>
      <c r="G58" s="1005" t="s">
        <v>1042</v>
      </c>
      <c r="H58" s="253"/>
      <c r="I58" s="1056"/>
      <c r="J58" s="246"/>
      <c r="K58" s="228">
        <v>2</v>
      </c>
      <c r="L58" s="588">
        <v>2</v>
      </c>
      <c r="M58" s="588"/>
      <c r="N58" s="918" t="s">
        <v>3</v>
      </c>
      <c r="O58" s="297" t="s">
        <v>1418</v>
      </c>
      <c r="P58" s="346">
        <f>Test_Bible!P126</f>
        <v>4</v>
      </c>
      <c r="Q58" s="346">
        <f>Test_Bible!Q126</f>
        <v>8</v>
      </c>
      <c r="R58" s="346" t="s">
        <v>1901</v>
      </c>
      <c r="S58" s="350">
        <v>1</v>
      </c>
      <c r="T58" s="374">
        <v>0</v>
      </c>
      <c r="U58" s="377">
        <v>0</v>
      </c>
      <c r="V58" s="710" t="s">
        <v>62</v>
      </c>
      <c r="W58" s="461"/>
      <c r="X58" s="461"/>
      <c r="Y58" s="448"/>
      <c r="Z58" s="462">
        <v>1</v>
      </c>
      <c r="AE58" s="1159"/>
      <c r="AF58" s="1160"/>
      <c r="AG58" s="1160"/>
      <c r="AH58" s="1159"/>
      <c r="AI58" s="1161"/>
      <c r="AJ58" s="1162"/>
      <c r="AO58" t="str">
        <v>E06a1</v>
      </c>
      <c r="AP58" t="str">
        <v>Arrive-t-il à votre enfant de vous reprocher d'être dangereux·se ou de présenter un danger pour sa sécurité ?</v>
      </c>
      <c r="AQ58" t="str">
        <v>Évaluez la fréquence ou l'intensité de l'énoncé : votre enfant vous reprochait ou vous accusait d'être dangereux.se ou de présenter un danger pour sa sécurité.</v>
      </c>
      <c r="AR58">
        <v>0</v>
      </c>
      <c r="AS58">
        <v>0</v>
      </c>
      <c r="AT58" t="str">
        <v>sq2</v>
      </c>
      <c r="AU58">
        <v>0</v>
      </c>
      <c r="AV58">
        <v>3</v>
      </c>
      <c r="AW58">
        <v>0</v>
      </c>
      <c r="AX58" t="str">
        <v>E1A</v>
      </c>
      <c r="AY58" t="str">
        <v xml:space="preserve">Jamais / Rarement / Occasionnellement / Régulièrement / Souvent / Toujours / S.O. </v>
      </c>
      <c r="AZ58">
        <v>0</v>
      </c>
      <c r="BA58">
        <v>0</v>
      </c>
      <c r="BB58" t="str">
        <v>Pense qu'il n'est pas en sécurité</v>
      </c>
      <c r="BC58">
        <v>0</v>
      </c>
      <c r="BD58">
        <v>0.5</v>
      </c>
      <c r="BE58">
        <v>0.5</v>
      </c>
      <c r="BF58" t="str">
        <v>B:Altération/dévoiement de la réalité</v>
      </c>
    </row>
    <row r="59" spans="1:58" ht="86" customHeight="1" x14ac:dyDescent="0.2">
      <c r="A59" s="199" t="s">
        <v>1587</v>
      </c>
      <c r="B59" s="123" t="s">
        <v>879</v>
      </c>
      <c r="D59" s="1940">
        <v>18</v>
      </c>
      <c r="E59" s="903" t="s">
        <v>74</v>
      </c>
      <c r="F59" s="299" t="s">
        <v>439</v>
      </c>
      <c r="G59" s="1006" t="s">
        <v>1043</v>
      </c>
      <c r="H59" s="287" t="s">
        <v>1435</v>
      </c>
      <c r="I59" s="1057"/>
      <c r="J59" s="247" t="s">
        <v>50</v>
      </c>
      <c r="K59" s="229"/>
      <c r="L59" s="1910"/>
      <c r="M59" s="1909"/>
      <c r="N59" s="918" t="s">
        <v>66</v>
      </c>
      <c r="O59" s="1850" t="s">
        <v>1589</v>
      </c>
      <c r="P59" s="347"/>
      <c r="Q59" s="347"/>
      <c r="R59" s="347"/>
      <c r="S59" s="350" t="s">
        <v>34</v>
      </c>
      <c r="T59" s="374" t="s">
        <v>34</v>
      </c>
      <c r="U59" s="377" t="s">
        <v>34</v>
      </c>
      <c r="V59" s="710" t="s">
        <v>62</v>
      </c>
      <c r="W59" s="461"/>
      <c r="X59" s="461"/>
      <c r="Y59" s="448"/>
      <c r="Z59" s="462">
        <v>1</v>
      </c>
      <c r="AE59" s="1159"/>
      <c r="AF59" s="1160"/>
      <c r="AG59" s="1160"/>
      <c r="AH59" s="1159"/>
      <c r="AI59" s="1161"/>
      <c r="AJ59" s="1162"/>
      <c r="AO59" t="str">
        <v>NC02</v>
      </c>
      <c r="AP59" t="str">
        <v>Le nouveau ou nouvelle conjoint·e laisse entendre à votre enfant qu’il ou elle n’est pas en sécurité avec vous.</v>
      </c>
      <c r="AQ59" t="str">
        <v>Dans quelle mesure cet énoncé s'applique à votre situation? Le nouveau ou nouvelle conjoint·e laissait entendre à votre enfant qu’il ou elle n’était pas en sécurité avec vous.</v>
      </c>
      <c r="AR59">
        <v>0</v>
      </c>
      <c r="AS59">
        <v>0</v>
      </c>
      <c r="AT59">
        <v>0</v>
      </c>
      <c r="AU59">
        <v>0</v>
      </c>
      <c r="AV59">
        <v>2</v>
      </c>
      <c r="AW59">
        <v>0</v>
      </c>
      <c r="AX59" t="str">
        <v>E4A</v>
      </c>
      <c r="AY59" t="str">
        <v>Nulle / Très faible / Faible / Moyenne / Élevée / Très élevée / S.O.</v>
      </c>
      <c r="AZ59">
        <v>0</v>
      </c>
      <c r="BA59">
        <v>0</v>
      </c>
      <c r="BB59" t="str">
        <v>Manque de sécurité chez l'autre</v>
      </c>
      <c r="BC59">
        <v>0.5</v>
      </c>
      <c r="BD59">
        <v>0</v>
      </c>
      <c r="BE59">
        <v>0.5</v>
      </c>
      <c r="BF59" t="str">
        <v>B:Altération/dévoiement de la réalité</v>
      </c>
    </row>
    <row r="60" spans="1:58" ht="52" customHeight="1" x14ac:dyDescent="0.2">
      <c r="D60" s="1940">
        <v>19</v>
      </c>
      <c r="E60" s="904" t="s">
        <v>75</v>
      </c>
      <c r="F60" s="366" t="s">
        <v>1704</v>
      </c>
      <c r="G60" s="1007" t="s">
        <v>1044</v>
      </c>
      <c r="H60" s="253"/>
      <c r="I60" s="1056"/>
      <c r="J60" s="211"/>
      <c r="K60" s="226"/>
      <c r="L60" s="588">
        <v>2</v>
      </c>
      <c r="M60" s="588"/>
      <c r="N60" s="921" t="s">
        <v>3</v>
      </c>
      <c r="O60" s="1847" t="s">
        <v>1418</v>
      </c>
      <c r="P60" s="346">
        <f>Test_Bible!P134</f>
        <v>2</v>
      </c>
      <c r="Q60" s="346">
        <f>Test_Bible!Q134</f>
        <v>4</v>
      </c>
      <c r="R60" s="346" t="s">
        <v>1984</v>
      </c>
      <c r="S60" s="354">
        <v>0</v>
      </c>
      <c r="T60" s="374">
        <v>0</v>
      </c>
      <c r="U60" s="377">
        <v>1</v>
      </c>
      <c r="V60" s="710" t="s">
        <v>62</v>
      </c>
      <c r="W60" s="461"/>
      <c r="X60" s="461"/>
      <c r="Y60" s="449"/>
      <c r="Z60" s="462">
        <v>1</v>
      </c>
      <c r="AE60" s="1163"/>
      <c r="AF60" s="1163"/>
      <c r="AG60" s="1160"/>
      <c r="AH60" s="1155" t="s">
        <v>25</v>
      </c>
      <c r="AI60" s="1161"/>
      <c r="AJ60" s="1164" t="s">
        <v>649</v>
      </c>
    </row>
    <row r="61" spans="1:58" ht="92" customHeight="1" x14ac:dyDescent="0.2">
      <c r="C61" s="898" t="s">
        <v>1853</v>
      </c>
      <c r="D61" s="1940">
        <v>11</v>
      </c>
      <c r="E61" s="904" t="s">
        <v>76</v>
      </c>
      <c r="F61" s="366" t="s">
        <v>1698</v>
      </c>
      <c r="G61" s="1004" t="s">
        <v>1045</v>
      </c>
      <c r="H61" s="253"/>
      <c r="I61" s="1056"/>
      <c r="J61" s="211" t="s">
        <v>68</v>
      </c>
      <c r="K61" s="228">
        <v>2</v>
      </c>
      <c r="L61" s="580">
        <v>1</v>
      </c>
      <c r="M61" s="587">
        <v>3</v>
      </c>
      <c r="N61" s="921" t="s">
        <v>9</v>
      </c>
      <c r="O61" s="1847" t="s">
        <v>1543</v>
      </c>
      <c r="P61" s="346">
        <f>Test_Bible!P135</f>
        <v>1</v>
      </c>
      <c r="Q61" s="346">
        <f>Test_Bible!Q135</f>
        <v>1</v>
      </c>
      <c r="R61" s="346" t="s">
        <v>1917</v>
      </c>
      <c r="S61" s="350">
        <v>1</v>
      </c>
      <c r="T61" s="374">
        <v>0</v>
      </c>
      <c r="U61" s="375">
        <v>0</v>
      </c>
      <c r="V61" s="711" t="s">
        <v>44</v>
      </c>
      <c r="W61" s="461"/>
      <c r="X61" s="461"/>
      <c r="Y61" s="448"/>
      <c r="Z61" s="462"/>
      <c r="AA61" s="1204">
        <v>1</v>
      </c>
      <c r="AE61" s="1159"/>
      <c r="AF61" s="1160"/>
      <c r="AG61" s="1160"/>
      <c r="AH61" s="1155" t="s">
        <v>25</v>
      </c>
      <c r="AI61" s="1157"/>
      <c r="AJ61" s="1165" t="s">
        <v>662</v>
      </c>
    </row>
    <row r="62" spans="1:58" ht="88" customHeight="1" x14ac:dyDescent="0.2">
      <c r="C62" s="898" t="s">
        <v>1011</v>
      </c>
      <c r="D62" s="1940">
        <v>23</v>
      </c>
      <c r="E62" s="905" t="s">
        <v>77</v>
      </c>
      <c r="F62" s="366" t="s">
        <v>1708</v>
      </c>
      <c r="G62" s="1004" t="s">
        <v>540</v>
      </c>
      <c r="H62" s="649"/>
      <c r="I62" s="1058"/>
      <c r="J62" s="650"/>
      <c r="K62" s="230"/>
      <c r="L62" s="588">
        <v>2</v>
      </c>
      <c r="M62" s="587">
        <v>3</v>
      </c>
      <c r="N62" s="921" t="s">
        <v>3</v>
      </c>
      <c r="O62" s="1847" t="s">
        <v>1418</v>
      </c>
      <c r="P62" s="346">
        <f>Test_Bible!P136</f>
        <v>2</v>
      </c>
      <c r="Q62" s="346">
        <f>Test_Bible!Q136</f>
        <v>4</v>
      </c>
      <c r="R62" s="346" t="s">
        <v>1902</v>
      </c>
      <c r="S62" s="350">
        <v>1</v>
      </c>
      <c r="T62" s="352">
        <v>0</v>
      </c>
      <c r="U62" s="353">
        <v>0</v>
      </c>
      <c r="V62" s="711" t="s">
        <v>44</v>
      </c>
      <c r="W62" s="461"/>
      <c r="X62" s="461"/>
      <c r="Y62" s="448"/>
      <c r="Z62" s="462"/>
      <c r="AA62" s="1204">
        <v>1</v>
      </c>
    </row>
    <row r="63" spans="1:58" ht="68" customHeight="1" x14ac:dyDescent="0.2">
      <c r="D63" s="1940">
        <v>7</v>
      </c>
      <c r="E63" s="1455" t="s">
        <v>1257</v>
      </c>
      <c r="F63" s="1941" t="s">
        <v>1694</v>
      </c>
      <c r="G63" s="1008" t="s">
        <v>1046</v>
      </c>
      <c r="H63" s="230"/>
      <c r="I63" s="1058"/>
      <c r="J63" s="650"/>
      <c r="K63" s="230"/>
      <c r="L63" s="580">
        <v>1</v>
      </c>
      <c r="M63" s="580"/>
      <c r="N63" s="921" t="s">
        <v>1527</v>
      </c>
      <c r="O63" s="1847" t="s">
        <v>1529</v>
      </c>
      <c r="P63" s="346">
        <f>Test_Bible!P137</f>
        <v>4</v>
      </c>
      <c r="Q63" s="346">
        <f>Test_Bible!Q137</f>
        <v>4</v>
      </c>
      <c r="R63" s="346" t="s">
        <v>1903</v>
      </c>
      <c r="S63" s="350">
        <v>0</v>
      </c>
      <c r="T63" s="352">
        <v>0</v>
      </c>
      <c r="U63" s="353">
        <v>0</v>
      </c>
      <c r="V63" s="712" t="s">
        <v>65</v>
      </c>
      <c r="W63" s="461"/>
      <c r="X63" s="461"/>
      <c r="Y63" s="449"/>
      <c r="Z63" s="462"/>
      <c r="AA63" s="1204"/>
      <c r="AB63" s="1204">
        <v>1</v>
      </c>
      <c r="AE63" s="1159" t="s">
        <v>24</v>
      </c>
      <c r="AF63" s="288" t="s">
        <v>607</v>
      </c>
      <c r="AG63" s="1149"/>
    </row>
    <row r="64" spans="1:58" ht="96" customHeight="1" x14ac:dyDescent="0.2">
      <c r="D64" s="1940">
        <v>8</v>
      </c>
      <c r="E64" s="905" t="s">
        <v>78</v>
      </c>
      <c r="F64" s="1941" t="s">
        <v>1695</v>
      </c>
      <c r="G64" s="1008" t="s">
        <v>1047</v>
      </c>
      <c r="H64" s="651"/>
      <c r="I64" s="1059"/>
      <c r="J64" s="652"/>
      <c r="K64" s="230"/>
      <c r="L64" s="580">
        <v>1</v>
      </c>
      <c r="M64" s="580"/>
      <c r="N64" s="921" t="s">
        <v>1527</v>
      </c>
      <c r="O64" s="1847" t="s">
        <v>1529</v>
      </c>
      <c r="P64" s="346">
        <f>Test_Bible!P138</f>
        <v>2</v>
      </c>
      <c r="Q64" s="346">
        <f>Test_Bible!Q138</f>
        <v>2</v>
      </c>
      <c r="R64" s="346" t="s">
        <v>1904</v>
      </c>
      <c r="S64" s="351">
        <v>0</v>
      </c>
      <c r="T64" s="352">
        <v>1</v>
      </c>
      <c r="U64" s="353">
        <v>0</v>
      </c>
      <c r="V64" s="712" t="s">
        <v>65</v>
      </c>
      <c r="W64" s="461"/>
      <c r="X64" s="461"/>
      <c r="Y64" s="448"/>
      <c r="Z64" s="462"/>
      <c r="AB64" s="1204">
        <v>1</v>
      </c>
      <c r="AE64" s="1159"/>
      <c r="AG64" s="1149"/>
    </row>
    <row r="65" spans="1:98" ht="90" customHeight="1" x14ac:dyDescent="0.2">
      <c r="D65" s="1940">
        <v>10</v>
      </c>
      <c r="E65" s="905" t="s">
        <v>79</v>
      </c>
      <c r="F65" s="366" t="s">
        <v>1697</v>
      </c>
      <c r="G65" s="1008" t="s">
        <v>1048</v>
      </c>
      <c r="H65" s="253"/>
      <c r="I65" s="1056"/>
      <c r="J65" s="211" t="s">
        <v>68</v>
      </c>
      <c r="K65" s="226"/>
      <c r="L65" s="588">
        <v>2</v>
      </c>
      <c r="M65" s="588"/>
      <c r="N65" s="921" t="s">
        <v>43</v>
      </c>
      <c r="O65" s="1847" t="s">
        <v>1419</v>
      </c>
      <c r="P65" s="346">
        <f>Test_Bible!P139</f>
        <v>1</v>
      </c>
      <c r="Q65" s="346">
        <f>Test_Bible!Q139</f>
        <v>2</v>
      </c>
      <c r="R65" s="346" t="s">
        <v>1905</v>
      </c>
      <c r="S65" s="351">
        <v>1</v>
      </c>
      <c r="T65" s="374">
        <v>0</v>
      </c>
      <c r="U65" s="375">
        <v>0</v>
      </c>
      <c r="V65" s="712" t="s">
        <v>65</v>
      </c>
      <c r="W65" s="461"/>
      <c r="X65" s="461"/>
      <c r="Y65" s="448"/>
      <c r="Z65" s="462"/>
      <c r="AB65" s="1204">
        <v>1</v>
      </c>
      <c r="AE65" s="1159" t="s">
        <v>68</v>
      </c>
      <c r="AF65" s="1160"/>
      <c r="AG65" s="1160"/>
      <c r="AH65" s="1159" t="s">
        <v>68</v>
      </c>
      <c r="AI65" s="1161"/>
      <c r="AJ65" s="1162"/>
    </row>
    <row r="66" spans="1:98" s="7" customFormat="1" ht="52" customHeight="1" x14ac:dyDescent="0.25">
      <c r="D66" s="1940">
        <v>14</v>
      </c>
      <c r="E66" s="904" t="s">
        <v>80</v>
      </c>
      <c r="F66" s="366" t="s">
        <v>1701</v>
      </c>
      <c r="G66" s="1007" t="s">
        <v>1049</v>
      </c>
      <c r="H66" s="255"/>
      <c r="I66" s="1060"/>
      <c r="J66" s="213"/>
      <c r="K66" s="227">
        <v>4</v>
      </c>
      <c r="L66" s="588">
        <v>2</v>
      </c>
      <c r="M66" s="588"/>
      <c r="N66" s="921" t="s">
        <v>3</v>
      </c>
      <c r="O66" s="1847" t="s">
        <v>1418</v>
      </c>
      <c r="P66" s="346">
        <f>Test_Bible!P140</f>
        <v>4</v>
      </c>
      <c r="Q66" s="346">
        <f>Test_Bible!Q140</f>
        <v>8</v>
      </c>
      <c r="R66" s="346" t="s">
        <v>1918</v>
      </c>
      <c r="S66" s="354">
        <v>1</v>
      </c>
      <c r="T66" s="374">
        <v>0</v>
      </c>
      <c r="U66" s="375">
        <v>0</v>
      </c>
      <c r="V66" s="713" t="s">
        <v>65</v>
      </c>
      <c r="W66" s="461"/>
      <c r="X66" s="461"/>
      <c r="Y66" s="448"/>
      <c r="Z66" s="462"/>
      <c r="AA66" s="56"/>
      <c r="AB66" s="1204">
        <v>1</v>
      </c>
      <c r="AC66" s="56"/>
      <c r="AD66" s="56"/>
      <c r="AE66" s="1155" t="s">
        <v>24</v>
      </c>
      <c r="AF66" s="1156"/>
      <c r="AG66" s="1156"/>
      <c r="AH66" s="541" t="s">
        <v>25</v>
      </c>
      <c r="AI66" s="1157"/>
      <c r="AJ66" s="1158"/>
    </row>
    <row r="67" spans="1:98" s="7" customFormat="1" ht="120" customHeight="1" x14ac:dyDescent="0.2">
      <c r="B67" s="123" t="s">
        <v>880</v>
      </c>
      <c r="D67" s="1940">
        <v>15</v>
      </c>
      <c r="E67" s="906" t="s">
        <v>81</v>
      </c>
      <c r="F67" s="299" t="s">
        <v>440</v>
      </c>
      <c r="G67" s="771" t="s">
        <v>440</v>
      </c>
      <c r="H67" s="256" t="s">
        <v>1497</v>
      </c>
      <c r="I67" s="1061"/>
      <c r="J67" s="248"/>
      <c r="K67" s="231"/>
      <c r="L67" s="588"/>
      <c r="M67" s="588"/>
      <c r="N67" s="918" t="s">
        <v>66</v>
      </c>
      <c r="O67" s="297"/>
      <c r="P67" s="348"/>
      <c r="Q67" s="348"/>
      <c r="R67" s="348"/>
      <c r="S67" s="350" t="s">
        <v>34</v>
      </c>
      <c r="T67" s="374" t="s">
        <v>34</v>
      </c>
      <c r="U67" s="377" t="s">
        <v>34</v>
      </c>
      <c r="V67" s="713" t="s">
        <v>65</v>
      </c>
      <c r="W67" s="461"/>
      <c r="X67" s="461"/>
      <c r="Y67" s="449"/>
      <c r="Z67" s="462"/>
      <c r="AA67" s="56"/>
      <c r="AB67" s="1204">
        <v>1</v>
      </c>
      <c r="AC67" s="56"/>
      <c r="AD67" s="56"/>
      <c r="AE67" s="1155" t="s">
        <v>24</v>
      </c>
      <c r="AF67" s="1164" t="s">
        <v>671</v>
      </c>
      <c r="AG67" s="1164"/>
      <c r="AH67" s="541" t="s">
        <v>25</v>
      </c>
      <c r="AI67" s="1161"/>
      <c r="AJ67" s="1162"/>
    </row>
    <row r="68" spans="1:98" ht="101" customHeight="1" x14ac:dyDescent="0.2">
      <c r="D68" s="1940">
        <v>13</v>
      </c>
      <c r="E68" s="904" t="s">
        <v>83</v>
      </c>
      <c r="F68" s="366" t="s">
        <v>1700</v>
      </c>
      <c r="G68" s="545" t="s">
        <v>1050</v>
      </c>
      <c r="H68" s="253"/>
      <c r="I68" s="1056"/>
      <c r="J68" s="211" t="s">
        <v>68</v>
      </c>
      <c r="K68" s="226"/>
      <c r="L68" s="588">
        <v>2</v>
      </c>
      <c r="M68" s="588"/>
      <c r="N68" s="921" t="s">
        <v>3</v>
      </c>
      <c r="O68" s="1847" t="s">
        <v>1418</v>
      </c>
      <c r="P68" s="346">
        <f>Test_Bible!P149</f>
        <v>4</v>
      </c>
      <c r="Q68" s="346">
        <f>Test_Bible!Q149</f>
        <v>8</v>
      </c>
      <c r="R68" s="346" t="s">
        <v>1919</v>
      </c>
      <c r="S68" s="350">
        <v>1</v>
      </c>
      <c r="T68" s="374">
        <v>0</v>
      </c>
      <c r="U68" s="375">
        <v>0</v>
      </c>
      <c r="V68" s="714" t="s">
        <v>84</v>
      </c>
      <c r="W68" s="461"/>
      <c r="X68" s="461"/>
      <c r="Y68" s="448"/>
      <c r="Z68" s="462"/>
      <c r="AC68" s="1204">
        <v>1</v>
      </c>
      <c r="AE68" s="1159" t="s">
        <v>68</v>
      </c>
      <c r="AF68" s="1160"/>
      <c r="AG68" s="1160"/>
      <c r="AH68" s="541" t="s">
        <v>25</v>
      </c>
      <c r="AI68" s="1161"/>
      <c r="AJ68" s="1166" t="s">
        <v>688</v>
      </c>
    </row>
    <row r="69" spans="1:98" ht="66" customHeight="1" x14ac:dyDescent="0.2">
      <c r="C69" s="898" t="s">
        <v>1009</v>
      </c>
      <c r="D69" s="1940">
        <v>20</v>
      </c>
      <c r="E69" s="904" t="s">
        <v>85</v>
      </c>
      <c r="F69" s="366" t="s">
        <v>1705</v>
      </c>
      <c r="G69" s="545" t="s">
        <v>1051</v>
      </c>
      <c r="H69" s="253"/>
      <c r="I69" s="1056"/>
      <c r="J69" s="211" t="s">
        <v>68</v>
      </c>
      <c r="K69" s="226"/>
      <c r="L69" s="588">
        <v>2</v>
      </c>
      <c r="M69" s="587">
        <v>3</v>
      </c>
      <c r="N69" s="921" t="s">
        <v>6</v>
      </c>
      <c r="O69" s="1847" t="s">
        <v>929</v>
      </c>
      <c r="P69" s="346">
        <f>Test_Bible!P150</f>
        <v>2</v>
      </c>
      <c r="Q69" s="346">
        <f>Test_Bible!Q150</f>
        <v>6</v>
      </c>
      <c r="R69" s="346" t="s">
        <v>1920</v>
      </c>
      <c r="S69" s="350">
        <v>1</v>
      </c>
      <c r="T69" s="374">
        <v>0</v>
      </c>
      <c r="U69" s="375">
        <v>0</v>
      </c>
      <c r="V69" s="714" t="s">
        <v>84</v>
      </c>
      <c r="W69" s="461"/>
      <c r="X69" s="461"/>
      <c r="Y69" s="448"/>
      <c r="Z69" s="462"/>
      <c r="AC69" s="1204">
        <v>1</v>
      </c>
      <c r="AE69" s="1159" t="s">
        <v>68</v>
      </c>
      <c r="AF69" s="1160"/>
      <c r="AG69" s="1160"/>
      <c r="AH69" s="541" t="s">
        <v>25</v>
      </c>
      <c r="AI69" s="1161"/>
      <c r="AJ69" s="1166" t="s">
        <v>688</v>
      </c>
    </row>
    <row r="70" spans="1:98" ht="66" customHeight="1" x14ac:dyDescent="0.2">
      <c r="C70" s="898" t="s">
        <v>1010</v>
      </c>
      <c r="D70" s="1940">
        <v>21</v>
      </c>
      <c r="E70" s="904" t="s">
        <v>709</v>
      </c>
      <c r="F70" s="366" t="s">
        <v>1706</v>
      </c>
      <c r="G70" s="545" t="s">
        <v>1052</v>
      </c>
      <c r="H70" s="253"/>
      <c r="I70" s="1056"/>
      <c r="J70" s="211"/>
      <c r="K70" s="226">
        <v>2</v>
      </c>
      <c r="L70" s="588">
        <v>2</v>
      </c>
      <c r="M70" s="587">
        <v>3</v>
      </c>
      <c r="N70" s="921" t="s">
        <v>6</v>
      </c>
      <c r="O70" s="1847" t="s">
        <v>929</v>
      </c>
      <c r="P70" s="346">
        <f>Test_Bible!P151</f>
        <v>1</v>
      </c>
      <c r="Q70" s="346">
        <f>Test_Bible!Q151</f>
        <v>3</v>
      </c>
      <c r="R70" s="346" t="s">
        <v>1921</v>
      </c>
      <c r="S70" s="350">
        <v>1</v>
      </c>
      <c r="T70" s="374">
        <v>0</v>
      </c>
      <c r="U70" s="375">
        <v>0</v>
      </c>
      <c r="V70" s="714" t="s">
        <v>84</v>
      </c>
      <c r="W70" s="461"/>
      <c r="X70" s="461"/>
      <c r="Y70" s="448"/>
      <c r="Z70" s="462"/>
      <c r="AC70" s="1204">
        <v>1</v>
      </c>
      <c r="AE70" s="541"/>
      <c r="AF70" s="1149"/>
      <c r="AG70" s="1149"/>
      <c r="AH70" s="541" t="s">
        <v>25</v>
      </c>
      <c r="AI70" s="1161"/>
      <c r="AJ70" s="1166" t="s">
        <v>688</v>
      </c>
    </row>
    <row r="71" spans="1:98" ht="57" customHeight="1" x14ac:dyDescent="0.2">
      <c r="B71" s="123" t="s">
        <v>881</v>
      </c>
      <c r="D71" s="1940">
        <v>22</v>
      </c>
      <c r="E71" s="906" t="s">
        <v>86</v>
      </c>
      <c r="F71" s="299" t="s">
        <v>1707</v>
      </c>
      <c r="G71" s="521" t="s">
        <v>1053</v>
      </c>
      <c r="H71" s="257"/>
      <c r="I71" s="1062"/>
      <c r="J71" s="249"/>
      <c r="K71" s="232"/>
      <c r="L71" s="646"/>
      <c r="M71" s="646"/>
      <c r="N71" s="921" t="s">
        <v>46</v>
      </c>
      <c r="O71" s="1847"/>
      <c r="P71" s="346"/>
      <c r="Q71" s="346"/>
      <c r="R71" s="346"/>
      <c r="S71" s="350" t="s">
        <v>34</v>
      </c>
      <c r="T71" s="374" t="s">
        <v>34</v>
      </c>
      <c r="U71" s="377" t="s">
        <v>34</v>
      </c>
      <c r="V71" s="714" t="s">
        <v>84</v>
      </c>
      <c r="W71" s="461"/>
      <c r="X71" s="461"/>
      <c r="Y71" s="448"/>
      <c r="Z71" s="462"/>
      <c r="AC71" s="1204">
        <v>1</v>
      </c>
      <c r="AE71" s="541"/>
      <c r="AF71" s="1164"/>
      <c r="AG71" s="1164"/>
      <c r="AH71" s="1155" t="s">
        <v>25</v>
      </c>
      <c r="AI71" s="1161"/>
      <c r="AJ71" s="1166" t="s">
        <v>688</v>
      </c>
    </row>
    <row r="72" spans="1:98" s="7" customFormat="1" ht="57" customHeight="1" x14ac:dyDescent="0.2">
      <c r="D72" s="1940">
        <v>5</v>
      </c>
      <c r="E72" s="901" t="s">
        <v>87</v>
      </c>
      <c r="F72" s="366" t="s">
        <v>1692</v>
      </c>
      <c r="G72" s="522" t="s">
        <v>1054</v>
      </c>
      <c r="H72" s="252"/>
      <c r="I72" s="1063"/>
      <c r="J72" s="213"/>
      <c r="K72" s="227">
        <v>4</v>
      </c>
      <c r="L72" s="589">
        <v>1</v>
      </c>
      <c r="M72" s="589"/>
      <c r="N72" s="921" t="s">
        <v>1527</v>
      </c>
      <c r="O72" s="1847" t="s">
        <v>1529</v>
      </c>
      <c r="P72" s="346">
        <f>Test_Bible!P154</f>
        <v>1</v>
      </c>
      <c r="Q72" s="346">
        <f>Test_Bible!Q154</f>
        <v>1</v>
      </c>
      <c r="R72" s="346" t="s">
        <v>1922</v>
      </c>
      <c r="S72" s="351">
        <v>0</v>
      </c>
      <c r="T72" s="352">
        <v>1</v>
      </c>
      <c r="U72" s="353">
        <v>0</v>
      </c>
      <c r="V72" s="714" t="s">
        <v>84</v>
      </c>
      <c r="W72" s="461"/>
      <c r="X72" s="461"/>
      <c r="Y72" s="448"/>
      <c r="Z72" s="462"/>
      <c r="AA72" s="56"/>
      <c r="AB72" s="56"/>
      <c r="AC72" s="1204">
        <v>1</v>
      </c>
      <c r="AD72" s="56"/>
      <c r="AE72" s="1146"/>
      <c r="AF72" s="1147"/>
      <c r="AG72" s="1147"/>
      <c r="AH72" s="1146"/>
      <c r="AI72" s="993"/>
      <c r="AJ72" s="1166" t="s">
        <v>688</v>
      </c>
    </row>
    <row r="73" spans="1:98" s="7" customFormat="1" ht="52" customHeight="1" x14ac:dyDescent="0.2">
      <c r="B73" s="123" t="s">
        <v>882</v>
      </c>
      <c r="D73" s="1940">
        <v>6</v>
      </c>
      <c r="E73" s="907" t="s">
        <v>89</v>
      </c>
      <c r="F73" s="299" t="s">
        <v>1693</v>
      </c>
      <c r="G73" s="544" t="s">
        <v>1055</v>
      </c>
      <c r="H73" s="385"/>
      <c r="I73" s="1064"/>
      <c r="J73" s="386"/>
      <c r="K73" s="387"/>
      <c r="L73" s="588">
        <v>2</v>
      </c>
      <c r="M73" s="588"/>
      <c r="N73" s="921" t="s">
        <v>3</v>
      </c>
      <c r="O73" s="1847" t="s">
        <v>1418</v>
      </c>
      <c r="P73" s="388">
        <f>Test_Bible!P155</f>
        <v>0</v>
      </c>
      <c r="Q73" s="388">
        <f>Test_Bible!Q155</f>
        <v>0</v>
      </c>
      <c r="R73" s="388" t="s">
        <v>1923</v>
      </c>
      <c r="S73" s="389">
        <v>0</v>
      </c>
      <c r="T73" s="390">
        <v>1</v>
      </c>
      <c r="U73" s="391">
        <v>0</v>
      </c>
      <c r="V73" s="715" t="s">
        <v>84</v>
      </c>
      <c r="W73" s="461"/>
      <c r="X73" s="461"/>
      <c r="Y73" s="449"/>
      <c r="Z73" s="462"/>
      <c r="AA73" s="56"/>
      <c r="AB73" s="56"/>
      <c r="AC73" s="1204">
        <v>1</v>
      </c>
      <c r="AD73" s="56"/>
      <c r="AE73" s="541" t="s">
        <v>24</v>
      </c>
      <c r="AF73" s="1142"/>
      <c r="AG73" s="1142"/>
      <c r="AH73" s="541" t="s">
        <v>25</v>
      </c>
      <c r="AI73" s="993"/>
      <c r="AJ73" s="1167" t="s">
        <v>688</v>
      </c>
    </row>
    <row r="74" spans="1:98" s="7" customFormat="1" ht="76" customHeight="1" x14ac:dyDescent="0.2">
      <c r="A74" s="769" t="s">
        <v>872</v>
      </c>
      <c r="B74" s="1996"/>
      <c r="D74" s="1940">
        <v>24</v>
      </c>
      <c r="E74" s="908" t="s">
        <v>199</v>
      </c>
      <c r="F74" s="366" t="s">
        <v>1709</v>
      </c>
      <c r="G74" s="365" t="s">
        <v>1056</v>
      </c>
      <c r="H74" s="570"/>
      <c r="I74" s="570"/>
      <c r="J74" s="571"/>
      <c r="K74" s="571"/>
      <c r="L74" s="1513">
        <v>1</v>
      </c>
      <c r="M74" s="1903"/>
      <c r="N74" s="1960" t="s">
        <v>3</v>
      </c>
      <c r="O74" s="1847" t="s">
        <v>1418</v>
      </c>
      <c r="P74" s="388">
        <f>Test_Bible!P156</f>
        <v>1</v>
      </c>
      <c r="Q74" s="388">
        <f>Test_Bible!Q156</f>
        <v>1</v>
      </c>
      <c r="R74" s="388"/>
      <c r="S74" s="350" t="s">
        <v>34</v>
      </c>
      <c r="T74" s="374" t="s">
        <v>34</v>
      </c>
      <c r="U74" s="377" t="s">
        <v>34</v>
      </c>
      <c r="V74" s="566" t="s">
        <v>1277</v>
      </c>
      <c r="W74" s="8"/>
      <c r="X74" s="8"/>
      <c r="Y74" s="448"/>
      <c r="Z74" s="1009"/>
      <c r="AA74" s="56"/>
      <c r="AB74" s="56"/>
      <c r="AC74" s="56"/>
      <c r="AD74" s="56"/>
      <c r="AE74" s="569"/>
      <c r="AF74" s="1147"/>
      <c r="AG74" s="1147"/>
      <c r="AH74" s="541" t="s">
        <v>25</v>
      </c>
      <c r="AI74" s="993"/>
      <c r="AJ74" s="2193" t="s">
        <v>689</v>
      </c>
    </row>
    <row r="75" spans="1:98" s="7" customFormat="1" ht="35" thickBot="1" x14ac:dyDescent="0.25">
      <c r="A75" s="769" t="s">
        <v>872</v>
      </c>
      <c r="B75" s="1996"/>
      <c r="D75" s="1940">
        <v>25</v>
      </c>
      <c r="E75" s="908" t="s">
        <v>200</v>
      </c>
      <c r="F75" s="366" t="s">
        <v>1710</v>
      </c>
      <c r="G75" s="365" t="s">
        <v>1057</v>
      </c>
      <c r="H75" s="570"/>
      <c r="I75" s="570"/>
      <c r="J75" s="571"/>
      <c r="K75" s="571"/>
      <c r="L75" s="1513">
        <v>1</v>
      </c>
      <c r="M75" s="1903"/>
      <c r="N75" s="1961" t="s">
        <v>3</v>
      </c>
      <c r="O75" s="1847" t="s">
        <v>1418</v>
      </c>
      <c r="P75" s="388">
        <f>Test_Bible!P157</f>
        <v>1</v>
      </c>
      <c r="Q75" s="388">
        <f>Test_Bible!Q157</f>
        <v>1</v>
      </c>
      <c r="R75" s="388"/>
      <c r="S75" s="350" t="s">
        <v>34</v>
      </c>
      <c r="T75" s="374" t="s">
        <v>34</v>
      </c>
      <c r="U75" s="377" t="s">
        <v>34</v>
      </c>
      <c r="V75" s="566" t="s">
        <v>1277</v>
      </c>
      <c r="W75" s="8"/>
      <c r="X75" s="8"/>
      <c r="Y75" s="458"/>
      <c r="Z75" s="1009"/>
      <c r="AA75" s="56"/>
      <c r="AB75" s="56"/>
      <c r="AC75" s="56"/>
      <c r="AD75" s="56"/>
      <c r="AE75" s="569"/>
      <c r="AF75" s="1147"/>
      <c r="AG75" s="1147"/>
      <c r="AH75" s="541" t="s">
        <v>25</v>
      </c>
      <c r="AI75" s="993"/>
      <c r="AJ75" s="2193"/>
    </row>
    <row r="76" spans="1:98" s="131" customFormat="1" ht="37" customHeight="1" x14ac:dyDescent="0.2">
      <c r="A76" s="7"/>
      <c r="B76" s="7"/>
      <c r="C76" s="7"/>
      <c r="D76" s="1106"/>
      <c r="E76" s="1107"/>
      <c r="F76" s="1108"/>
      <c r="G76" s="1109"/>
      <c r="H76" s="1110"/>
      <c r="I76" s="1110"/>
      <c r="J76" s="1111"/>
      <c r="K76" s="1111"/>
      <c r="L76" s="1111"/>
      <c r="M76" s="1111"/>
      <c r="N76" s="1112"/>
      <c r="O76" s="1837"/>
      <c r="P76" s="1112"/>
      <c r="Q76" s="1113">
        <f>SUM(Q51:Q75)</f>
        <v>89</v>
      </c>
      <c r="R76" s="1113"/>
      <c r="S76" s="1114" t="s">
        <v>29</v>
      </c>
      <c r="T76" s="1115" t="s">
        <v>30</v>
      </c>
      <c r="U76" s="1115" t="s">
        <v>31</v>
      </c>
      <c r="V76" s="1116"/>
      <c r="W76" s="8"/>
      <c r="X76" s="8"/>
      <c r="Y76" s="458"/>
      <c r="Z76" s="462"/>
      <c r="AA76" s="56"/>
      <c r="AB76" s="56"/>
      <c r="AC76" s="56"/>
      <c r="AD76" s="56"/>
      <c r="AE76" s="1168"/>
      <c r="AF76" s="1169"/>
      <c r="AG76" s="1170"/>
      <c r="AH76" s="1171"/>
      <c r="AI76" s="1172"/>
      <c r="AJ76" s="1173"/>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row>
    <row r="77" spans="1:98" s="131" customFormat="1" ht="37" customHeight="1" x14ac:dyDescent="0.2">
      <c r="A77" s="7"/>
      <c r="B77" s="7"/>
      <c r="C77" s="7"/>
      <c r="D77" s="365"/>
      <c r="E77" s="365"/>
      <c r="F77" s="1117"/>
      <c r="G77" s="1118"/>
      <c r="H77" s="1119"/>
      <c r="I77" s="1119"/>
      <c r="J77" s="1120"/>
      <c r="K77" s="1120"/>
      <c r="L77" s="1120"/>
      <c r="M77" s="1120"/>
      <c r="N77" s="1121"/>
      <c r="O77" s="1838"/>
      <c r="P77" s="1121"/>
      <c r="Q77" s="1122"/>
      <c r="R77" s="1122"/>
      <c r="S77" s="1123"/>
      <c r="T77" s="1124"/>
      <c r="U77" s="1124"/>
      <c r="V77" s="367"/>
      <c r="W77" s="8"/>
      <c r="X77" s="8"/>
      <c r="Y77" s="458"/>
      <c r="Z77" s="462"/>
      <c r="AA77" s="56"/>
      <c r="AB77" s="56"/>
      <c r="AC77" s="56"/>
      <c r="AD77" s="56"/>
      <c r="AE77" s="1168"/>
      <c r="AF77" s="1169"/>
      <c r="AG77" s="1170"/>
      <c r="AH77" s="1171"/>
      <c r="AI77" s="1172"/>
      <c r="AJ77" s="1173"/>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row>
    <row r="78" spans="1:98" ht="21" x14ac:dyDescent="0.2">
      <c r="D78" s="359"/>
      <c r="E78" s="359"/>
      <c r="F78" s="360"/>
      <c r="G78" s="359"/>
      <c r="H78" s="360"/>
      <c r="I78" s="360"/>
      <c r="J78" s="359"/>
      <c r="K78" s="359"/>
      <c r="L78" s="359"/>
      <c r="M78" s="359"/>
      <c r="N78" s="361"/>
      <c r="O78" s="1835"/>
      <c r="P78" s="361"/>
      <c r="Q78" s="361"/>
      <c r="R78" s="361"/>
      <c r="S78" s="398"/>
      <c r="T78" s="399"/>
      <c r="U78" s="399"/>
      <c r="V78" s="364"/>
      <c r="W78" s="457"/>
      <c r="X78" s="461"/>
      <c r="Y78" s="57"/>
      <c r="Z78" s="1010"/>
      <c r="AE78" s="1151"/>
      <c r="AF78" s="1152"/>
      <c r="AH78" s="541"/>
      <c r="AJ78" s="541"/>
    </row>
    <row r="79" spans="1:98" ht="47" customHeight="1" x14ac:dyDescent="0.2">
      <c r="D79" s="392" t="s">
        <v>90</v>
      </c>
      <c r="E79" s="574"/>
      <c r="F79" s="574"/>
      <c r="G79" s="574"/>
      <c r="H79" s="574"/>
      <c r="I79" s="574"/>
      <c r="J79" s="574"/>
      <c r="K79" s="574"/>
      <c r="L79" s="574"/>
      <c r="M79" s="574"/>
      <c r="N79" s="574"/>
      <c r="O79" s="574"/>
      <c r="P79" s="574"/>
      <c r="Q79" s="574"/>
      <c r="R79" s="574"/>
      <c r="S79" s="574"/>
      <c r="T79" s="574"/>
      <c r="U79" s="574"/>
      <c r="V79" s="574"/>
      <c r="W79" s="457"/>
      <c r="X79" s="461"/>
      <c r="Y79" s="57"/>
      <c r="Z79" s="1010"/>
      <c r="AE79" s="541"/>
      <c r="AH79" s="541"/>
      <c r="AJ79" s="541"/>
    </row>
    <row r="80" spans="1:98" ht="73" customHeight="1" thickBot="1" x14ac:dyDescent="0.25">
      <c r="A80" s="199" t="s">
        <v>1523</v>
      </c>
      <c r="D80" s="392">
        <v>4</v>
      </c>
      <c r="E80" s="141" t="s">
        <v>976</v>
      </c>
      <c r="F80" s="574" t="s">
        <v>1762</v>
      </c>
      <c r="G80" s="574" t="s">
        <v>1058</v>
      </c>
      <c r="H80" s="574"/>
      <c r="I80" s="574"/>
      <c r="J80" s="574"/>
      <c r="K80" s="234"/>
      <c r="L80" s="919">
        <v>1</v>
      </c>
      <c r="M80" s="1962"/>
      <c r="N80" s="1963" t="s">
        <v>43</v>
      </c>
      <c r="O80" s="1847" t="s">
        <v>1419</v>
      </c>
      <c r="P80" s="1893">
        <f>Test_Bible!P163</f>
        <v>2</v>
      </c>
      <c r="Q80" s="1893">
        <f>Test_Bible!Q163</f>
        <v>2</v>
      </c>
      <c r="R80" s="357" t="s">
        <v>1898</v>
      </c>
      <c r="S80" s="350">
        <v>1</v>
      </c>
      <c r="T80" s="374">
        <v>0</v>
      </c>
      <c r="U80" s="377">
        <v>0</v>
      </c>
      <c r="V80" s="709" t="s">
        <v>69</v>
      </c>
      <c r="W80" s="457"/>
      <c r="X80" s="461"/>
      <c r="Y80" s="57">
        <v>1</v>
      </c>
      <c r="Z80" s="1010"/>
      <c r="AE80" s="541"/>
      <c r="AH80" s="541"/>
      <c r="AJ80" s="541"/>
    </row>
    <row r="81" spans="1:36" s="7" customFormat="1" ht="52" customHeight="1" x14ac:dyDescent="0.2">
      <c r="D81" s="392">
        <v>7</v>
      </c>
      <c r="E81" s="141" t="s">
        <v>91</v>
      </c>
      <c r="F81" s="574" t="s">
        <v>1763</v>
      </c>
      <c r="G81" s="574" t="s">
        <v>1059</v>
      </c>
      <c r="H81" s="393"/>
      <c r="I81" s="1065"/>
      <c r="J81" s="394" t="s">
        <v>1630</v>
      </c>
      <c r="K81" s="395"/>
      <c r="L81" s="609">
        <v>1</v>
      </c>
      <c r="M81" s="1962"/>
      <c r="N81" s="1964" t="s">
        <v>54</v>
      </c>
      <c r="O81" s="911" t="s">
        <v>1480</v>
      </c>
      <c r="P81" s="396">
        <f>Test_Bible!P165</f>
        <v>7</v>
      </c>
      <c r="Q81" s="396">
        <f>Test_Bible!Q165</f>
        <v>7</v>
      </c>
      <c r="R81" s="2058"/>
      <c r="S81" s="350" t="s">
        <v>34</v>
      </c>
      <c r="T81" s="374" t="s">
        <v>34</v>
      </c>
      <c r="U81" s="377" t="s">
        <v>34</v>
      </c>
      <c r="V81" s="754" t="s">
        <v>55</v>
      </c>
      <c r="W81" s="8"/>
      <c r="X81" s="461"/>
      <c r="Y81" s="8"/>
      <c r="Z81" s="462"/>
      <c r="AA81" s="56"/>
      <c r="AB81" s="56"/>
      <c r="AC81" s="56"/>
      <c r="AD81" s="56"/>
      <c r="AE81" s="1146"/>
      <c r="AF81" s="1147"/>
      <c r="AG81" s="1147"/>
      <c r="AH81" s="1146"/>
      <c r="AI81" s="993"/>
      <c r="AJ81" s="995"/>
    </row>
    <row r="82" spans="1:36" ht="51" customHeight="1" x14ac:dyDescent="0.2">
      <c r="D82" s="392">
        <v>8</v>
      </c>
      <c r="E82" s="141" t="s">
        <v>92</v>
      </c>
      <c r="F82" s="574" t="s">
        <v>1764</v>
      </c>
      <c r="G82" s="574" t="s">
        <v>1060</v>
      </c>
      <c r="H82" s="259"/>
      <c r="I82" s="1066"/>
      <c r="J82" s="394" t="s">
        <v>1630</v>
      </c>
      <c r="K82" s="225">
        <v>6</v>
      </c>
      <c r="L82" s="610">
        <v>1</v>
      </c>
      <c r="M82" s="1965"/>
      <c r="N82" s="1966" t="s">
        <v>54</v>
      </c>
      <c r="O82" s="911" t="s">
        <v>1480</v>
      </c>
      <c r="P82" s="341">
        <f>Test_Bible!P166</f>
        <v>5</v>
      </c>
      <c r="Q82" s="341">
        <f>Test_Bible!Q166</f>
        <v>5</v>
      </c>
      <c r="R82" s="340"/>
      <c r="S82" s="350" t="s">
        <v>34</v>
      </c>
      <c r="T82" s="374" t="s">
        <v>34</v>
      </c>
      <c r="U82" s="377" t="s">
        <v>34</v>
      </c>
      <c r="V82" s="718" t="s">
        <v>55</v>
      </c>
      <c r="W82" s="8"/>
      <c r="X82" s="461"/>
      <c r="Z82" s="463"/>
      <c r="AE82" s="541" t="s">
        <v>24</v>
      </c>
      <c r="AF82" s="1149" t="s">
        <v>619</v>
      </c>
      <c r="AG82" s="1149"/>
      <c r="AH82" s="541" t="s">
        <v>25</v>
      </c>
      <c r="AI82" s="993"/>
      <c r="AJ82" s="994" t="s">
        <v>690</v>
      </c>
    </row>
    <row r="83" spans="1:36" ht="54" customHeight="1" x14ac:dyDescent="0.2">
      <c r="B83" s="123" t="s">
        <v>883</v>
      </c>
      <c r="D83" s="392">
        <v>9</v>
      </c>
      <c r="E83" s="142" t="s">
        <v>93</v>
      </c>
      <c r="F83" s="299" t="s">
        <v>543</v>
      </c>
      <c r="G83" s="299" t="s">
        <v>1061</v>
      </c>
      <c r="H83" s="254"/>
      <c r="I83" s="1067"/>
      <c r="J83" s="123"/>
      <c r="K83" s="224"/>
      <c r="L83" s="610">
        <v>1</v>
      </c>
      <c r="M83" s="1965"/>
      <c r="N83" s="1967" t="s">
        <v>19</v>
      </c>
      <c r="O83" s="1832"/>
      <c r="P83" s="334"/>
      <c r="Q83" s="334"/>
      <c r="R83" s="334"/>
      <c r="S83" s="350" t="s">
        <v>34</v>
      </c>
      <c r="T83" s="374" t="s">
        <v>34</v>
      </c>
      <c r="U83" s="377" t="s">
        <v>34</v>
      </c>
      <c r="V83" s="718" t="s">
        <v>55</v>
      </c>
      <c r="W83" s="8"/>
      <c r="X83" s="461"/>
      <c r="Z83" s="463"/>
      <c r="AE83" s="541"/>
      <c r="AF83" s="1149"/>
      <c r="AG83" s="1149"/>
      <c r="AH83" s="541" t="s">
        <v>25</v>
      </c>
      <c r="AI83" s="288"/>
      <c r="AJ83" s="501" t="s">
        <v>691</v>
      </c>
    </row>
    <row r="84" spans="1:36" s="7" customFormat="1" ht="65" customHeight="1" x14ac:dyDescent="0.2">
      <c r="C84" s="898" t="s">
        <v>1011</v>
      </c>
      <c r="D84" s="392">
        <v>52</v>
      </c>
      <c r="E84" s="206" t="s">
        <v>95</v>
      </c>
      <c r="F84" s="574" t="s">
        <v>1765</v>
      </c>
      <c r="G84" s="574" t="s">
        <v>1062</v>
      </c>
      <c r="H84" s="259"/>
      <c r="I84" s="1066"/>
      <c r="J84" s="215"/>
      <c r="K84" s="234"/>
      <c r="L84" s="611">
        <v>2</v>
      </c>
      <c r="M84" s="1968">
        <v>3</v>
      </c>
      <c r="N84" s="921" t="s">
        <v>3</v>
      </c>
      <c r="O84" s="297" t="s">
        <v>1418</v>
      </c>
      <c r="P84" s="342">
        <f>Test_Bible!P170</f>
        <v>7</v>
      </c>
      <c r="Q84" s="342">
        <f>Test_Bible!Q170</f>
        <v>14</v>
      </c>
      <c r="R84" s="342" t="s">
        <v>391</v>
      </c>
      <c r="S84" s="351">
        <v>0</v>
      </c>
      <c r="T84" s="352">
        <v>0</v>
      </c>
      <c r="U84" s="353">
        <v>1</v>
      </c>
      <c r="V84" s="718" t="s">
        <v>55</v>
      </c>
      <c r="W84" s="6">
        <v>1</v>
      </c>
      <c r="X84" s="461"/>
      <c r="Y84" s="449"/>
      <c r="Z84" s="462"/>
      <c r="AA84" s="56"/>
      <c r="AB84" s="56"/>
      <c r="AC84" s="56"/>
      <c r="AD84" s="56"/>
      <c r="AE84" s="541" t="s">
        <v>24</v>
      </c>
      <c r="AF84" s="1149" t="s">
        <v>678</v>
      </c>
      <c r="AG84" s="1149"/>
      <c r="AH84" s="541" t="s">
        <v>25</v>
      </c>
      <c r="AI84" s="993"/>
      <c r="AJ84" s="994" t="s">
        <v>656</v>
      </c>
    </row>
    <row r="85" spans="1:36" s="7" customFormat="1" ht="68" customHeight="1" x14ac:dyDescent="0.2">
      <c r="D85" s="392">
        <v>56</v>
      </c>
      <c r="E85" s="206" t="s">
        <v>96</v>
      </c>
      <c r="F85" s="574" t="s">
        <v>1766</v>
      </c>
      <c r="G85" s="574" t="s">
        <v>1063</v>
      </c>
      <c r="H85" s="259"/>
      <c r="I85" s="1066"/>
      <c r="J85" s="215"/>
      <c r="K85" s="234">
        <v>4</v>
      </c>
      <c r="L85" s="612">
        <v>1</v>
      </c>
      <c r="M85" s="1969"/>
      <c r="N85" s="921" t="s">
        <v>7</v>
      </c>
      <c r="O85" s="297" t="s">
        <v>1544</v>
      </c>
      <c r="P85" s="342">
        <f>Test_Bible!P171</f>
        <v>1</v>
      </c>
      <c r="Q85" s="342">
        <f>Test_Bible!Q171</f>
        <v>1</v>
      </c>
      <c r="R85" s="342" t="s">
        <v>368</v>
      </c>
      <c r="S85" s="351">
        <v>0</v>
      </c>
      <c r="T85" s="352">
        <v>1</v>
      </c>
      <c r="U85" s="353">
        <v>0</v>
      </c>
      <c r="V85" s="755" t="s">
        <v>97</v>
      </c>
      <c r="W85" s="8"/>
      <c r="X85" s="1205">
        <v>1</v>
      </c>
      <c r="Y85" s="58"/>
      <c r="Z85" s="462"/>
      <c r="AA85" s="56"/>
      <c r="AB85" s="56"/>
      <c r="AC85" s="56"/>
      <c r="AD85" s="56"/>
      <c r="AE85" s="541"/>
      <c r="AF85" s="1149"/>
      <c r="AG85" s="1149"/>
      <c r="AH85" s="541" t="s">
        <v>25</v>
      </c>
      <c r="AI85" s="993"/>
      <c r="AJ85" s="1149" t="s">
        <v>620</v>
      </c>
    </row>
    <row r="86" spans="1:36" s="7" customFormat="1" ht="68" customHeight="1" x14ac:dyDescent="0.2">
      <c r="B86" s="123" t="s">
        <v>884</v>
      </c>
      <c r="D86" s="392">
        <v>57</v>
      </c>
      <c r="E86" s="142" t="s">
        <v>503</v>
      </c>
      <c r="F86" s="299" t="s">
        <v>1767</v>
      </c>
      <c r="G86" s="299" t="s">
        <v>1064</v>
      </c>
      <c r="H86" s="254"/>
      <c r="I86" s="254"/>
      <c r="J86" s="254"/>
      <c r="K86" s="254"/>
      <c r="L86" s="611">
        <v>2</v>
      </c>
      <c r="M86" s="1970"/>
      <c r="N86" s="921" t="s">
        <v>7</v>
      </c>
      <c r="O86" s="297" t="s">
        <v>1544</v>
      </c>
      <c r="P86" s="342">
        <f>Test_Bible!P173</f>
        <v>1</v>
      </c>
      <c r="Q86" s="342">
        <f>Test_Bible!Q173</f>
        <v>2</v>
      </c>
      <c r="R86" s="342" t="s">
        <v>1924</v>
      </c>
      <c r="S86" s="351">
        <v>0</v>
      </c>
      <c r="T86" s="352">
        <v>1</v>
      </c>
      <c r="U86" s="353">
        <v>0</v>
      </c>
      <c r="V86" s="755" t="s">
        <v>97</v>
      </c>
      <c r="W86" s="8"/>
      <c r="X86" s="1205">
        <v>1</v>
      </c>
      <c r="Y86" s="58"/>
      <c r="Z86" s="462"/>
      <c r="AA86" s="56"/>
      <c r="AB86" s="56"/>
      <c r="AC86" s="56"/>
      <c r="AD86" s="56"/>
      <c r="AE86" s="541"/>
      <c r="AF86" s="1149"/>
      <c r="AG86" s="1149"/>
      <c r="AH86" s="541" t="s">
        <v>25</v>
      </c>
      <c r="AI86" s="993"/>
      <c r="AJ86" s="1149" t="s">
        <v>620</v>
      </c>
    </row>
    <row r="87" spans="1:36" s="7" customFormat="1" ht="71" customHeight="1" x14ac:dyDescent="0.2">
      <c r="D87" s="392">
        <v>58</v>
      </c>
      <c r="E87" s="206" t="s">
        <v>98</v>
      </c>
      <c r="F87" s="574" t="s">
        <v>1768</v>
      </c>
      <c r="G87" s="574" t="s">
        <v>1065</v>
      </c>
      <c r="H87" s="259"/>
      <c r="I87" s="1066"/>
      <c r="J87" s="215"/>
      <c r="K87" s="234">
        <v>4</v>
      </c>
      <c r="L87" s="611">
        <v>2</v>
      </c>
      <c r="M87" s="1970"/>
      <c r="N87" s="921" t="s">
        <v>7</v>
      </c>
      <c r="O87" s="297" t="s">
        <v>1544</v>
      </c>
      <c r="P87" s="342">
        <f>Test_Bible!P173</f>
        <v>1</v>
      </c>
      <c r="Q87" s="342">
        <f>Test_Bible!Q173</f>
        <v>2</v>
      </c>
      <c r="R87" s="342" t="s">
        <v>1925</v>
      </c>
      <c r="S87" s="351">
        <v>0</v>
      </c>
      <c r="T87" s="352">
        <v>1</v>
      </c>
      <c r="U87" s="353">
        <v>0</v>
      </c>
      <c r="V87" s="755" t="s">
        <v>97</v>
      </c>
      <c r="W87" s="8"/>
      <c r="X87" s="1205">
        <v>1</v>
      </c>
      <c r="Y87" s="58"/>
      <c r="Z87" s="462"/>
      <c r="AA87" s="56"/>
      <c r="AB87" s="56"/>
      <c r="AC87" s="56"/>
      <c r="AD87" s="56"/>
      <c r="AE87" s="541"/>
      <c r="AF87" s="1149"/>
      <c r="AG87" s="1149"/>
      <c r="AH87" s="541" t="s">
        <v>25</v>
      </c>
      <c r="AI87" s="288"/>
      <c r="AJ87" s="1174" t="s">
        <v>658</v>
      </c>
    </row>
    <row r="88" spans="1:36" s="7" customFormat="1" ht="75" customHeight="1" x14ac:dyDescent="0.2">
      <c r="B88" s="123" t="s">
        <v>885</v>
      </c>
      <c r="D88" s="392">
        <v>59</v>
      </c>
      <c r="E88" s="144" t="s">
        <v>99</v>
      </c>
      <c r="F88" s="299" t="s">
        <v>1769</v>
      </c>
      <c r="G88" s="299" t="s">
        <v>1066</v>
      </c>
      <c r="H88" s="254"/>
      <c r="I88" s="1067"/>
      <c r="J88" s="214" t="s">
        <v>50</v>
      </c>
      <c r="K88" s="233"/>
      <c r="L88" s="611">
        <v>2</v>
      </c>
      <c r="M88" s="1970"/>
      <c r="N88" s="921" t="s">
        <v>7</v>
      </c>
      <c r="O88" s="297" t="s">
        <v>1544</v>
      </c>
      <c r="P88" s="342">
        <f>Test_Bible!P174</f>
        <v>0</v>
      </c>
      <c r="Q88" s="342">
        <f>Test_Bible!Q174</f>
        <v>0</v>
      </c>
      <c r="R88" s="342" t="s">
        <v>1926</v>
      </c>
      <c r="S88" s="351">
        <v>0</v>
      </c>
      <c r="T88" s="352">
        <v>1</v>
      </c>
      <c r="U88" s="353">
        <v>0</v>
      </c>
      <c r="V88" s="755" t="s">
        <v>97</v>
      </c>
      <c r="W88" s="8"/>
      <c r="X88" s="1205">
        <v>1</v>
      </c>
      <c r="Y88" s="58"/>
      <c r="Z88" s="462"/>
      <c r="AA88" s="56"/>
      <c r="AB88" s="56"/>
      <c r="AC88" s="56"/>
      <c r="AD88" s="56"/>
      <c r="AE88" s="541"/>
      <c r="AF88" s="1149"/>
      <c r="AG88" s="1147"/>
      <c r="AH88" s="541" t="s">
        <v>25</v>
      </c>
      <c r="AI88" s="993"/>
      <c r="AJ88" s="1175" t="s">
        <v>660</v>
      </c>
    </row>
    <row r="89" spans="1:36" s="7" customFormat="1" ht="61" customHeight="1" x14ac:dyDescent="0.2">
      <c r="D89" s="392">
        <v>60</v>
      </c>
      <c r="E89" s="206" t="s">
        <v>100</v>
      </c>
      <c r="F89" s="574" t="s">
        <v>1770</v>
      </c>
      <c r="G89" s="574" t="s">
        <v>1067</v>
      </c>
      <c r="H89" s="259"/>
      <c r="I89" s="1066"/>
      <c r="J89" s="216"/>
      <c r="K89" s="235">
        <v>4</v>
      </c>
      <c r="L89" s="613">
        <v>2</v>
      </c>
      <c r="M89" s="1971"/>
      <c r="N89" s="921" t="s">
        <v>7</v>
      </c>
      <c r="O89" s="297" t="s">
        <v>1544</v>
      </c>
      <c r="P89" s="342">
        <f>Test_Bible!P175</f>
        <v>7</v>
      </c>
      <c r="Q89" s="342">
        <f>Test_Bible!Q175</f>
        <v>14</v>
      </c>
      <c r="R89" s="342" t="s">
        <v>1928</v>
      </c>
      <c r="S89" s="351">
        <v>0</v>
      </c>
      <c r="T89" s="352">
        <v>0.5</v>
      </c>
      <c r="U89" s="353">
        <v>0.5</v>
      </c>
      <c r="V89" s="755" t="s">
        <v>97</v>
      </c>
      <c r="W89" s="8"/>
      <c r="X89" s="1205">
        <v>1</v>
      </c>
      <c r="Y89" s="58"/>
      <c r="Z89" s="462"/>
      <c r="AA89" s="56"/>
      <c r="AB89" s="56"/>
      <c r="AC89" s="56"/>
      <c r="AD89" s="56"/>
      <c r="AE89" s="541"/>
      <c r="AF89" s="1149"/>
      <c r="AG89" s="1149"/>
      <c r="AH89" s="996" t="s">
        <v>621</v>
      </c>
      <c r="AI89" s="288"/>
      <c r="AJ89" s="1149" t="s">
        <v>622</v>
      </c>
    </row>
    <row r="90" spans="1:36" s="7" customFormat="1" ht="68" customHeight="1" x14ac:dyDescent="0.2">
      <c r="B90" s="123" t="s">
        <v>886</v>
      </c>
      <c r="D90" s="392">
        <v>61</v>
      </c>
      <c r="E90" s="144" t="s">
        <v>101</v>
      </c>
      <c r="F90" s="299" t="s">
        <v>1771</v>
      </c>
      <c r="G90" s="299" t="s">
        <v>1068</v>
      </c>
      <c r="H90" s="254"/>
      <c r="I90" s="1067"/>
      <c r="J90" s="214" t="s">
        <v>50</v>
      </c>
      <c r="K90" s="233"/>
      <c r="L90" s="614">
        <v>3</v>
      </c>
      <c r="M90" s="604"/>
      <c r="N90" s="921" t="s">
        <v>7</v>
      </c>
      <c r="O90" s="1847" t="s">
        <v>1544</v>
      </c>
      <c r="P90" s="342">
        <f>Test_Bible!P176</f>
        <v>10</v>
      </c>
      <c r="Q90" s="342">
        <f>Test_Bible!Q176</f>
        <v>30</v>
      </c>
      <c r="R90" s="342" t="s">
        <v>1927</v>
      </c>
      <c r="S90" s="351">
        <v>0</v>
      </c>
      <c r="T90" s="352">
        <v>1</v>
      </c>
      <c r="U90" s="353">
        <v>0</v>
      </c>
      <c r="V90" s="755" t="s">
        <v>97</v>
      </c>
      <c r="W90" s="8"/>
      <c r="X90" s="1205">
        <v>1</v>
      </c>
      <c r="Y90" s="449"/>
      <c r="Z90" s="462"/>
      <c r="AA90" s="56"/>
      <c r="AB90" s="56"/>
      <c r="AC90" s="56"/>
      <c r="AD90" s="56"/>
      <c r="AE90" s="1146"/>
      <c r="AF90" s="1147"/>
      <c r="AG90" s="1147"/>
      <c r="AH90" s="1146"/>
      <c r="AI90" s="993"/>
      <c r="AJ90" s="995"/>
    </row>
    <row r="91" spans="1:36" ht="87" customHeight="1" x14ac:dyDescent="0.2">
      <c r="D91" s="392">
        <v>34</v>
      </c>
      <c r="E91" s="206" t="s">
        <v>102</v>
      </c>
      <c r="F91" s="574" t="s">
        <v>1772</v>
      </c>
      <c r="G91" s="574" t="s">
        <v>1069</v>
      </c>
      <c r="H91" s="259"/>
      <c r="I91" s="1066"/>
      <c r="J91" s="176"/>
      <c r="K91" s="236">
        <v>2</v>
      </c>
      <c r="L91" s="615">
        <v>1</v>
      </c>
      <c r="M91" s="580"/>
      <c r="N91" s="921" t="s">
        <v>7</v>
      </c>
      <c r="O91" s="1847" t="s">
        <v>1544</v>
      </c>
      <c r="P91" s="342">
        <f>Test_Bible!P177</f>
        <v>1</v>
      </c>
      <c r="Q91" s="342">
        <f>Test_Bible!Q177</f>
        <v>1</v>
      </c>
      <c r="R91" s="342" t="s">
        <v>1929</v>
      </c>
      <c r="S91" s="351">
        <v>0.5</v>
      </c>
      <c r="T91" s="352">
        <v>0.5</v>
      </c>
      <c r="U91" s="353">
        <v>0</v>
      </c>
      <c r="V91" s="709" t="s">
        <v>69</v>
      </c>
      <c r="W91" s="8"/>
      <c r="X91" s="461"/>
      <c r="Y91" s="1206">
        <v>1</v>
      </c>
      <c r="Z91" s="463"/>
      <c r="AE91" s="541"/>
      <c r="AF91" s="1149"/>
      <c r="AG91" s="1149"/>
      <c r="AH91" s="541" t="s">
        <v>25</v>
      </c>
      <c r="AI91" s="1149"/>
      <c r="AJ91" s="1149" t="s">
        <v>624</v>
      </c>
    </row>
    <row r="92" spans="1:36" s="7" customFormat="1" ht="58" customHeight="1" x14ac:dyDescent="0.2">
      <c r="B92" s="123" t="s">
        <v>887</v>
      </c>
      <c r="D92" s="392">
        <v>35</v>
      </c>
      <c r="E92" s="144" t="s">
        <v>504</v>
      </c>
      <c r="F92" s="299" t="s">
        <v>1773</v>
      </c>
      <c r="G92" s="299" t="s">
        <v>1070</v>
      </c>
      <c r="H92" s="254"/>
      <c r="I92" s="1067"/>
      <c r="J92" s="214" t="s">
        <v>50</v>
      </c>
      <c r="K92" s="233">
        <v>2</v>
      </c>
      <c r="L92" s="611">
        <v>2</v>
      </c>
      <c r="M92" s="603"/>
      <c r="N92" s="921" t="s">
        <v>7</v>
      </c>
      <c r="O92" s="1847" t="s">
        <v>1525</v>
      </c>
      <c r="P92" s="342">
        <f>Test_Bible!P178</f>
        <v>0</v>
      </c>
      <c r="Q92" s="342">
        <f>Test_Bible!Q178</f>
        <v>0</v>
      </c>
      <c r="R92" s="342" t="s">
        <v>1930</v>
      </c>
      <c r="S92" s="351">
        <v>1</v>
      </c>
      <c r="T92" s="352">
        <v>0</v>
      </c>
      <c r="U92" s="353">
        <v>0</v>
      </c>
      <c r="V92" s="709" t="s">
        <v>69</v>
      </c>
      <c r="W92" s="8"/>
      <c r="X92" s="461"/>
      <c r="Y92" s="1206">
        <v>1</v>
      </c>
      <c r="Z92" s="462"/>
      <c r="AA92" s="56"/>
      <c r="AB92" s="56"/>
      <c r="AC92" s="56"/>
      <c r="AD92" s="56"/>
      <c r="AE92" s="541"/>
      <c r="AF92" s="1149"/>
      <c r="AG92" s="1149"/>
      <c r="AH92" s="541" t="s">
        <v>25</v>
      </c>
      <c r="AI92" s="1149"/>
      <c r="AJ92" s="1149" t="s">
        <v>624</v>
      </c>
    </row>
    <row r="93" spans="1:36" s="7" customFormat="1" ht="63" customHeight="1" x14ac:dyDescent="0.2">
      <c r="B93" s="123" t="s">
        <v>888</v>
      </c>
      <c r="D93" s="392">
        <v>36</v>
      </c>
      <c r="E93" s="144" t="s">
        <v>511</v>
      </c>
      <c r="F93" s="299" t="s">
        <v>1774</v>
      </c>
      <c r="G93" s="299" t="s">
        <v>1071</v>
      </c>
      <c r="H93" s="254"/>
      <c r="I93" s="1067"/>
      <c r="J93" s="214" t="s">
        <v>48</v>
      </c>
      <c r="K93" s="233"/>
      <c r="L93" s="614">
        <v>3</v>
      </c>
      <c r="M93" s="604"/>
      <c r="N93" s="921" t="s">
        <v>7</v>
      </c>
      <c r="O93" s="1847" t="s">
        <v>1525</v>
      </c>
      <c r="P93" s="342">
        <f>Test_Bible!P179</f>
        <v>0</v>
      </c>
      <c r="Q93" s="342">
        <f>Test_Bible!Q179</f>
        <v>0</v>
      </c>
      <c r="R93" s="342" t="s">
        <v>1931</v>
      </c>
      <c r="S93" s="351">
        <v>0.5</v>
      </c>
      <c r="T93" s="352">
        <v>0.5</v>
      </c>
      <c r="U93" s="353">
        <v>0</v>
      </c>
      <c r="V93" s="709" t="s">
        <v>69</v>
      </c>
      <c r="W93" s="8"/>
      <c r="X93" s="461"/>
      <c r="Y93" s="1206">
        <v>1</v>
      </c>
      <c r="Z93" s="462"/>
      <c r="AA93" s="56"/>
      <c r="AB93" s="56"/>
      <c r="AC93" s="56"/>
      <c r="AD93" s="56"/>
      <c r="AE93" s="541"/>
      <c r="AF93" s="1149"/>
      <c r="AG93" s="1149"/>
      <c r="AH93" s="541" t="s">
        <v>25</v>
      </c>
      <c r="AI93" s="1149"/>
      <c r="AJ93" s="1149" t="s">
        <v>624</v>
      </c>
    </row>
    <row r="94" spans="1:36" s="7" customFormat="1" ht="60" customHeight="1" x14ac:dyDescent="0.2">
      <c r="D94" s="392">
        <v>27</v>
      </c>
      <c r="E94" s="206" t="s">
        <v>103</v>
      </c>
      <c r="F94" s="574" t="s">
        <v>1775</v>
      </c>
      <c r="G94" s="574" t="s">
        <v>1072</v>
      </c>
      <c r="H94" s="259"/>
      <c r="I94" s="1066"/>
      <c r="J94" s="215"/>
      <c r="K94" s="234">
        <v>4</v>
      </c>
      <c r="L94" s="612">
        <v>1</v>
      </c>
      <c r="M94" s="589"/>
      <c r="N94" s="921" t="s">
        <v>3</v>
      </c>
      <c r="O94" s="1847" t="s">
        <v>1418</v>
      </c>
      <c r="P94" s="342">
        <f>Test_Bible!P180</f>
        <v>2</v>
      </c>
      <c r="Q94" s="342">
        <f>Test_Bible!Q180</f>
        <v>2</v>
      </c>
      <c r="R94" s="342" t="s">
        <v>1932</v>
      </c>
      <c r="S94" s="351">
        <v>0</v>
      </c>
      <c r="T94" s="352">
        <v>0</v>
      </c>
      <c r="U94" s="353">
        <v>1</v>
      </c>
      <c r="V94" s="709" t="s">
        <v>69</v>
      </c>
      <c r="W94" s="8"/>
      <c r="X94" s="461"/>
      <c r="Y94" s="1206">
        <v>1</v>
      </c>
      <c r="Z94" s="462"/>
      <c r="AA94" s="56"/>
      <c r="AB94" s="56"/>
      <c r="AC94" s="56"/>
      <c r="AD94" s="56"/>
      <c r="AE94" s="1146"/>
      <c r="AF94" s="1147"/>
      <c r="AG94" s="1147"/>
      <c r="AH94" s="541" t="s">
        <v>25</v>
      </c>
      <c r="AI94" s="288"/>
      <c r="AJ94" s="288" t="s">
        <v>692</v>
      </c>
    </row>
    <row r="95" spans="1:36" s="7" customFormat="1" ht="78" customHeight="1" x14ac:dyDescent="0.2">
      <c r="B95" s="123" t="s">
        <v>889</v>
      </c>
      <c r="C95" s="898" t="s">
        <v>1598</v>
      </c>
      <c r="D95" s="392">
        <v>28</v>
      </c>
      <c r="E95" s="144" t="s">
        <v>104</v>
      </c>
      <c r="F95" s="573" t="s">
        <v>1558</v>
      </c>
      <c r="G95" s="573" t="s">
        <v>1073</v>
      </c>
      <c r="H95" s="260"/>
      <c r="I95" s="1068"/>
      <c r="J95" s="214" t="s">
        <v>50</v>
      </c>
      <c r="K95" s="233"/>
      <c r="L95" s="616">
        <v>2</v>
      </c>
      <c r="M95" s="587">
        <v>3</v>
      </c>
      <c r="N95" s="921" t="s">
        <v>3</v>
      </c>
      <c r="O95" s="1847" t="s">
        <v>1418</v>
      </c>
      <c r="P95" s="342">
        <f>Test_Bible!P181</f>
        <v>0</v>
      </c>
      <c r="Q95" s="342">
        <f>Test_Bible!Q181</f>
        <v>0</v>
      </c>
      <c r="R95" s="342" t="s">
        <v>1933</v>
      </c>
      <c r="S95" s="351">
        <v>1</v>
      </c>
      <c r="T95" s="352">
        <v>0</v>
      </c>
      <c r="U95" s="353">
        <v>0</v>
      </c>
      <c r="V95" s="756" t="s">
        <v>105</v>
      </c>
      <c r="W95" s="8"/>
      <c r="X95" s="461"/>
      <c r="Y95" s="1206">
        <v>1</v>
      </c>
      <c r="Z95" s="462"/>
      <c r="AA95" s="56"/>
      <c r="AB95" s="56"/>
      <c r="AC95" s="56"/>
      <c r="AD95" s="56"/>
      <c r="AE95" s="1146"/>
      <c r="AF95" s="1147"/>
      <c r="AG95" s="1147"/>
      <c r="AH95" s="1146"/>
      <c r="AI95" s="993"/>
      <c r="AJ95" s="995"/>
    </row>
    <row r="96" spans="1:36" s="7" customFormat="1" ht="52" customHeight="1" x14ac:dyDescent="0.2">
      <c r="A96" s="310"/>
      <c r="B96" s="310"/>
      <c r="D96" s="392">
        <v>12</v>
      </c>
      <c r="E96" s="206" t="s">
        <v>106</v>
      </c>
      <c r="F96" s="574" t="s">
        <v>1545</v>
      </c>
      <c r="G96" s="574" t="s">
        <v>1074</v>
      </c>
      <c r="H96" s="261"/>
      <c r="I96" s="1069"/>
      <c r="J96" s="215"/>
      <c r="K96" s="234"/>
      <c r="L96" s="612">
        <v>1</v>
      </c>
      <c r="M96" s="589"/>
      <c r="N96" s="921" t="s">
        <v>43</v>
      </c>
      <c r="O96" s="1847" t="s">
        <v>1419</v>
      </c>
      <c r="P96" s="342">
        <f>Test_Bible!P182</f>
        <v>7</v>
      </c>
      <c r="Q96" s="342">
        <f>Test_Bible!Q182</f>
        <v>7</v>
      </c>
      <c r="R96" s="346" t="s">
        <v>1899</v>
      </c>
      <c r="S96" s="351">
        <v>1</v>
      </c>
      <c r="T96" s="352">
        <v>0</v>
      </c>
      <c r="U96" s="353">
        <v>0</v>
      </c>
      <c r="V96" s="709" t="s">
        <v>69</v>
      </c>
      <c r="W96" s="8"/>
      <c r="X96" s="461"/>
      <c r="Y96" s="1206">
        <v>1</v>
      </c>
      <c r="Z96" s="462"/>
      <c r="AA96" s="56"/>
      <c r="AB96" s="56"/>
      <c r="AC96" s="56"/>
      <c r="AD96" s="56"/>
      <c r="AE96" s="1146"/>
      <c r="AF96" s="1147"/>
      <c r="AG96" s="1147"/>
      <c r="AH96" s="1146"/>
      <c r="AI96" s="993"/>
      <c r="AJ96" s="995"/>
    </row>
    <row r="97" spans="1:36" s="7" customFormat="1" ht="91" customHeight="1" x14ac:dyDescent="0.2">
      <c r="C97" s="898" t="s">
        <v>1012</v>
      </c>
      <c r="D97" s="392">
        <v>43</v>
      </c>
      <c r="E97" s="206" t="s">
        <v>107</v>
      </c>
      <c r="F97" s="574" t="s">
        <v>1546</v>
      </c>
      <c r="G97" s="574" t="s">
        <v>1075</v>
      </c>
      <c r="H97" s="259"/>
      <c r="I97" s="1066"/>
      <c r="J97" s="215" t="s">
        <v>88</v>
      </c>
      <c r="K97" s="234">
        <v>4</v>
      </c>
      <c r="L97" s="588">
        <v>2</v>
      </c>
      <c r="M97" s="587">
        <v>3</v>
      </c>
      <c r="N97" s="921" t="s">
        <v>7</v>
      </c>
      <c r="O97" s="1847" t="s">
        <v>1525</v>
      </c>
      <c r="P97" s="343">
        <f>Test_Bible!P198</f>
        <v>7</v>
      </c>
      <c r="Q97" s="343">
        <f>Test_Bible!Q198</f>
        <v>21</v>
      </c>
      <c r="R97" s="346" t="s">
        <v>1934</v>
      </c>
      <c r="S97" s="351">
        <v>0</v>
      </c>
      <c r="T97" s="352">
        <v>0.5</v>
      </c>
      <c r="U97" s="353">
        <v>0.5</v>
      </c>
      <c r="V97" s="760" t="s">
        <v>149</v>
      </c>
      <c r="W97" s="8"/>
      <c r="X97" s="461"/>
      <c r="Y97" s="58"/>
      <c r="Z97" s="462"/>
      <c r="AA97" s="56"/>
      <c r="AB97" s="56"/>
      <c r="AC97" s="56"/>
      <c r="AD97" s="1207">
        <v>1</v>
      </c>
      <c r="AE97" s="1146"/>
      <c r="AF97" s="1147"/>
      <c r="AG97" s="1147"/>
      <c r="AH97" s="1146"/>
      <c r="AI97" s="993"/>
      <c r="AJ97" s="995"/>
    </row>
    <row r="98" spans="1:36" s="7" customFormat="1" ht="73" customHeight="1" x14ac:dyDescent="0.2">
      <c r="B98" s="123" t="s">
        <v>890</v>
      </c>
      <c r="C98" s="898" t="s">
        <v>1012</v>
      </c>
      <c r="D98" s="392">
        <v>44</v>
      </c>
      <c r="E98" s="144" t="s">
        <v>849</v>
      </c>
      <c r="F98" s="299" t="s">
        <v>1599</v>
      </c>
      <c r="G98" s="299" t="s">
        <v>1076</v>
      </c>
      <c r="H98" s="254"/>
      <c r="I98" s="1067"/>
      <c r="J98" s="214" t="s">
        <v>50</v>
      </c>
      <c r="K98" s="233"/>
      <c r="L98" s="588">
        <v>2</v>
      </c>
      <c r="M98" s="587">
        <v>3</v>
      </c>
      <c r="N98" s="921" t="s">
        <v>3</v>
      </c>
      <c r="O98" s="1847" t="s">
        <v>1418</v>
      </c>
      <c r="P98" s="343">
        <f>Test_Bible!P199</f>
        <v>2</v>
      </c>
      <c r="Q98" s="343">
        <f>Test_Bible!Q199</f>
        <v>4</v>
      </c>
      <c r="R98" s="346" t="s">
        <v>1935</v>
      </c>
      <c r="S98" s="351">
        <v>0</v>
      </c>
      <c r="T98" s="352">
        <v>0</v>
      </c>
      <c r="U98" s="353">
        <v>1</v>
      </c>
      <c r="V98" s="760" t="s">
        <v>149</v>
      </c>
      <c r="W98" s="8"/>
      <c r="X98" s="461"/>
      <c r="Y98" s="449"/>
      <c r="Z98" s="462"/>
      <c r="AA98" s="56"/>
      <c r="AB98" s="56"/>
      <c r="AC98" s="56"/>
      <c r="AD98" s="1207">
        <v>1</v>
      </c>
      <c r="AE98" s="1146"/>
      <c r="AF98" s="1147"/>
      <c r="AG98" s="1147"/>
      <c r="AH98" s="1146"/>
      <c r="AI98" s="993"/>
      <c r="AJ98" s="995"/>
    </row>
    <row r="99" spans="1:36" s="7" customFormat="1" ht="78" customHeight="1" x14ac:dyDescent="0.2">
      <c r="C99" s="898" t="s">
        <v>1601</v>
      </c>
      <c r="D99" s="392">
        <v>26</v>
      </c>
      <c r="E99" s="206" t="s">
        <v>108</v>
      </c>
      <c r="F99" s="574" t="s">
        <v>1547</v>
      </c>
      <c r="G99" s="574" t="s">
        <v>1077</v>
      </c>
      <c r="H99" s="261"/>
      <c r="I99" s="1069"/>
      <c r="J99" s="215"/>
      <c r="K99" s="234"/>
      <c r="L99" s="612">
        <v>1</v>
      </c>
      <c r="M99" s="588">
        <v>2</v>
      </c>
      <c r="N99" s="921" t="s">
        <v>7</v>
      </c>
      <c r="O99" s="1847" t="s">
        <v>1548</v>
      </c>
      <c r="P99" s="342">
        <f>Test_Bible!P185</f>
        <v>2</v>
      </c>
      <c r="Q99" s="342">
        <f>Test_Bible!Q185</f>
        <v>2</v>
      </c>
      <c r="R99" s="342" t="s">
        <v>1936</v>
      </c>
      <c r="S99" s="351">
        <v>0</v>
      </c>
      <c r="T99" s="352">
        <v>0</v>
      </c>
      <c r="U99" s="353">
        <v>1</v>
      </c>
      <c r="V99" s="709" t="s">
        <v>69</v>
      </c>
      <c r="W99" s="8"/>
      <c r="X99" s="461"/>
      <c r="Y99" s="449">
        <v>1</v>
      </c>
      <c r="Z99" s="462"/>
      <c r="AA99" s="56"/>
      <c r="AB99" s="56"/>
      <c r="AC99" s="56"/>
      <c r="AD99" s="56"/>
      <c r="AE99" s="541" t="s">
        <v>24</v>
      </c>
      <c r="AF99" s="1149" t="s">
        <v>625</v>
      </c>
      <c r="AG99" s="1149"/>
      <c r="AH99" s="1146"/>
      <c r="AI99" s="993"/>
      <c r="AJ99" s="995"/>
    </row>
    <row r="100" spans="1:36" s="7" customFormat="1" ht="45" customHeight="1" x14ac:dyDescent="0.2">
      <c r="D100" s="392">
        <v>37</v>
      </c>
      <c r="E100" s="206" t="s">
        <v>109</v>
      </c>
      <c r="F100" s="574" t="s">
        <v>1776</v>
      </c>
      <c r="G100" s="574" t="s">
        <v>1078</v>
      </c>
      <c r="H100" s="261"/>
      <c r="I100" s="1069"/>
      <c r="J100" s="217" t="s">
        <v>1600</v>
      </c>
      <c r="K100" s="234">
        <v>4</v>
      </c>
      <c r="L100" s="612">
        <v>1</v>
      </c>
      <c r="M100" s="589"/>
      <c r="N100" s="921" t="s">
        <v>3</v>
      </c>
      <c r="O100" s="1847" t="s">
        <v>1418</v>
      </c>
      <c r="P100" s="342">
        <f>Test_Bible!P186</f>
        <v>7</v>
      </c>
      <c r="Q100" s="342">
        <f>Test_Bible!Q186</f>
        <v>7</v>
      </c>
      <c r="R100" s="342" t="s">
        <v>1937</v>
      </c>
      <c r="S100" s="351">
        <v>0</v>
      </c>
      <c r="T100" s="352">
        <v>0</v>
      </c>
      <c r="U100" s="353">
        <v>1</v>
      </c>
      <c r="V100" s="757" t="s">
        <v>62</v>
      </c>
      <c r="W100" s="8"/>
      <c r="X100" s="461"/>
      <c r="Y100" s="58"/>
      <c r="Z100" s="462">
        <v>1</v>
      </c>
      <c r="AA100" s="56"/>
      <c r="AB100" s="56"/>
      <c r="AC100" s="56"/>
      <c r="AD100" s="56"/>
      <c r="AE100" s="541" t="s">
        <v>24</v>
      </c>
      <c r="AF100" s="1142"/>
      <c r="AG100" s="1142"/>
      <c r="AH100" s="541" t="s">
        <v>25</v>
      </c>
      <c r="AI100" s="292"/>
      <c r="AJ100" s="541"/>
    </row>
    <row r="101" spans="1:36" s="7" customFormat="1" ht="55" customHeight="1" x14ac:dyDescent="0.2">
      <c r="B101" s="123" t="s">
        <v>891</v>
      </c>
      <c r="D101" s="392">
        <v>38</v>
      </c>
      <c r="E101" s="144" t="s">
        <v>110</v>
      </c>
      <c r="F101" s="573" t="s">
        <v>1777</v>
      </c>
      <c r="G101" s="573" t="s">
        <v>1079</v>
      </c>
      <c r="H101" s="260"/>
      <c r="I101" s="1068"/>
      <c r="J101" s="214" t="s">
        <v>50</v>
      </c>
      <c r="K101" s="233"/>
      <c r="L101" s="617">
        <v>3</v>
      </c>
      <c r="M101" s="587"/>
      <c r="N101" s="921" t="s">
        <v>3</v>
      </c>
      <c r="O101" s="1847" t="s">
        <v>1418</v>
      </c>
      <c r="P101" s="342">
        <f>Test_Bible!P187</f>
        <v>2</v>
      </c>
      <c r="Q101" s="342">
        <f>Test_Bible!Q187</f>
        <v>6</v>
      </c>
      <c r="R101" s="342" t="s">
        <v>1938</v>
      </c>
      <c r="S101" s="351">
        <v>0</v>
      </c>
      <c r="T101" s="352">
        <v>1</v>
      </c>
      <c r="U101" s="353">
        <v>0</v>
      </c>
      <c r="V101" s="756" t="s">
        <v>62</v>
      </c>
      <c r="W101" s="8"/>
      <c r="X101" s="461"/>
      <c r="Y101" s="58"/>
      <c r="Z101" s="462">
        <v>1</v>
      </c>
      <c r="AA101" s="56"/>
      <c r="AB101" s="56"/>
      <c r="AC101" s="56"/>
      <c r="AD101" s="56"/>
      <c r="AE101" s="1146"/>
      <c r="AF101" s="1147"/>
      <c r="AG101" s="1147"/>
      <c r="AH101" s="1146"/>
      <c r="AI101" s="993"/>
      <c r="AJ101" s="995"/>
    </row>
    <row r="102" spans="1:36" s="7" customFormat="1" ht="54" customHeight="1" x14ac:dyDescent="0.2">
      <c r="A102" s="769" t="s">
        <v>1669</v>
      </c>
      <c r="B102" s="123" t="s">
        <v>891</v>
      </c>
      <c r="D102" s="392">
        <v>39</v>
      </c>
      <c r="E102" s="144" t="s">
        <v>111</v>
      </c>
      <c r="F102" s="573" t="s">
        <v>1558</v>
      </c>
      <c r="G102" s="573" t="s">
        <v>1073</v>
      </c>
      <c r="H102" s="260"/>
      <c r="I102" s="1068"/>
      <c r="J102" s="123" t="s">
        <v>50</v>
      </c>
      <c r="K102" s="233"/>
      <c r="L102" s="617">
        <v>3</v>
      </c>
      <c r="M102" s="587"/>
      <c r="N102" s="921" t="s">
        <v>3</v>
      </c>
      <c r="O102" s="1847" t="s">
        <v>1418</v>
      </c>
      <c r="P102" s="342">
        <f>Test_Bible!P188</f>
        <v>0</v>
      </c>
      <c r="Q102" s="342">
        <f>Test_Bible!Q188</f>
        <v>0</v>
      </c>
      <c r="R102" s="342" t="s">
        <v>1939</v>
      </c>
      <c r="S102" s="351">
        <v>1</v>
      </c>
      <c r="T102" s="352">
        <v>0</v>
      </c>
      <c r="U102" s="353">
        <v>0</v>
      </c>
      <c r="V102" s="756" t="s">
        <v>62</v>
      </c>
      <c r="W102" s="8"/>
      <c r="X102" s="461"/>
      <c r="Y102" s="58"/>
      <c r="Z102" s="462">
        <v>1</v>
      </c>
      <c r="AA102" s="56"/>
      <c r="AB102" s="56"/>
      <c r="AC102" s="56"/>
      <c r="AD102" s="56"/>
      <c r="AE102" s="1146"/>
      <c r="AF102" s="1147"/>
      <c r="AG102" s="1147"/>
      <c r="AH102" s="996" t="s">
        <v>626</v>
      </c>
      <c r="AI102" s="993"/>
      <c r="AJ102" s="995"/>
    </row>
    <row r="103" spans="1:36" s="7" customFormat="1" ht="58" customHeight="1" x14ac:dyDescent="0.2">
      <c r="B103" s="123" t="s">
        <v>891</v>
      </c>
      <c r="D103" s="392">
        <v>40</v>
      </c>
      <c r="E103" s="144" t="s">
        <v>112</v>
      </c>
      <c r="F103" s="573" t="s">
        <v>1778</v>
      </c>
      <c r="G103" s="573" t="s">
        <v>1080</v>
      </c>
      <c r="H103" s="260"/>
      <c r="I103" s="1068"/>
      <c r="J103" s="214" t="s">
        <v>50</v>
      </c>
      <c r="K103" s="233"/>
      <c r="L103" s="616">
        <v>2</v>
      </c>
      <c r="M103" s="588"/>
      <c r="N103" s="921" t="s">
        <v>3</v>
      </c>
      <c r="O103" s="1847" t="s">
        <v>1418</v>
      </c>
      <c r="P103" s="342">
        <f>Test_Bible!P189</f>
        <v>7</v>
      </c>
      <c r="Q103" s="342">
        <f>Test_Bible!Q189</f>
        <v>14</v>
      </c>
      <c r="R103" s="342" t="s">
        <v>1940</v>
      </c>
      <c r="S103" s="351">
        <v>1</v>
      </c>
      <c r="T103" s="352">
        <v>0</v>
      </c>
      <c r="U103" s="353">
        <v>0</v>
      </c>
      <c r="V103" s="756" t="s">
        <v>62</v>
      </c>
      <c r="W103" s="8"/>
      <c r="X103" s="461"/>
      <c r="Y103" s="58"/>
      <c r="Z103" s="462">
        <v>1</v>
      </c>
      <c r="AA103" s="56"/>
      <c r="AB103" s="56"/>
      <c r="AC103" s="56"/>
      <c r="AD103" s="56"/>
      <c r="AE103" s="1146"/>
      <c r="AF103" s="1147"/>
      <c r="AG103" s="1147"/>
      <c r="AH103" s="1146"/>
      <c r="AI103" s="993"/>
      <c r="AJ103" s="995"/>
    </row>
    <row r="104" spans="1:36" s="7" customFormat="1" ht="70" customHeight="1" x14ac:dyDescent="0.2">
      <c r="A104" s="769" t="s">
        <v>872</v>
      </c>
      <c r="D104" s="392">
        <v>66</v>
      </c>
      <c r="E104" s="141" t="s">
        <v>113</v>
      </c>
      <c r="F104" s="574" t="s">
        <v>1779</v>
      </c>
      <c r="G104" s="574" t="s">
        <v>1081</v>
      </c>
      <c r="H104" s="261"/>
      <c r="I104" s="1069"/>
      <c r="J104" s="215"/>
      <c r="K104" s="234"/>
      <c r="L104" s="612">
        <v>1</v>
      </c>
      <c r="M104" s="589"/>
      <c r="N104" s="921" t="s">
        <v>3</v>
      </c>
      <c r="O104" s="1847" t="s">
        <v>1418</v>
      </c>
      <c r="P104" s="342">
        <f>Test_Bible!P190</f>
        <v>7</v>
      </c>
      <c r="Q104" s="342">
        <f>Test_Bible!Q190</f>
        <v>7</v>
      </c>
      <c r="R104" s="342" t="s">
        <v>757</v>
      </c>
      <c r="S104" s="351">
        <v>0</v>
      </c>
      <c r="T104" s="352">
        <v>0</v>
      </c>
      <c r="U104" s="353">
        <v>1</v>
      </c>
      <c r="V104" s="757" t="s">
        <v>62</v>
      </c>
      <c r="W104" s="8"/>
      <c r="X104" s="461"/>
      <c r="Y104" s="58"/>
      <c r="Z104" s="462">
        <v>1</v>
      </c>
      <c r="AA104" s="56"/>
      <c r="AB104" s="56"/>
      <c r="AC104" s="56"/>
      <c r="AD104" s="56"/>
      <c r="AE104" s="541" t="s">
        <v>24</v>
      </c>
      <c r="AF104" s="1149" t="s">
        <v>628</v>
      </c>
      <c r="AG104" s="1149"/>
      <c r="AH104" s="541" t="s">
        <v>25</v>
      </c>
      <c r="AI104" s="993"/>
      <c r="AJ104" s="995"/>
    </row>
    <row r="105" spans="1:36" s="7" customFormat="1" ht="66" customHeight="1" x14ac:dyDescent="0.2">
      <c r="A105" s="769" t="s">
        <v>873</v>
      </c>
      <c r="D105" s="392">
        <v>53</v>
      </c>
      <c r="E105" s="141" t="s">
        <v>114</v>
      </c>
      <c r="F105" s="574" t="s">
        <v>1780</v>
      </c>
      <c r="G105" s="574" t="s">
        <v>1082</v>
      </c>
      <c r="H105" s="259"/>
      <c r="I105" s="1066"/>
      <c r="J105" s="215" t="s">
        <v>88</v>
      </c>
      <c r="K105" s="234">
        <v>4</v>
      </c>
      <c r="L105" s="611">
        <v>2</v>
      </c>
      <c r="M105" s="603"/>
      <c r="N105" s="921" t="s">
        <v>7</v>
      </c>
      <c r="O105" s="1847" t="s">
        <v>1549</v>
      </c>
      <c r="P105" s="342">
        <f>Test_Bible!P191</f>
        <v>1</v>
      </c>
      <c r="Q105" s="342">
        <f>Test_Bible!Q191</f>
        <v>2</v>
      </c>
      <c r="R105" s="342" t="s">
        <v>1941</v>
      </c>
      <c r="S105" s="351">
        <v>0</v>
      </c>
      <c r="T105" s="352">
        <v>1</v>
      </c>
      <c r="U105" s="353">
        <v>0</v>
      </c>
      <c r="V105" s="757" t="s">
        <v>62</v>
      </c>
      <c r="W105" s="8"/>
      <c r="X105" s="461"/>
      <c r="Y105" s="58"/>
      <c r="Z105" s="462">
        <v>1</v>
      </c>
      <c r="AA105" s="56"/>
      <c r="AB105" s="56"/>
      <c r="AC105" s="56"/>
      <c r="AD105" s="56"/>
      <c r="AE105" s="1146"/>
      <c r="AF105" s="1147"/>
      <c r="AG105" s="1147"/>
      <c r="AH105" s="1146"/>
      <c r="AI105" s="993"/>
      <c r="AJ105" s="995"/>
    </row>
    <row r="106" spans="1:36" s="7" customFormat="1" ht="55" customHeight="1" x14ac:dyDescent="0.2">
      <c r="A106" s="1996"/>
      <c r="B106" s="123" t="s">
        <v>892</v>
      </c>
      <c r="D106" s="392">
        <v>54</v>
      </c>
      <c r="E106" s="144" t="s">
        <v>115</v>
      </c>
      <c r="F106" s="575" t="s">
        <v>1781</v>
      </c>
      <c r="G106" s="299" t="s">
        <v>1083</v>
      </c>
      <c r="H106" s="262"/>
      <c r="I106" s="1070"/>
      <c r="J106" s="214" t="s">
        <v>50</v>
      </c>
      <c r="K106" s="233"/>
      <c r="L106" s="614">
        <v>3</v>
      </c>
      <c r="M106" s="920"/>
      <c r="N106" s="1972" t="s">
        <v>7</v>
      </c>
      <c r="O106" s="1847" t="s">
        <v>1549</v>
      </c>
      <c r="P106" s="342">
        <f>Test_Bible!P192</f>
        <v>0</v>
      </c>
      <c r="Q106" s="342">
        <f>Test_Bible!Q192</f>
        <v>0</v>
      </c>
      <c r="R106" s="342" t="s">
        <v>1942</v>
      </c>
      <c r="S106" s="379">
        <v>0</v>
      </c>
      <c r="T106" s="380">
        <v>0.5</v>
      </c>
      <c r="U106" s="381">
        <v>0.5</v>
      </c>
      <c r="V106" s="757" t="s">
        <v>62</v>
      </c>
      <c r="W106" s="8"/>
      <c r="X106" s="461"/>
      <c r="Y106" s="449"/>
      <c r="Z106" s="462">
        <v>1</v>
      </c>
      <c r="AA106" s="56"/>
      <c r="AB106" s="56"/>
      <c r="AC106" s="56"/>
      <c r="AD106" s="56"/>
      <c r="AE106" s="1146"/>
      <c r="AF106" s="1147"/>
      <c r="AG106" s="1147"/>
      <c r="AH106" s="1146"/>
      <c r="AI106" s="993"/>
      <c r="AJ106" s="995"/>
    </row>
    <row r="107" spans="1:36" s="7" customFormat="1" ht="62" customHeight="1" x14ac:dyDescent="0.2">
      <c r="D107" s="392">
        <v>18</v>
      </c>
      <c r="E107" s="206" t="s">
        <v>116</v>
      </c>
      <c r="F107" s="574" t="s">
        <v>1782</v>
      </c>
      <c r="G107" s="574" t="s">
        <v>1084</v>
      </c>
      <c r="H107" s="259"/>
      <c r="I107" s="1066"/>
      <c r="J107" s="215" t="s">
        <v>73</v>
      </c>
      <c r="K107" s="234">
        <v>2</v>
      </c>
      <c r="L107" s="588">
        <v>2</v>
      </c>
      <c r="M107" s="588"/>
      <c r="N107" s="921" t="s">
        <v>3</v>
      </c>
      <c r="O107" s="1847" t="s">
        <v>1418</v>
      </c>
      <c r="P107" s="342">
        <f>Test_Bible!P193</f>
        <v>1</v>
      </c>
      <c r="Q107" s="342">
        <f>Test_Bible!Q193</f>
        <v>2</v>
      </c>
      <c r="R107" s="342" t="s">
        <v>1943</v>
      </c>
      <c r="S107" s="351">
        <v>1</v>
      </c>
      <c r="T107" s="352">
        <v>0</v>
      </c>
      <c r="U107" s="353">
        <v>0</v>
      </c>
      <c r="V107" s="758" t="s">
        <v>44</v>
      </c>
      <c r="W107" s="8"/>
      <c r="X107" s="461"/>
      <c r="Y107" s="58"/>
      <c r="Z107" s="462"/>
      <c r="AA107" s="1207">
        <v>1</v>
      </c>
      <c r="AB107" s="56"/>
      <c r="AC107" s="56"/>
      <c r="AD107" s="56"/>
      <c r="AE107" s="541" t="s">
        <v>24</v>
      </c>
      <c r="AF107" s="1142"/>
      <c r="AG107" s="1142"/>
      <c r="AH107" s="541" t="s">
        <v>25</v>
      </c>
      <c r="AI107" s="292"/>
      <c r="AJ107" s="541"/>
    </row>
    <row r="108" spans="1:36" s="7" customFormat="1" ht="52" customHeight="1" x14ac:dyDescent="0.2">
      <c r="B108" s="123" t="s">
        <v>893</v>
      </c>
      <c r="D108" s="392">
        <v>19</v>
      </c>
      <c r="E108" s="144" t="s">
        <v>117</v>
      </c>
      <c r="F108" s="299" t="s">
        <v>1783</v>
      </c>
      <c r="G108" s="299" t="s">
        <v>1085</v>
      </c>
      <c r="H108" s="263"/>
      <c r="I108" s="1071"/>
      <c r="J108" s="214" t="s">
        <v>50</v>
      </c>
      <c r="K108" s="233"/>
      <c r="L108" s="588">
        <v>2</v>
      </c>
      <c r="M108" s="588"/>
      <c r="N108" s="921" t="s">
        <v>3</v>
      </c>
      <c r="O108" s="1847" t="s">
        <v>1418</v>
      </c>
      <c r="P108" s="342">
        <f>Test_Bible!P194</f>
        <v>0</v>
      </c>
      <c r="Q108" s="342">
        <f>Test_Bible!Q194</f>
        <v>0</v>
      </c>
      <c r="R108" s="342" t="s">
        <v>1944</v>
      </c>
      <c r="S108" s="351">
        <v>1</v>
      </c>
      <c r="T108" s="352">
        <v>0</v>
      </c>
      <c r="U108" s="353">
        <v>0</v>
      </c>
      <c r="V108" s="758" t="s">
        <v>44</v>
      </c>
      <c r="W108" s="8"/>
      <c r="X108" s="461"/>
      <c r="Y108" s="58"/>
      <c r="Z108" s="462"/>
      <c r="AA108" s="1207">
        <v>1</v>
      </c>
      <c r="AB108" s="56"/>
      <c r="AC108" s="56"/>
      <c r="AD108" s="56"/>
      <c r="AE108" s="1146"/>
      <c r="AF108" s="1147"/>
      <c r="AG108" s="1147"/>
      <c r="AH108" s="1146"/>
      <c r="AI108" s="993"/>
      <c r="AJ108" s="995"/>
    </row>
    <row r="109" spans="1:36" s="7" customFormat="1" ht="58" customHeight="1" x14ac:dyDescent="0.2">
      <c r="B109" s="123" t="s">
        <v>893</v>
      </c>
      <c r="D109" s="392">
        <v>20</v>
      </c>
      <c r="E109" s="144" t="s">
        <v>118</v>
      </c>
      <c r="F109" s="299" t="s">
        <v>1784</v>
      </c>
      <c r="G109" s="299" t="s">
        <v>1086</v>
      </c>
      <c r="H109" s="264"/>
      <c r="I109" s="1072"/>
      <c r="J109" s="214" t="s">
        <v>50</v>
      </c>
      <c r="K109" s="233">
        <v>4</v>
      </c>
      <c r="L109" s="588">
        <v>2</v>
      </c>
      <c r="M109" s="588"/>
      <c r="N109" s="921" t="s">
        <v>3</v>
      </c>
      <c r="O109" s="1847" t="s">
        <v>1418</v>
      </c>
      <c r="P109" s="342">
        <f>Test_Bible!P195</f>
        <v>0</v>
      </c>
      <c r="Q109" s="342">
        <f>Test_Bible!Q195</f>
        <v>0</v>
      </c>
      <c r="R109" s="342" t="s">
        <v>1946</v>
      </c>
      <c r="S109" s="351">
        <v>1</v>
      </c>
      <c r="T109" s="352">
        <v>0</v>
      </c>
      <c r="U109" s="353">
        <v>0</v>
      </c>
      <c r="V109" s="758" t="s">
        <v>44</v>
      </c>
      <c r="W109" s="8"/>
      <c r="X109" s="461"/>
      <c r="Y109" s="58"/>
      <c r="Z109" s="462"/>
      <c r="AA109" s="1207">
        <v>1</v>
      </c>
      <c r="AB109" s="56"/>
      <c r="AC109" s="56"/>
      <c r="AD109" s="56"/>
      <c r="AE109" s="1146"/>
      <c r="AF109" s="1147"/>
      <c r="AG109" s="1147"/>
      <c r="AH109" s="1146"/>
      <c r="AI109" s="993"/>
      <c r="AJ109" s="995"/>
    </row>
    <row r="110" spans="1:36" s="7" customFormat="1" ht="60" customHeight="1" x14ac:dyDescent="0.2">
      <c r="B110" s="123" t="s">
        <v>1602</v>
      </c>
      <c r="D110" s="392">
        <v>21</v>
      </c>
      <c r="E110" s="144" t="s">
        <v>119</v>
      </c>
      <c r="F110" s="299" t="s">
        <v>1785</v>
      </c>
      <c r="G110" s="299" t="s">
        <v>1087</v>
      </c>
      <c r="H110" s="263"/>
      <c r="I110" s="1071"/>
      <c r="J110" s="214" t="s">
        <v>48</v>
      </c>
      <c r="K110" s="233"/>
      <c r="L110" s="587">
        <v>3</v>
      </c>
      <c r="M110" s="587"/>
      <c r="N110" s="921" t="s">
        <v>3</v>
      </c>
      <c r="O110" s="1847" t="s">
        <v>1418</v>
      </c>
      <c r="P110" s="342">
        <f>Test_Bible!P196</f>
        <v>0</v>
      </c>
      <c r="Q110" s="342">
        <f>Test_Bible!Q196</f>
        <v>0</v>
      </c>
      <c r="R110" s="342" t="s">
        <v>1945</v>
      </c>
      <c r="S110" s="351">
        <v>1</v>
      </c>
      <c r="T110" s="352">
        <v>0</v>
      </c>
      <c r="U110" s="353">
        <v>0</v>
      </c>
      <c r="V110" s="758" t="s">
        <v>44</v>
      </c>
      <c r="W110" s="8"/>
      <c r="X110" s="461"/>
      <c r="Y110" s="58"/>
      <c r="Z110" s="462"/>
      <c r="AA110" s="1207">
        <v>1</v>
      </c>
      <c r="AB110" s="56"/>
      <c r="AC110" s="56"/>
      <c r="AD110" s="56"/>
      <c r="AE110" s="1146"/>
      <c r="AF110" s="1147"/>
      <c r="AG110" s="1147"/>
      <c r="AH110" s="1146"/>
      <c r="AI110" s="993"/>
      <c r="AJ110" s="995"/>
    </row>
    <row r="111" spans="1:36" s="7" customFormat="1" ht="61" customHeight="1" x14ac:dyDescent="0.2">
      <c r="D111" s="392">
        <v>22</v>
      </c>
      <c r="E111" s="206" t="s">
        <v>120</v>
      </c>
      <c r="F111" s="574" t="s">
        <v>1786</v>
      </c>
      <c r="G111" s="574" t="s">
        <v>1088</v>
      </c>
      <c r="H111" s="259"/>
      <c r="I111" s="1066"/>
      <c r="J111" s="215"/>
      <c r="K111" s="234"/>
      <c r="L111" s="580">
        <v>1</v>
      </c>
      <c r="M111" s="580"/>
      <c r="N111" s="921" t="s">
        <v>3</v>
      </c>
      <c r="O111" s="1847" t="s">
        <v>1418</v>
      </c>
      <c r="P111" s="342">
        <f>Test_Bible!P197</f>
        <v>4</v>
      </c>
      <c r="Q111" s="342">
        <f>Test_Bible!Q197</f>
        <v>4</v>
      </c>
      <c r="R111" s="342" t="s">
        <v>1947</v>
      </c>
      <c r="S111" s="351">
        <v>1</v>
      </c>
      <c r="T111" s="352">
        <v>0</v>
      </c>
      <c r="U111" s="353">
        <v>0</v>
      </c>
      <c r="V111" s="758" t="s">
        <v>44</v>
      </c>
      <c r="W111" s="8"/>
      <c r="X111" s="461"/>
      <c r="Y111" s="58"/>
      <c r="Z111" s="462"/>
      <c r="AA111" s="1207">
        <v>1</v>
      </c>
      <c r="AB111" s="56"/>
      <c r="AC111" s="56"/>
      <c r="AD111" s="56"/>
      <c r="AE111" s="541" t="s">
        <v>24</v>
      </c>
      <c r="AF111" s="1142"/>
      <c r="AG111" s="1142"/>
      <c r="AH111" s="1146"/>
      <c r="AI111" s="993"/>
      <c r="AJ111" s="995"/>
    </row>
    <row r="112" spans="1:36" s="7" customFormat="1" ht="93" customHeight="1" x14ac:dyDescent="0.2">
      <c r="C112" s="898" t="s">
        <v>1603</v>
      </c>
      <c r="D112" s="392">
        <v>17</v>
      </c>
      <c r="E112" s="206" t="s">
        <v>121</v>
      </c>
      <c r="F112" s="574" t="s">
        <v>1550</v>
      </c>
      <c r="G112" s="574" t="s">
        <v>1089</v>
      </c>
      <c r="H112" s="259"/>
      <c r="I112" s="1066"/>
      <c r="J112" s="215"/>
      <c r="K112" s="234">
        <v>4</v>
      </c>
      <c r="L112" s="580">
        <v>1</v>
      </c>
      <c r="M112" s="1012">
        <v>3</v>
      </c>
      <c r="N112" s="921" t="s">
        <v>9</v>
      </c>
      <c r="O112" s="1847" t="s">
        <v>1818</v>
      </c>
      <c r="P112" s="342">
        <f>Test_Bible!P198</f>
        <v>7</v>
      </c>
      <c r="Q112" s="342">
        <f>Test_Bible!Q198</f>
        <v>21</v>
      </c>
      <c r="R112" s="346" t="s">
        <v>1917</v>
      </c>
      <c r="S112" s="351">
        <v>1</v>
      </c>
      <c r="T112" s="352">
        <v>0</v>
      </c>
      <c r="U112" s="353">
        <v>0</v>
      </c>
      <c r="V112" s="758" t="s">
        <v>44</v>
      </c>
      <c r="W112" s="8"/>
      <c r="X112" s="461"/>
      <c r="Y112" s="58"/>
      <c r="Z112" s="462"/>
      <c r="AA112" s="1207">
        <v>1</v>
      </c>
      <c r="AB112" s="56"/>
      <c r="AC112" s="56"/>
      <c r="AD112" s="56"/>
      <c r="AE112" s="1146"/>
      <c r="AF112" s="1147"/>
      <c r="AG112" s="1147"/>
      <c r="AH112" s="1146"/>
      <c r="AI112" s="993"/>
      <c r="AJ112" s="995"/>
    </row>
    <row r="113" spans="1:36" s="7" customFormat="1" ht="57" customHeight="1" x14ac:dyDescent="0.2">
      <c r="C113" s="944"/>
      <c r="D113" s="392">
        <v>13</v>
      </c>
      <c r="E113" s="206" t="s">
        <v>123</v>
      </c>
      <c r="F113" s="574" t="s">
        <v>1551</v>
      </c>
      <c r="G113" s="782" t="s">
        <v>1090</v>
      </c>
      <c r="H113" s="259"/>
      <c r="I113" s="1066"/>
      <c r="J113" s="215"/>
      <c r="K113" s="1942">
        <v>7</v>
      </c>
      <c r="L113" s="588">
        <v>2</v>
      </c>
      <c r="M113" s="588"/>
      <c r="N113" s="921" t="s">
        <v>43</v>
      </c>
      <c r="O113" s="1847" t="s">
        <v>1419</v>
      </c>
      <c r="P113" s="342">
        <f>Test_Bible!P199</f>
        <v>2</v>
      </c>
      <c r="Q113" s="342">
        <f>Test_Bible!Q199</f>
        <v>4</v>
      </c>
      <c r="R113" s="342" t="s">
        <v>1948</v>
      </c>
      <c r="S113" s="351">
        <v>1</v>
      </c>
      <c r="T113" s="352">
        <v>0</v>
      </c>
      <c r="U113" s="353">
        <v>0</v>
      </c>
      <c r="V113" s="758" t="s">
        <v>44</v>
      </c>
      <c r="W113" s="8"/>
      <c r="X113" s="461"/>
      <c r="Y113" s="58"/>
      <c r="Z113" s="462"/>
      <c r="AA113" s="1207">
        <v>1</v>
      </c>
      <c r="AB113" s="56"/>
      <c r="AC113" s="56"/>
      <c r="AD113" s="56"/>
      <c r="AE113" s="1146"/>
      <c r="AF113" s="1147"/>
      <c r="AG113" s="1147"/>
      <c r="AH113" s="1146"/>
      <c r="AI113" s="993"/>
      <c r="AJ113" s="995"/>
    </row>
    <row r="114" spans="1:36" s="7" customFormat="1" ht="80" customHeight="1" x14ac:dyDescent="0.2">
      <c r="B114" s="123" t="s">
        <v>894</v>
      </c>
      <c r="D114" s="392">
        <v>14</v>
      </c>
      <c r="E114" s="144" t="s">
        <v>124</v>
      </c>
      <c r="F114" s="299" t="s">
        <v>1552</v>
      </c>
      <c r="G114" s="767" t="s">
        <v>1091</v>
      </c>
      <c r="H114" s="263"/>
      <c r="I114" s="1071"/>
      <c r="J114" s="214" t="s">
        <v>50</v>
      </c>
      <c r="K114" s="233"/>
      <c r="L114" s="587">
        <v>3</v>
      </c>
      <c r="M114" s="587"/>
      <c r="N114" s="921" t="s">
        <v>7</v>
      </c>
      <c r="O114" s="1847" t="s">
        <v>1549</v>
      </c>
      <c r="P114" s="342">
        <f>Test_Bible!P200</f>
        <v>0</v>
      </c>
      <c r="Q114" s="342">
        <f>Test_Bible!Q200</f>
        <v>0</v>
      </c>
      <c r="R114" s="342" t="s">
        <v>1949</v>
      </c>
      <c r="S114" s="351">
        <v>1</v>
      </c>
      <c r="T114" s="352">
        <v>0</v>
      </c>
      <c r="U114" s="353">
        <v>0</v>
      </c>
      <c r="V114" s="758" t="s">
        <v>44</v>
      </c>
      <c r="W114" s="8"/>
      <c r="X114" s="461"/>
      <c r="Y114" s="58"/>
      <c r="Z114" s="462"/>
      <c r="AA114" s="1207">
        <v>1</v>
      </c>
      <c r="AB114" s="56"/>
      <c r="AC114" s="56"/>
      <c r="AD114" s="56"/>
      <c r="AE114" s="1146"/>
      <c r="AF114" s="1147"/>
      <c r="AG114" s="1147"/>
      <c r="AH114" s="1146"/>
      <c r="AI114" s="993"/>
      <c r="AJ114" s="995"/>
    </row>
    <row r="115" spans="1:36" s="7" customFormat="1" ht="78" customHeight="1" x14ac:dyDescent="0.2">
      <c r="D115" s="392">
        <v>29</v>
      </c>
      <c r="E115" s="206" t="s">
        <v>125</v>
      </c>
      <c r="F115" s="574" t="s">
        <v>1787</v>
      </c>
      <c r="G115" s="782" t="s">
        <v>1092</v>
      </c>
      <c r="H115" s="259"/>
      <c r="I115" s="1066"/>
      <c r="J115" s="215" t="s">
        <v>88</v>
      </c>
      <c r="K115" s="234">
        <v>4</v>
      </c>
      <c r="L115" s="580">
        <v>1</v>
      </c>
      <c r="M115" s="580"/>
      <c r="N115" s="921" t="s">
        <v>43</v>
      </c>
      <c r="O115" s="1847" t="s">
        <v>1419</v>
      </c>
      <c r="P115" s="342">
        <f>Test_Bible!P201</f>
        <v>1</v>
      </c>
      <c r="Q115" s="342">
        <f>Test_Bible!Q201</f>
        <v>1</v>
      </c>
      <c r="R115" s="342" t="s">
        <v>1950</v>
      </c>
      <c r="S115" s="351">
        <v>1</v>
      </c>
      <c r="T115" s="352">
        <v>0</v>
      </c>
      <c r="U115" s="353">
        <v>0</v>
      </c>
      <c r="V115" s="758" t="s">
        <v>44</v>
      </c>
      <c r="W115" s="8"/>
      <c r="X115" s="461"/>
      <c r="Y115" s="58"/>
      <c r="Z115" s="462"/>
      <c r="AA115" s="1207">
        <v>1</v>
      </c>
      <c r="AB115" s="56"/>
      <c r="AC115" s="56"/>
      <c r="AD115" s="56"/>
      <c r="AE115" s="541" t="s">
        <v>24</v>
      </c>
      <c r="AF115" s="1149" t="s">
        <v>664</v>
      </c>
      <c r="AG115" s="1147"/>
      <c r="AH115" s="541" t="s">
        <v>25</v>
      </c>
      <c r="AI115" s="993"/>
      <c r="AJ115" s="1149" t="s">
        <v>664</v>
      </c>
    </row>
    <row r="116" spans="1:36" s="7" customFormat="1" ht="63" customHeight="1" x14ac:dyDescent="0.2">
      <c r="B116" s="123" t="s">
        <v>895</v>
      </c>
      <c r="D116" s="392">
        <v>30</v>
      </c>
      <c r="E116" s="144" t="s">
        <v>126</v>
      </c>
      <c r="F116" s="299" t="s">
        <v>1553</v>
      </c>
      <c r="G116" s="767" t="s">
        <v>1093</v>
      </c>
      <c r="H116" s="263"/>
      <c r="I116" s="1071"/>
      <c r="J116" s="214" t="s">
        <v>50</v>
      </c>
      <c r="K116" s="233">
        <v>4</v>
      </c>
      <c r="L116" s="588">
        <v>2</v>
      </c>
      <c r="M116" s="588"/>
      <c r="N116" s="921" t="s">
        <v>3</v>
      </c>
      <c r="O116" s="1847" t="s">
        <v>1418</v>
      </c>
      <c r="P116" s="342">
        <f>Test_Bible!P202</f>
        <v>0</v>
      </c>
      <c r="Q116" s="342">
        <f>Test_Bible!Q202</f>
        <v>0</v>
      </c>
      <c r="R116" s="342" t="s">
        <v>1951</v>
      </c>
      <c r="S116" s="351">
        <v>1</v>
      </c>
      <c r="T116" s="352">
        <v>0</v>
      </c>
      <c r="U116" s="353">
        <v>0</v>
      </c>
      <c r="V116" s="758" t="s">
        <v>44</v>
      </c>
      <c r="W116" s="8"/>
      <c r="X116" s="461"/>
      <c r="Y116" s="449"/>
      <c r="Z116" s="462"/>
      <c r="AA116" s="1207">
        <v>1</v>
      </c>
      <c r="AB116" s="56"/>
      <c r="AC116" s="56"/>
      <c r="AD116" s="56"/>
      <c r="AE116" s="1146"/>
      <c r="AF116" s="1147"/>
      <c r="AG116" s="1147"/>
      <c r="AH116" s="1146"/>
      <c r="AI116" s="993"/>
      <c r="AJ116" s="995"/>
    </row>
    <row r="117" spans="1:36" s="7" customFormat="1" ht="63" customHeight="1" x14ac:dyDescent="0.2">
      <c r="B117" s="123" t="s">
        <v>1813</v>
      </c>
      <c r="C117" s="26"/>
      <c r="D117" s="392">
        <v>31</v>
      </c>
      <c r="E117" s="144" t="s">
        <v>1460</v>
      </c>
      <c r="F117" s="573" t="s">
        <v>1788</v>
      </c>
      <c r="G117" s="1011" t="s">
        <v>1095</v>
      </c>
      <c r="H117" s="260"/>
      <c r="I117" s="1068"/>
      <c r="J117" s="123"/>
      <c r="K117" s="233">
        <v>4</v>
      </c>
      <c r="L117" s="587">
        <v>3</v>
      </c>
      <c r="M117" s="587"/>
      <c r="N117" s="921" t="s">
        <v>3</v>
      </c>
      <c r="O117" s="1847" t="s">
        <v>1418</v>
      </c>
      <c r="P117" s="342">
        <f>Test_Bible!P203</f>
        <v>0</v>
      </c>
      <c r="Q117" s="342">
        <f>Test_Bible!Q203</f>
        <v>0</v>
      </c>
      <c r="R117" s="342" t="s">
        <v>1985</v>
      </c>
      <c r="S117" s="351">
        <v>0.5</v>
      </c>
      <c r="T117" s="352">
        <v>0</v>
      </c>
      <c r="U117" s="351">
        <v>0.5</v>
      </c>
      <c r="V117" s="756" t="s">
        <v>62</v>
      </c>
      <c r="W117" s="8"/>
      <c r="X117" s="461"/>
      <c r="Y117" s="449"/>
      <c r="Z117" s="462">
        <v>1</v>
      </c>
      <c r="AA117" s="56"/>
      <c r="AB117" s="56"/>
      <c r="AC117" s="56"/>
      <c r="AD117" s="56"/>
      <c r="AE117" s="1146"/>
      <c r="AF117" s="1147"/>
      <c r="AG117" s="1147"/>
      <c r="AH117" s="541"/>
      <c r="AI117" s="292"/>
      <c r="AJ117" s="995"/>
    </row>
    <row r="118" spans="1:36" s="7" customFormat="1" ht="63" customHeight="1" x14ac:dyDescent="0.2">
      <c r="B118" s="123" t="s">
        <v>1814</v>
      </c>
      <c r="D118" s="392">
        <v>32</v>
      </c>
      <c r="E118" s="144" t="s">
        <v>1461</v>
      </c>
      <c r="F118" s="573" t="s">
        <v>1789</v>
      </c>
      <c r="G118" s="1011" t="s">
        <v>1094</v>
      </c>
      <c r="H118" s="260"/>
      <c r="I118" s="1068"/>
      <c r="J118" s="123" t="s">
        <v>50</v>
      </c>
      <c r="K118" s="233"/>
      <c r="L118" s="587">
        <v>3</v>
      </c>
      <c r="M118" s="587"/>
      <c r="N118" s="921" t="s">
        <v>3</v>
      </c>
      <c r="O118" s="1847" t="s">
        <v>1418</v>
      </c>
      <c r="P118" s="342">
        <f>Test_Bible!P204</f>
        <v>0</v>
      </c>
      <c r="Q118" s="342">
        <f>Test_Bible!Q204</f>
        <v>0</v>
      </c>
      <c r="R118" s="342" t="s">
        <v>1969</v>
      </c>
      <c r="S118" s="351">
        <v>1</v>
      </c>
      <c r="T118" s="352">
        <v>0</v>
      </c>
      <c r="U118" s="353">
        <v>0</v>
      </c>
      <c r="V118" s="756" t="s">
        <v>44</v>
      </c>
      <c r="W118" s="8"/>
      <c r="X118" s="461"/>
      <c r="Y118" s="449"/>
      <c r="Z118" s="462"/>
      <c r="AA118" s="1207">
        <v>1</v>
      </c>
      <c r="AB118" s="56"/>
      <c r="AC118" s="56"/>
      <c r="AD118" s="56"/>
      <c r="AE118" s="1146"/>
      <c r="AF118" s="1147"/>
      <c r="AG118" s="1147"/>
      <c r="AH118" s="541" t="s">
        <v>25</v>
      </c>
      <c r="AI118" s="292"/>
      <c r="AJ118" s="995"/>
    </row>
    <row r="119" spans="1:36" ht="72" customHeight="1" x14ac:dyDescent="0.2">
      <c r="D119" s="392">
        <v>3</v>
      </c>
      <c r="E119" s="206" t="s">
        <v>127</v>
      </c>
      <c r="F119" s="1902" t="s">
        <v>1554</v>
      </c>
      <c r="G119" s="782" t="s">
        <v>1096</v>
      </c>
      <c r="H119" s="1066"/>
      <c r="I119" s="1066"/>
      <c r="J119" s="1901"/>
      <c r="K119" s="234"/>
      <c r="L119" s="580">
        <v>1</v>
      </c>
      <c r="M119" s="580"/>
      <c r="N119" s="921" t="s">
        <v>1527</v>
      </c>
      <c r="O119" s="1847" t="s">
        <v>1529</v>
      </c>
      <c r="P119" s="340">
        <f>Test_Bible!P205</f>
        <v>4</v>
      </c>
      <c r="Q119" s="340">
        <f>Test_Bible!Q205</f>
        <v>4</v>
      </c>
      <c r="R119" s="346" t="s">
        <v>1903</v>
      </c>
      <c r="S119" s="351">
        <v>0.5</v>
      </c>
      <c r="T119" s="352">
        <v>0.5</v>
      </c>
      <c r="U119" s="353">
        <v>0</v>
      </c>
      <c r="V119" s="759" t="s">
        <v>65</v>
      </c>
      <c r="W119" s="8"/>
      <c r="X119" s="461"/>
      <c r="Z119" s="463"/>
      <c r="AB119" s="1204">
        <v>1</v>
      </c>
      <c r="AE119" s="541" t="s">
        <v>24</v>
      </c>
      <c r="AF119" s="1149" t="s">
        <v>623</v>
      </c>
      <c r="AG119" s="1149"/>
      <c r="AH119" s="541" t="s">
        <v>25</v>
      </c>
      <c r="AI119" s="288"/>
      <c r="AJ119" s="288" t="s">
        <v>608</v>
      </c>
    </row>
    <row r="120" spans="1:36" ht="72" customHeight="1" x14ac:dyDescent="0.2">
      <c r="D120" s="392">
        <v>33</v>
      </c>
      <c r="E120" s="206" t="s">
        <v>1363</v>
      </c>
      <c r="F120" s="1902" t="s">
        <v>1790</v>
      </c>
      <c r="G120" s="782" t="s">
        <v>1097</v>
      </c>
      <c r="H120" s="1066"/>
      <c r="I120" s="1066"/>
      <c r="J120" s="1901" t="s">
        <v>50</v>
      </c>
      <c r="K120" s="234"/>
      <c r="L120" s="588">
        <v>2</v>
      </c>
      <c r="M120" s="588"/>
      <c r="N120" s="921" t="s">
        <v>7</v>
      </c>
      <c r="O120" s="1847" t="s">
        <v>1544</v>
      </c>
      <c r="P120" s="340">
        <f>Test_Bible!P206</f>
        <v>10</v>
      </c>
      <c r="Q120" s="340">
        <f>Test_Bible!Q206</f>
        <v>20</v>
      </c>
      <c r="R120" s="340" t="s">
        <v>1952</v>
      </c>
      <c r="S120" s="351">
        <v>0</v>
      </c>
      <c r="T120" s="352">
        <v>1</v>
      </c>
      <c r="U120" s="353">
        <v>0</v>
      </c>
      <c r="V120" s="759" t="s">
        <v>65</v>
      </c>
      <c r="W120" s="8"/>
      <c r="X120" s="461"/>
      <c r="Z120" s="463"/>
      <c r="AB120" s="1204">
        <v>1</v>
      </c>
      <c r="AE120" s="541" t="s">
        <v>24</v>
      </c>
      <c r="AF120" s="1149" t="s">
        <v>654</v>
      </c>
      <c r="AH120" s="541" t="s">
        <v>25</v>
      </c>
      <c r="AI120" s="993"/>
      <c r="AJ120" s="995"/>
    </row>
    <row r="121" spans="1:36" ht="73" customHeight="1" x14ac:dyDescent="0.2">
      <c r="D121" s="392">
        <v>5</v>
      </c>
      <c r="E121" s="206" t="s">
        <v>128</v>
      </c>
      <c r="F121" s="574" t="s">
        <v>1791</v>
      </c>
      <c r="G121" s="782" t="s">
        <v>1098</v>
      </c>
      <c r="H121" s="259"/>
      <c r="I121" s="1066"/>
      <c r="J121" s="176"/>
      <c r="K121" s="236"/>
      <c r="L121" s="580">
        <v>1</v>
      </c>
      <c r="M121" s="580"/>
      <c r="N121" s="921" t="s">
        <v>1527</v>
      </c>
      <c r="O121" s="1847" t="s">
        <v>1529</v>
      </c>
      <c r="P121" s="340">
        <f>Test_Bible!P207</f>
        <v>2</v>
      </c>
      <c r="Q121" s="340">
        <f>Test_Bible!Q207</f>
        <v>2</v>
      </c>
      <c r="R121" s="346" t="s">
        <v>1904</v>
      </c>
      <c r="S121" s="351">
        <v>0.5</v>
      </c>
      <c r="T121" s="352">
        <v>0.5</v>
      </c>
      <c r="U121" s="353">
        <v>0</v>
      </c>
      <c r="V121" s="759" t="s">
        <v>65</v>
      </c>
      <c r="W121" s="8"/>
      <c r="X121" s="461"/>
      <c r="Z121" s="463"/>
      <c r="AB121" s="1204">
        <v>1</v>
      </c>
      <c r="AE121" s="1146"/>
      <c r="AF121" s="1147"/>
      <c r="AG121" s="1147"/>
      <c r="AH121" s="1146"/>
      <c r="AI121" s="993"/>
      <c r="AJ121" s="994" t="s">
        <v>693</v>
      </c>
    </row>
    <row r="122" spans="1:36" ht="64" customHeight="1" x14ac:dyDescent="0.2">
      <c r="D122" s="392">
        <v>10</v>
      </c>
      <c r="E122" s="206" t="s">
        <v>129</v>
      </c>
      <c r="F122" s="574" t="s">
        <v>1792</v>
      </c>
      <c r="G122" s="782" t="s">
        <v>1099</v>
      </c>
      <c r="H122" s="259"/>
      <c r="I122" s="1066"/>
      <c r="J122" s="176"/>
      <c r="K122" s="236">
        <v>4</v>
      </c>
      <c r="L122" s="580">
        <v>1</v>
      </c>
      <c r="M122" s="580"/>
      <c r="N122" s="921" t="s">
        <v>7</v>
      </c>
      <c r="O122" s="1847" t="s">
        <v>1544</v>
      </c>
      <c r="P122" s="340">
        <f>Test_Bible!P208</f>
        <v>2</v>
      </c>
      <c r="Q122" s="340">
        <f>Test_Bible!Q208</f>
        <v>2</v>
      </c>
      <c r="R122" s="340" t="s">
        <v>1996</v>
      </c>
      <c r="S122" s="351">
        <v>0</v>
      </c>
      <c r="T122" s="352">
        <v>1</v>
      </c>
      <c r="U122" s="353">
        <v>0</v>
      </c>
      <c r="V122" s="759" t="s">
        <v>65</v>
      </c>
      <c r="W122" s="8"/>
      <c r="X122" s="461"/>
      <c r="Z122" s="463"/>
      <c r="AB122" s="1204">
        <v>1</v>
      </c>
      <c r="AE122" s="541" t="s">
        <v>24</v>
      </c>
      <c r="AH122" s="541" t="s">
        <v>25</v>
      </c>
      <c r="AI122" s="993"/>
      <c r="AJ122" s="995"/>
    </row>
    <row r="123" spans="1:36" ht="64" customHeight="1" x14ac:dyDescent="0.2">
      <c r="B123" s="123" t="s">
        <v>1620</v>
      </c>
      <c r="D123" s="392">
        <v>11</v>
      </c>
      <c r="E123" s="144" t="s">
        <v>1438</v>
      </c>
      <c r="F123" s="299" t="s">
        <v>1793</v>
      </c>
      <c r="G123" s="767"/>
      <c r="H123" s="254"/>
      <c r="I123" s="1067"/>
      <c r="J123" s="123"/>
      <c r="K123" s="224"/>
      <c r="L123" s="588">
        <v>2</v>
      </c>
      <c r="M123" s="580"/>
      <c r="N123" s="921" t="s">
        <v>3</v>
      </c>
      <c r="O123" s="1847" t="s">
        <v>1418</v>
      </c>
      <c r="P123" s="340">
        <f>Test_Bible!P209</f>
        <v>0</v>
      </c>
      <c r="Q123" s="340">
        <f>Test_Bible!Q209</f>
        <v>0</v>
      </c>
      <c r="R123" s="340" t="s">
        <v>1953</v>
      </c>
      <c r="S123" s="351">
        <v>0.5</v>
      </c>
      <c r="T123" s="352">
        <v>0.5</v>
      </c>
      <c r="U123" s="353"/>
      <c r="V123" s="759" t="s">
        <v>65</v>
      </c>
      <c r="W123" s="8"/>
      <c r="X123" s="461"/>
      <c r="Z123" s="463"/>
      <c r="AB123" s="1204"/>
      <c r="AE123" s="541"/>
      <c r="AH123" s="541"/>
      <c r="AI123" s="993"/>
      <c r="AJ123" s="995"/>
    </row>
    <row r="124" spans="1:36" ht="86" customHeight="1" x14ac:dyDescent="0.2">
      <c r="C124" s="898" t="s">
        <v>1604</v>
      </c>
      <c r="D124" s="392">
        <v>55</v>
      </c>
      <c r="E124" s="206" t="s">
        <v>130</v>
      </c>
      <c r="F124" s="574" t="s">
        <v>1794</v>
      </c>
      <c r="G124" s="782" t="s">
        <v>1100</v>
      </c>
      <c r="H124" s="259"/>
      <c r="I124" s="1066"/>
      <c r="J124" s="176"/>
      <c r="K124" s="236">
        <v>4</v>
      </c>
      <c r="L124" s="588">
        <v>2</v>
      </c>
      <c r="M124" s="587">
        <v>3</v>
      </c>
      <c r="N124" s="921" t="s">
        <v>7</v>
      </c>
      <c r="O124" s="1847" t="s">
        <v>1544</v>
      </c>
      <c r="P124" s="340">
        <f>Test_Bible!P210</f>
        <v>7</v>
      </c>
      <c r="Q124" s="340">
        <f>Test_Bible!Q210</f>
        <v>21</v>
      </c>
      <c r="R124" s="340" t="s">
        <v>1954</v>
      </c>
      <c r="S124" s="351">
        <v>1</v>
      </c>
      <c r="T124" s="352">
        <v>0</v>
      </c>
      <c r="U124" s="353">
        <v>0</v>
      </c>
      <c r="V124" s="759" t="s">
        <v>65</v>
      </c>
      <c r="W124" s="8"/>
      <c r="X124" s="461"/>
      <c r="Z124" s="463"/>
      <c r="AB124" s="1204">
        <v>1</v>
      </c>
      <c r="AE124" s="541" t="s">
        <v>24</v>
      </c>
      <c r="AH124" s="541" t="s">
        <v>25</v>
      </c>
      <c r="AI124" s="993"/>
      <c r="AJ124" s="995"/>
    </row>
    <row r="125" spans="1:36" s="7" customFormat="1" ht="80" customHeight="1" x14ac:dyDescent="0.2">
      <c r="C125" s="898" t="s">
        <v>1605</v>
      </c>
      <c r="D125" s="392">
        <v>63</v>
      </c>
      <c r="E125" s="206" t="s">
        <v>131</v>
      </c>
      <c r="F125" s="574" t="s">
        <v>1795</v>
      </c>
      <c r="G125" s="782" t="s">
        <v>1101</v>
      </c>
      <c r="H125" s="259"/>
      <c r="I125" s="1066"/>
      <c r="J125" s="215" t="s">
        <v>88</v>
      </c>
      <c r="K125" s="236">
        <v>2</v>
      </c>
      <c r="L125" s="580">
        <v>1</v>
      </c>
      <c r="M125" s="588">
        <v>2</v>
      </c>
      <c r="N125" s="921" t="s">
        <v>3</v>
      </c>
      <c r="O125" s="1847" t="s">
        <v>1418</v>
      </c>
      <c r="P125" s="340">
        <f>Test_Bible!P211</f>
        <v>4</v>
      </c>
      <c r="Q125" s="340">
        <f>Test_Bible!Q211</f>
        <v>4</v>
      </c>
      <c r="R125" s="340" t="s">
        <v>1955</v>
      </c>
      <c r="S125" s="351">
        <v>0.5</v>
      </c>
      <c r="T125" s="352">
        <v>0.5</v>
      </c>
      <c r="U125" s="353">
        <v>0</v>
      </c>
      <c r="V125" s="759" t="s">
        <v>65</v>
      </c>
      <c r="W125" s="8"/>
      <c r="X125" s="461"/>
      <c r="Y125" s="58"/>
      <c r="Z125" s="462"/>
      <c r="AA125" s="56"/>
      <c r="AB125" s="1204">
        <v>1</v>
      </c>
      <c r="AC125" s="56"/>
      <c r="AD125" s="56"/>
      <c r="AE125" s="1146"/>
      <c r="AF125" s="1147"/>
      <c r="AG125" s="1147"/>
      <c r="AH125" s="1146"/>
      <c r="AI125" s="993"/>
      <c r="AJ125" s="995"/>
    </row>
    <row r="126" spans="1:36" s="7" customFormat="1" ht="84" customHeight="1" x14ac:dyDescent="0.2">
      <c r="B126" s="123" t="s">
        <v>896</v>
      </c>
      <c r="D126" s="392">
        <v>64</v>
      </c>
      <c r="E126" s="144" t="s">
        <v>132</v>
      </c>
      <c r="F126" s="299" t="s">
        <v>1796</v>
      </c>
      <c r="G126" s="544" t="s">
        <v>1102</v>
      </c>
      <c r="H126" s="305" t="s">
        <v>447</v>
      </c>
      <c r="I126" s="1073"/>
      <c r="J126" s="214" t="s">
        <v>50</v>
      </c>
      <c r="K126" s="233"/>
      <c r="L126" s="1900"/>
      <c r="M126" s="1899"/>
      <c r="N126" s="921" t="s">
        <v>133</v>
      </c>
      <c r="O126" s="1847" t="s">
        <v>453</v>
      </c>
      <c r="P126" s="337"/>
      <c r="Q126" s="337"/>
      <c r="R126" s="337"/>
      <c r="S126" s="350" t="s">
        <v>34</v>
      </c>
      <c r="T126" s="374" t="s">
        <v>34</v>
      </c>
      <c r="U126" s="377" t="s">
        <v>34</v>
      </c>
      <c r="V126" s="759" t="s">
        <v>65</v>
      </c>
      <c r="W126" s="8"/>
      <c r="X126" s="461"/>
      <c r="Y126" s="58"/>
      <c r="Z126" s="462"/>
      <c r="AA126" s="56"/>
      <c r="AB126" s="1204">
        <v>1</v>
      </c>
      <c r="AC126" s="56"/>
      <c r="AD126" s="56"/>
      <c r="AE126" s="1146"/>
      <c r="AF126" s="1147"/>
      <c r="AG126" s="1147"/>
      <c r="AH126" s="541" t="s">
        <v>25</v>
      </c>
      <c r="AI126" s="993"/>
      <c r="AJ126" s="995"/>
    </row>
    <row r="127" spans="1:36" s="7" customFormat="1" ht="34" x14ac:dyDescent="0.2">
      <c r="A127" s="769" t="s">
        <v>873</v>
      </c>
      <c r="D127" s="392">
        <v>65</v>
      </c>
      <c r="E127" s="206" t="s">
        <v>134</v>
      </c>
      <c r="F127" s="574" t="s">
        <v>1797</v>
      </c>
      <c r="G127" s="421" t="s">
        <v>1103</v>
      </c>
      <c r="H127" s="259"/>
      <c r="I127" s="1066"/>
      <c r="J127" s="215"/>
      <c r="K127" s="234">
        <v>4</v>
      </c>
      <c r="L127" s="588">
        <v>2</v>
      </c>
      <c r="M127" s="588"/>
      <c r="N127" s="921" t="s">
        <v>7</v>
      </c>
      <c r="O127" s="1847" t="s">
        <v>1544</v>
      </c>
      <c r="P127" s="343">
        <f>Test_Bible!P216</f>
        <v>1</v>
      </c>
      <c r="Q127" s="343">
        <f>Test_Bible!Q216</f>
        <v>2</v>
      </c>
      <c r="R127" s="2059" t="s">
        <v>1956</v>
      </c>
      <c r="S127" s="351">
        <v>0.5</v>
      </c>
      <c r="T127" s="352">
        <v>0.5</v>
      </c>
      <c r="U127" s="353">
        <v>0</v>
      </c>
      <c r="V127" s="759" t="s">
        <v>65</v>
      </c>
      <c r="W127" s="8"/>
      <c r="X127" s="461"/>
      <c r="Y127" s="58"/>
      <c r="Z127" s="462"/>
      <c r="AA127" s="56"/>
      <c r="AB127" s="1204">
        <v>1</v>
      </c>
      <c r="AC127" s="56"/>
      <c r="AD127" s="56"/>
      <c r="AE127" s="1146"/>
      <c r="AF127" s="1147"/>
      <c r="AG127" s="1147"/>
      <c r="AH127" s="541"/>
      <c r="AI127" s="993"/>
      <c r="AJ127" s="995"/>
    </row>
    <row r="128" spans="1:36" s="7" customFormat="1" ht="63" customHeight="1" x14ac:dyDescent="0.2">
      <c r="A128" s="769" t="s">
        <v>916</v>
      </c>
      <c r="D128" s="392">
        <v>62</v>
      </c>
      <c r="E128" s="206" t="s">
        <v>135</v>
      </c>
      <c r="F128" s="574" t="s">
        <v>1798</v>
      </c>
      <c r="G128" s="421" t="s">
        <v>1104</v>
      </c>
      <c r="H128" s="259"/>
      <c r="I128" s="1066"/>
      <c r="J128" s="215"/>
      <c r="K128" s="234"/>
      <c r="L128" s="588">
        <v>2</v>
      </c>
      <c r="M128" s="588"/>
      <c r="N128" s="921" t="s">
        <v>7</v>
      </c>
      <c r="O128" s="1847" t="s">
        <v>1544</v>
      </c>
      <c r="P128" s="343">
        <f>Test_Bible!P217</f>
        <v>0</v>
      </c>
      <c r="Q128" s="343">
        <f>Test_Bible!Q217</f>
        <v>0</v>
      </c>
      <c r="R128" s="2059" t="s">
        <v>1957</v>
      </c>
      <c r="S128" s="351">
        <v>1</v>
      </c>
      <c r="T128" s="352">
        <v>0</v>
      </c>
      <c r="U128" s="353">
        <v>0</v>
      </c>
      <c r="V128" s="759" t="s">
        <v>65</v>
      </c>
      <c r="W128" s="8"/>
      <c r="X128" s="461"/>
      <c r="Y128" s="58"/>
      <c r="Z128" s="462"/>
      <c r="AA128" s="56"/>
      <c r="AB128" s="1204">
        <v>1</v>
      </c>
      <c r="AC128" s="56"/>
      <c r="AD128" s="56"/>
      <c r="AE128" s="1146"/>
      <c r="AF128" s="1147"/>
      <c r="AG128" s="1147"/>
      <c r="AH128" s="1146"/>
      <c r="AI128" s="993"/>
      <c r="AJ128" s="995"/>
    </row>
    <row r="129" spans="1:36" s="7" customFormat="1" ht="58" customHeight="1" x14ac:dyDescent="0.2">
      <c r="D129" s="392">
        <v>15</v>
      </c>
      <c r="E129" s="206" t="s">
        <v>136</v>
      </c>
      <c r="F129" s="574" t="s">
        <v>1555</v>
      </c>
      <c r="G129" s="421" t="s">
        <v>1105</v>
      </c>
      <c r="H129" s="259"/>
      <c r="I129" s="1066"/>
      <c r="J129" s="215"/>
      <c r="K129" s="234">
        <v>4</v>
      </c>
      <c r="L129" s="588">
        <v>2</v>
      </c>
      <c r="M129" s="588"/>
      <c r="N129" s="921" t="s">
        <v>43</v>
      </c>
      <c r="O129" s="1847" t="s">
        <v>1419</v>
      </c>
      <c r="P129" s="343">
        <f>Test_Bible!P218</f>
        <v>4</v>
      </c>
      <c r="Q129" s="343">
        <f>Test_Bible!Q218</f>
        <v>8</v>
      </c>
      <c r="R129" s="346" t="s">
        <v>1905</v>
      </c>
      <c r="S129" s="351">
        <v>1</v>
      </c>
      <c r="T129" s="352">
        <v>0</v>
      </c>
      <c r="U129" s="353">
        <v>0</v>
      </c>
      <c r="V129" s="759" t="s">
        <v>65</v>
      </c>
      <c r="W129" s="8"/>
      <c r="X129" s="461"/>
      <c r="Y129" s="58"/>
      <c r="Z129" s="462"/>
      <c r="AA129" s="56"/>
      <c r="AB129" s="1204">
        <v>1</v>
      </c>
      <c r="AC129" s="56"/>
      <c r="AD129" s="56"/>
      <c r="AE129" s="1146"/>
      <c r="AF129" s="1147"/>
      <c r="AG129" s="1147"/>
      <c r="AH129" s="1146"/>
      <c r="AI129" s="993"/>
      <c r="AJ129" s="995"/>
    </row>
    <row r="130" spans="1:36" s="7" customFormat="1" ht="55" customHeight="1" x14ac:dyDescent="0.2">
      <c r="B130" s="123" t="s">
        <v>897</v>
      </c>
      <c r="D130" s="392">
        <v>16</v>
      </c>
      <c r="E130" s="144" t="s">
        <v>137</v>
      </c>
      <c r="F130" s="299" t="s">
        <v>1799</v>
      </c>
      <c r="G130" s="544" t="s">
        <v>443</v>
      </c>
      <c r="H130" s="254"/>
      <c r="I130" s="1067"/>
      <c r="J130" s="214" t="s">
        <v>50</v>
      </c>
      <c r="K130" s="233"/>
      <c r="L130" s="587">
        <v>3</v>
      </c>
      <c r="M130" s="587"/>
      <c r="N130" s="921" t="s">
        <v>7</v>
      </c>
      <c r="O130" s="1847" t="s">
        <v>1544</v>
      </c>
      <c r="P130" s="343">
        <f>Test_Bible!P219</f>
        <v>4</v>
      </c>
      <c r="Q130" s="343">
        <f>Test_Bible!Q219</f>
        <v>12</v>
      </c>
      <c r="R130" s="2059" t="s">
        <v>1958</v>
      </c>
      <c r="S130" s="351">
        <v>0.5</v>
      </c>
      <c r="T130" s="352">
        <v>0.5</v>
      </c>
      <c r="U130" s="353">
        <v>0</v>
      </c>
      <c r="V130" s="759" t="s">
        <v>65</v>
      </c>
      <c r="W130" s="8"/>
      <c r="X130" s="461"/>
      <c r="Y130" s="58"/>
      <c r="Z130" s="462"/>
      <c r="AA130" s="56"/>
      <c r="AB130" s="1204">
        <v>1</v>
      </c>
      <c r="AC130" s="56"/>
      <c r="AD130" s="56"/>
      <c r="AE130" s="541" t="s">
        <v>24</v>
      </c>
      <c r="AF130" s="1142"/>
      <c r="AG130" s="1142"/>
      <c r="AH130" s="541" t="s">
        <v>25</v>
      </c>
      <c r="AI130" s="993"/>
      <c r="AJ130" s="995"/>
    </row>
    <row r="131" spans="1:36" s="7" customFormat="1" ht="79" customHeight="1" x14ac:dyDescent="0.25">
      <c r="A131" s="769" t="s">
        <v>916</v>
      </c>
      <c r="D131" s="392">
        <v>45</v>
      </c>
      <c r="E131" s="207" t="s">
        <v>1300</v>
      </c>
      <c r="F131" s="574" t="s">
        <v>1800</v>
      </c>
      <c r="G131" s="548" t="s">
        <v>1106</v>
      </c>
      <c r="H131" s="265"/>
      <c r="I131" s="1074"/>
      <c r="J131" s="215"/>
      <c r="K131" s="234"/>
      <c r="L131" s="587">
        <v>3</v>
      </c>
      <c r="M131" s="587"/>
      <c r="N131" s="921" t="s">
        <v>7</v>
      </c>
      <c r="O131" s="1847" t="s">
        <v>1544</v>
      </c>
      <c r="P131" s="343">
        <f>Test_Bible!P220</f>
        <v>0</v>
      </c>
      <c r="Q131" s="343">
        <f>Test_Bible!Q220</f>
        <v>0</v>
      </c>
      <c r="R131" s="2059" t="s">
        <v>1959</v>
      </c>
      <c r="S131" s="354">
        <v>1</v>
      </c>
      <c r="T131" s="374">
        <v>0</v>
      </c>
      <c r="U131" s="375">
        <v>0</v>
      </c>
      <c r="V131" s="713" t="s">
        <v>65</v>
      </c>
      <c r="W131" s="8"/>
      <c r="X131" s="461"/>
      <c r="Y131" s="58"/>
      <c r="Z131" s="462"/>
      <c r="AA131" s="56"/>
      <c r="AB131" s="1204">
        <v>1</v>
      </c>
      <c r="AC131" s="56"/>
      <c r="AD131" s="56"/>
      <c r="AE131" s="1155" t="s">
        <v>24</v>
      </c>
      <c r="AF131" s="1156"/>
      <c r="AG131" s="1156"/>
      <c r="AH131" s="541" t="s">
        <v>25</v>
      </c>
      <c r="AI131" s="1157"/>
      <c r="AJ131" s="1158"/>
    </row>
    <row r="132" spans="1:36" s="7" customFormat="1" ht="58" customHeight="1" x14ac:dyDescent="0.25">
      <c r="D132" s="392">
        <v>23</v>
      </c>
      <c r="E132" s="207" t="s">
        <v>138</v>
      </c>
      <c r="F132" s="574" t="s">
        <v>1801</v>
      </c>
      <c r="G132" s="548" t="s">
        <v>1106</v>
      </c>
      <c r="H132" s="265"/>
      <c r="I132" s="1074"/>
      <c r="J132" s="215"/>
      <c r="K132" s="234">
        <v>2</v>
      </c>
      <c r="L132" s="587">
        <v>3</v>
      </c>
      <c r="M132" s="587"/>
      <c r="N132" s="921" t="s">
        <v>3</v>
      </c>
      <c r="O132" s="1847" t="s">
        <v>1418</v>
      </c>
      <c r="P132" s="1895">
        <f>Test_Bible!P222</f>
        <v>0</v>
      </c>
      <c r="Q132" s="1892">
        <f>Test_Bible!Q222</f>
        <v>0</v>
      </c>
      <c r="R132" s="346" t="s">
        <v>1918</v>
      </c>
      <c r="S132" s="354">
        <v>1</v>
      </c>
      <c r="T132" s="374">
        <v>0</v>
      </c>
      <c r="U132" s="375">
        <v>0</v>
      </c>
      <c r="V132" s="713" t="s">
        <v>65</v>
      </c>
      <c r="W132" s="8"/>
      <c r="X132" s="461"/>
      <c r="Y132" s="58"/>
      <c r="Z132" s="462"/>
      <c r="AA132" s="56"/>
      <c r="AB132" s="1204">
        <v>1</v>
      </c>
      <c r="AC132" s="56"/>
      <c r="AD132" s="56"/>
      <c r="AE132" s="1155" t="s">
        <v>24</v>
      </c>
      <c r="AF132" s="1156"/>
      <c r="AG132" s="1156"/>
      <c r="AH132" s="541" t="s">
        <v>25</v>
      </c>
      <c r="AI132" s="1157"/>
      <c r="AJ132" s="1158"/>
    </row>
    <row r="133" spans="1:36" s="7" customFormat="1" ht="149" customHeight="1" x14ac:dyDescent="0.2">
      <c r="B133" s="123" t="s">
        <v>898</v>
      </c>
      <c r="D133" s="392">
        <v>24</v>
      </c>
      <c r="E133" s="1014" t="s">
        <v>139</v>
      </c>
      <c r="F133" s="1016" t="s">
        <v>1802</v>
      </c>
      <c r="G133" s="1017" t="s">
        <v>140</v>
      </c>
      <c r="H133" s="1013" t="s">
        <v>1314</v>
      </c>
      <c r="I133" s="1075"/>
      <c r="J133" s="167" t="s">
        <v>50</v>
      </c>
      <c r="K133" s="231"/>
      <c r="L133" s="605"/>
      <c r="M133" s="605"/>
      <c r="N133" s="918" t="s">
        <v>51</v>
      </c>
      <c r="O133" s="1894"/>
      <c r="P133" s="1896"/>
      <c r="Q133" s="338"/>
      <c r="R133" s="338"/>
      <c r="S133" s="350" t="s">
        <v>34</v>
      </c>
      <c r="T133" s="374" t="s">
        <v>34</v>
      </c>
      <c r="U133" s="377" t="s">
        <v>34</v>
      </c>
      <c r="V133" s="712" t="s">
        <v>65</v>
      </c>
      <c r="W133" s="8"/>
      <c r="X133" s="461"/>
      <c r="Y133" s="58"/>
      <c r="Z133" s="462"/>
      <c r="AA133" s="56"/>
      <c r="AB133" s="1204">
        <v>1</v>
      </c>
      <c r="AC133" s="56"/>
      <c r="AD133" s="56"/>
      <c r="AE133" s="1159" t="s">
        <v>68</v>
      </c>
      <c r="AF133" s="1150"/>
      <c r="AG133" s="1150"/>
      <c r="AH133" s="541" t="s">
        <v>25</v>
      </c>
      <c r="AI133" s="1161"/>
      <c r="AJ133" s="1162"/>
    </row>
    <row r="134" spans="1:36" s="7" customFormat="1" ht="52" customHeight="1" x14ac:dyDescent="0.2">
      <c r="B134" s="123" t="s">
        <v>898</v>
      </c>
      <c r="D134" s="392">
        <v>25</v>
      </c>
      <c r="E134" s="1014" t="s">
        <v>1491</v>
      </c>
      <c r="F134" s="1016" t="s">
        <v>1803</v>
      </c>
      <c r="G134" s="1017" t="s">
        <v>1107</v>
      </c>
      <c r="H134" s="1013"/>
      <c r="I134" s="1075"/>
      <c r="J134" s="167" t="s">
        <v>50</v>
      </c>
      <c r="K134" s="231"/>
      <c r="L134" s="605"/>
      <c r="M134" s="605"/>
      <c r="N134" s="918" t="s">
        <v>46</v>
      </c>
      <c r="O134" s="1894"/>
      <c r="P134" s="1897"/>
      <c r="Q134" s="336"/>
      <c r="R134" s="336"/>
      <c r="S134" s="350" t="s">
        <v>34</v>
      </c>
      <c r="T134" s="374" t="s">
        <v>34</v>
      </c>
      <c r="U134" s="377" t="s">
        <v>34</v>
      </c>
      <c r="V134" s="712" t="s">
        <v>65</v>
      </c>
      <c r="W134" s="8"/>
      <c r="X134" s="461"/>
      <c r="Y134" s="58"/>
      <c r="Z134" s="462"/>
      <c r="AA134" s="56"/>
      <c r="AB134" s="1204">
        <v>1</v>
      </c>
      <c r="AC134" s="56"/>
      <c r="AD134" s="56"/>
      <c r="AE134" s="1155" t="s">
        <v>24</v>
      </c>
      <c r="AF134" s="1164" t="s">
        <v>643</v>
      </c>
      <c r="AG134" s="1176" t="s">
        <v>644</v>
      </c>
      <c r="AH134" s="541" t="s">
        <v>25</v>
      </c>
      <c r="AI134" s="1161"/>
      <c r="AJ134" s="1162"/>
    </row>
    <row r="135" spans="1:36" ht="70" customHeight="1" x14ac:dyDescent="0.2">
      <c r="A135" s="199" t="s">
        <v>1606</v>
      </c>
      <c r="D135" s="392">
        <v>47</v>
      </c>
      <c r="E135" s="207" t="s">
        <v>141</v>
      </c>
      <c r="F135" s="782" t="s">
        <v>1557</v>
      </c>
      <c r="G135" s="1018" t="s">
        <v>1108</v>
      </c>
      <c r="H135" s="259"/>
      <c r="I135" s="1066"/>
      <c r="J135" s="215"/>
      <c r="K135" s="237">
        <v>4</v>
      </c>
      <c r="L135" s="587">
        <v>3</v>
      </c>
      <c r="M135" s="587"/>
      <c r="N135" s="918" t="s">
        <v>7</v>
      </c>
      <c r="O135" s="1847" t="s">
        <v>1544</v>
      </c>
      <c r="P135" s="1898">
        <f>Test_Bible!P234</f>
        <v>0</v>
      </c>
      <c r="Q135" s="340">
        <f>Test_Bible!Q234</f>
        <v>0</v>
      </c>
      <c r="R135" s="1893" t="s">
        <v>1960</v>
      </c>
      <c r="S135" s="351">
        <v>0.5</v>
      </c>
      <c r="T135" s="352">
        <v>0.5</v>
      </c>
      <c r="U135" s="353">
        <v>0</v>
      </c>
      <c r="V135" s="759" t="s">
        <v>65</v>
      </c>
      <c r="W135" s="8"/>
      <c r="X135" s="461"/>
      <c r="Z135" s="463"/>
      <c r="AB135" s="1204">
        <v>1</v>
      </c>
      <c r="AE135" s="1146"/>
      <c r="AF135" s="1147"/>
      <c r="AG135" s="1147"/>
      <c r="AH135" s="1146"/>
      <c r="AI135" s="993"/>
      <c r="AJ135" s="995"/>
    </row>
    <row r="136" spans="1:36" ht="52" customHeight="1" x14ac:dyDescent="0.2">
      <c r="B136" s="123" t="s">
        <v>899</v>
      </c>
      <c r="D136" s="392">
        <v>48</v>
      </c>
      <c r="E136" s="142" t="s">
        <v>142</v>
      </c>
      <c r="F136" s="767" t="s">
        <v>1556</v>
      </c>
      <c r="G136" s="767" t="s">
        <v>1109</v>
      </c>
      <c r="H136" s="254"/>
      <c r="I136" s="1067"/>
      <c r="J136" s="123" t="s">
        <v>50</v>
      </c>
      <c r="K136" s="224">
        <v>4</v>
      </c>
      <c r="L136" s="587">
        <v>3</v>
      </c>
      <c r="M136" s="587"/>
      <c r="N136" s="918" t="s">
        <v>7</v>
      </c>
      <c r="O136" s="1847" t="s">
        <v>1544</v>
      </c>
      <c r="P136" s="340">
        <f>Test_Bible!P235</f>
        <v>0</v>
      </c>
      <c r="Q136" s="340">
        <f>Test_Bible!Q235</f>
        <v>0</v>
      </c>
      <c r="R136" s="340" t="s">
        <v>1961</v>
      </c>
      <c r="S136" s="351">
        <v>0.5</v>
      </c>
      <c r="T136" s="352">
        <v>0.5</v>
      </c>
      <c r="U136" s="353">
        <v>0</v>
      </c>
      <c r="V136" s="759" t="s">
        <v>65</v>
      </c>
      <c r="W136" s="8"/>
      <c r="X136" s="461"/>
      <c r="Z136" s="463"/>
      <c r="AB136" s="1204">
        <v>1</v>
      </c>
      <c r="AE136" s="541" t="s">
        <v>24</v>
      </c>
      <c r="AH136" s="996" t="s">
        <v>626</v>
      </c>
      <c r="AJ136" s="501" t="s">
        <v>694</v>
      </c>
    </row>
    <row r="137" spans="1:36" ht="54" customHeight="1" x14ac:dyDescent="0.2">
      <c r="A137" s="769" t="s">
        <v>918</v>
      </c>
      <c r="B137" s="123" t="s">
        <v>900</v>
      </c>
      <c r="D137" s="392">
        <v>49</v>
      </c>
      <c r="E137" s="142" t="s">
        <v>143</v>
      </c>
      <c r="F137" s="1011" t="s">
        <v>1558</v>
      </c>
      <c r="G137" s="1011" t="s">
        <v>1073</v>
      </c>
      <c r="H137" s="267"/>
      <c r="I137" s="1076"/>
      <c r="J137" s="123" t="s">
        <v>48</v>
      </c>
      <c r="K137" s="224"/>
      <c r="L137" s="587">
        <v>3</v>
      </c>
      <c r="M137" s="587"/>
      <c r="N137" s="918" t="s">
        <v>3</v>
      </c>
      <c r="O137" s="297" t="s">
        <v>1418</v>
      </c>
      <c r="P137" s="340">
        <f>Test_Bible!P236</f>
        <v>0</v>
      </c>
      <c r="Q137" s="340">
        <f>Test_Bible!Q236</f>
        <v>0</v>
      </c>
      <c r="R137" s="342" t="s">
        <v>1939</v>
      </c>
      <c r="S137" s="351">
        <v>1</v>
      </c>
      <c r="T137" s="352">
        <v>0</v>
      </c>
      <c r="U137" s="353">
        <v>0</v>
      </c>
      <c r="V137" s="756" t="s">
        <v>65</v>
      </c>
      <c r="W137" s="8"/>
      <c r="X137" s="461"/>
      <c r="Z137" s="463"/>
      <c r="AB137" s="1204">
        <v>1</v>
      </c>
      <c r="AE137" s="1146"/>
      <c r="AF137" s="1147"/>
      <c r="AG137" s="1147"/>
      <c r="AH137" s="541" t="s">
        <v>25</v>
      </c>
      <c r="AI137" s="993"/>
      <c r="AJ137" s="1177" t="s">
        <v>695</v>
      </c>
    </row>
    <row r="138" spans="1:36" ht="161" customHeight="1" x14ac:dyDescent="0.2">
      <c r="B138" s="123" t="s">
        <v>900</v>
      </c>
      <c r="D138" s="392">
        <v>50</v>
      </c>
      <c r="E138" s="142" t="s">
        <v>708</v>
      </c>
      <c r="F138" s="767" t="s">
        <v>1804</v>
      </c>
      <c r="G138" s="767" t="s">
        <v>1110</v>
      </c>
      <c r="H138" s="306" t="s">
        <v>570</v>
      </c>
      <c r="I138" s="1057"/>
      <c r="J138" s="123" t="s">
        <v>48</v>
      </c>
      <c r="K138" s="224"/>
      <c r="L138" s="605"/>
      <c r="M138" s="605"/>
      <c r="N138" s="918" t="s">
        <v>51</v>
      </c>
      <c r="P138" s="334"/>
      <c r="Q138" s="334"/>
      <c r="R138" s="334"/>
      <c r="S138" s="350" t="s">
        <v>34</v>
      </c>
      <c r="T138" s="374" t="s">
        <v>34</v>
      </c>
      <c r="U138" s="377" t="s">
        <v>34</v>
      </c>
      <c r="V138" s="759" t="s">
        <v>65</v>
      </c>
      <c r="W138" s="8"/>
      <c r="X138" s="461"/>
      <c r="Y138" s="449"/>
      <c r="Z138" s="462"/>
      <c r="AB138" s="1204">
        <v>1</v>
      </c>
      <c r="AE138" s="541" t="s">
        <v>24</v>
      </c>
      <c r="AF138" s="1178" t="s">
        <v>633</v>
      </c>
      <c r="AG138" s="1178"/>
      <c r="AH138" s="541" t="s">
        <v>25</v>
      </c>
      <c r="AI138" s="288"/>
      <c r="AJ138" s="501" t="s">
        <v>632</v>
      </c>
    </row>
    <row r="139" spans="1:36" s="7" customFormat="1" ht="51" x14ac:dyDescent="0.2">
      <c r="A139" s="26"/>
      <c r="C139" s="898" t="s">
        <v>1511</v>
      </c>
      <c r="D139" s="392">
        <v>0</v>
      </c>
      <c r="E139" s="206" t="s">
        <v>144</v>
      </c>
      <c r="F139" s="782" t="s">
        <v>1805</v>
      </c>
      <c r="G139" s="782" t="s">
        <v>1111</v>
      </c>
      <c r="H139" s="259"/>
      <c r="I139" s="1066"/>
      <c r="J139" s="215" t="s">
        <v>88</v>
      </c>
      <c r="K139" s="234">
        <v>4</v>
      </c>
      <c r="L139" s="580">
        <v>1</v>
      </c>
      <c r="M139" s="580">
        <v>0</v>
      </c>
      <c r="N139" s="918" t="s">
        <v>1527</v>
      </c>
      <c r="O139" s="1847" t="s">
        <v>1529</v>
      </c>
      <c r="P139" s="343">
        <f>Test_Bible!P243</f>
        <v>7</v>
      </c>
      <c r="Q139" s="343">
        <f>Test_Bible!Q243</f>
        <v>7</v>
      </c>
      <c r="R139" s="346" t="s">
        <v>1922</v>
      </c>
      <c r="S139" s="351">
        <v>0</v>
      </c>
      <c r="T139" s="352">
        <v>1</v>
      </c>
      <c r="U139" s="353">
        <v>0</v>
      </c>
      <c r="V139" s="721" t="s">
        <v>84</v>
      </c>
      <c r="W139" s="8"/>
      <c r="X139" s="461"/>
      <c r="Y139" s="58"/>
      <c r="Z139" s="462"/>
      <c r="AA139" s="56"/>
      <c r="AB139" s="56"/>
      <c r="AC139" s="1207">
        <v>1</v>
      </c>
      <c r="AD139" s="56"/>
      <c r="AE139" s="1146"/>
      <c r="AF139" s="1147"/>
      <c r="AG139" s="1147"/>
      <c r="AH139" s="541" t="s">
        <v>25</v>
      </c>
      <c r="AI139" s="993"/>
      <c r="AJ139" s="1166"/>
    </row>
    <row r="140" spans="1:36" s="7" customFormat="1" ht="52" customHeight="1" x14ac:dyDescent="0.2">
      <c r="B140" s="123" t="s">
        <v>901</v>
      </c>
      <c r="D140" s="392">
        <v>1</v>
      </c>
      <c r="E140" s="144" t="s">
        <v>145</v>
      </c>
      <c r="F140" s="767" t="s">
        <v>1806</v>
      </c>
      <c r="G140" s="767" t="s">
        <v>1112</v>
      </c>
      <c r="H140" s="254"/>
      <c r="I140" s="1067"/>
      <c r="J140" s="214" t="s">
        <v>50</v>
      </c>
      <c r="K140" s="233">
        <v>4</v>
      </c>
      <c r="L140" s="588">
        <v>2</v>
      </c>
      <c r="M140" s="588"/>
      <c r="N140" s="918" t="s">
        <v>7</v>
      </c>
      <c r="O140" s="1847" t="s">
        <v>1544</v>
      </c>
      <c r="P140" s="343">
        <f>Test_Bible!P244</f>
        <v>4</v>
      </c>
      <c r="Q140" s="343">
        <f>Test_Bible!Q244</f>
        <v>8</v>
      </c>
      <c r="R140" s="388" t="s">
        <v>1923</v>
      </c>
      <c r="S140" s="351">
        <v>0</v>
      </c>
      <c r="T140" s="352">
        <v>1</v>
      </c>
      <c r="U140" s="353">
        <v>0</v>
      </c>
      <c r="V140" s="721" t="s">
        <v>84</v>
      </c>
      <c r="W140" s="8"/>
      <c r="X140" s="461"/>
      <c r="Y140" s="58"/>
      <c r="Z140" s="462"/>
      <c r="AA140" s="56"/>
      <c r="AB140" s="56"/>
      <c r="AC140" s="1207">
        <v>1</v>
      </c>
      <c r="AD140" s="56"/>
      <c r="AE140" s="541" t="s">
        <v>24</v>
      </c>
      <c r="AF140" s="1149" t="s">
        <v>630</v>
      </c>
      <c r="AG140" s="1149"/>
      <c r="AH140" s="541" t="s">
        <v>25</v>
      </c>
      <c r="AI140" s="993"/>
      <c r="AJ140" s="1166" t="s">
        <v>688</v>
      </c>
    </row>
    <row r="141" spans="1:36" s="7" customFormat="1" ht="60" customHeight="1" x14ac:dyDescent="0.2">
      <c r="B141" s="123" t="s">
        <v>902</v>
      </c>
      <c r="D141" s="392">
        <v>2</v>
      </c>
      <c r="E141" s="144" t="s">
        <v>146</v>
      </c>
      <c r="F141" s="767" t="s">
        <v>1559</v>
      </c>
      <c r="G141" s="767" t="s">
        <v>1113</v>
      </c>
      <c r="H141" s="254"/>
      <c r="I141" s="1067"/>
      <c r="J141" s="214" t="s">
        <v>48</v>
      </c>
      <c r="K141" s="233"/>
      <c r="L141" s="588">
        <v>2</v>
      </c>
      <c r="M141" s="588"/>
      <c r="N141" s="918" t="s">
        <v>3</v>
      </c>
      <c r="O141" s="297" t="s">
        <v>1418</v>
      </c>
      <c r="P141" s="343">
        <f>Test_Bible!P245</f>
        <v>2</v>
      </c>
      <c r="Q141" s="343">
        <f>Test_Bible!Q245</f>
        <v>4</v>
      </c>
      <c r="R141" s="388" t="s">
        <v>1962</v>
      </c>
      <c r="S141" s="351">
        <v>0</v>
      </c>
      <c r="T141" s="352">
        <v>0.5</v>
      </c>
      <c r="U141" s="353">
        <v>0.5</v>
      </c>
      <c r="V141" s="721" t="s">
        <v>84</v>
      </c>
      <c r="W141" s="8"/>
      <c r="X141" s="461"/>
      <c r="Y141" s="58"/>
      <c r="Z141" s="462"/>
      <c r="AA141" s="56"/>
      <c r="AB141" s="56"/>
      <c r="AC141" s="1207">
        <v>1</v>
      </c>
      <c r="AD141" s="56"/>
      <c r="AE141" s="541"/>
      <c r="AF141" s="1142"/>
      <c r="AG141" s="1142"/>
      <c r="AH141" s="541" t="s">
        <v>25</v>
      </c>
      <c r="AI141" s="993"/>
      <c r="AJ141" s="1166" t="s">
        <v>688</v>
      </c>
    </row>
    <row r="142" spans="1:36" s="7" customFormat="1" ht="52" customHeight="1" x14ac:dyDescent="0.2">
      <c r="D142" s="392">
        <v>42</v>
      </c>
      <c r="E142" s="206" t="s">
        <v>147</v>
      </c>
      <c r="F142" s="782" t="s">
        <v>1807</v>
      </c>
      <c r="G142" s="782" t="s">
        <v>1114</v>
      </c>
      <c r="H142" s="259"/>
      <c r="I142" s="1066"/>
      <c r="J142" s="215"/>
      <c r="K142" s="234"/>
      <c r="L142" s="588">
        <v>2</v>
      </c>
      <c r="M142" s="588"/>
      <c r="N142" s="918" t="s">
        <v>7</v>
      </c>
      <c r="O142" s="1847" t="s">
        <v>1544</v>
      </c>
      <c r="P142" s="343">
        <f>Test_Bible!P246</f>
        <v>7</v>
      </c>
      <c r="Q142" s="343">
        <f>Test_Bible!Q246</f>
        <v>14</v>
      </c>
      <c r="R142" s="2059" t="s">
        <v>1963</v>
      </c>
      <c r="S142" s="351">
        <v>1</v>
      </c>
      <c r="T142" s="352">
        <v>0</v>
      </c>
      <c r="U142" s="353">
        <v>0</v>
      </c>
      <c r="V142" s="721" t="s">
        <v>84</v>
      </c>
      <c r="W142" s="8"/>
      <c r="X142" s="461"/>
      <c r="Y142" s="449"/>
      <c r="Z142" s="462"/>
      <c r="AA142" s="56"/>
      <c r="AB142" s="56"/>
      <c r="AC142" s="1207">
        <v>1</v>
      </c>
      <c r="AD142" s="56"/>
      <c r="AE142" s="1146"/>
      <c r="AF142" s="1147"/>
      <c r="AG142" s="1147"/>
      <c r="AH142" s="541" t="s">
        <v>25</v>
      </c>
      <c r="AI142" s="993"/>
      <c r="AJ142" s="1166" t="s">
        <v>688</v>
      </c>
    </row>
    <row r="143" spans="1:36" s="7" customFormat="1" ht="65" customHeight="1" x14ac:dyDescent="0.2">
      <c r="A143" s="769" t="s">
        <v>872</v>
      </c>
      <c r="D143" s="392">
        <v>67</v>
      </c>
      <c r="E143" s="206" t="s">
        <v>148</v>
      </c>
      <c r="F143" s="782" t="s">
        <v>1808</v>
      </c>
      <c r="G143" s="782" t="s">
        <v>1115</v>
      </c>
      <c r="H143" s="259"/>
      <c r="I143" s="1077"/>
      <c r="J143" s="450"/>
      <c r="K143" s="234"/>
      <c r="L143" s="588">
        <v>2</v>
      </c>
      <c r="M143" s="588"/>
      <c r="N143" s="918" t="s">
        <v>7</v>
      </c>
      <c r="O143" s="1847" t="s">
        <v>1544</v>
      </c>
      <c r="P143" s="343">
        <f>Test_Bible!P247</f>
        <v>4</v>
      </c>
      <c r="Q143" s="343">
        <f>Test_Bible!Q247</f>
        <v>8</v>
      </c>
      <c r="R143" s="2059" t="s">
        <v>1964</v>
      </c>
      <c r="S143" s="351">
        <v>0</v>
      </c>
      <c r="T143" s="352">
        <v>0</v>
      </c>
      <c r="U143" s="353">
        <v>1</v>
      </c>
      <c r="V143" s="760" t="s">
        <v>149</v>
      </c>
      <c r="W143" s="8"/>
      <c r="X143" s="461"/>
      <c r="Y143" s="58"/>
      <c r="Z143" s="462"/>
      <c r="AA143" s="56"/>
      <c r="AB143" s="56"/>
      <c r="AC143" s="56"/>
      <c r="AD143" s="1207">
        <v>1</v>
      </c>
      <c r="AE143" s="541"/>
      <c r="AF143" s="1142"/>
      <c r="AG143" s="1142"/>
      <c r="AH143" s="1146"/>
      <c r="AI143" s="993"/>
      <c r="AJ143" s="995"/>
    </row>
    <row r="144" spans="1:36" s="7" customFormat="1" ht="100" customHeight="1" x14ac:dyDescent="0.2">
      <c r="C144" s="898" t="s">
        <v>1607</v>
      </c>
      <c r="D144" s="392">
        <v>41</v>
      </c>
      <c r="E144" s="206" t="s">
        <v>150</v>
      </c>
      <c r="F144" s="782" t="s">
        <v>1809</v>
      </c>
      <c r="G144" s="782" t="s">
        <v>1116</v>
      </c>
      <c r="H144" s="259"/>
      <c r="I144" s="1066"/>
      <c r="J144" s="215"/>
      <c r="K144" s="234">
        <v>2</v>
      </c>
      <c r="L144" s="588">
        <v>2</v>
      </c>
      <c r="M144" s="587">
        <v>3</v>
      </c>
      <c r="N144" s="918" t="s">
        <v>3</v>
      </c>
      <c r="O144" s="297" t="s">
        <v>1418</v>
      </c>
      <c r="P144" s="343">
        <f>Test_Bible!P248</f>
        <v>7</v>
      </c>
      <c r="Q144" s="343">
        <f>Test_Bible!Q248</f>
        <v>21</v>
      </c>
      <c r="R144" s="346" t="s">
        <v>1919</v>
      </c>
      <c r="S144" s="351">
        <v>0</v>
      </c>
      <c r="T144" s="352">
        <v>0</v>
      </c>
      <c r="U144" s="353">
        <v>1</v>
      </c>
      <c r="V144" s="760" t="s">
        <v>149</v>
      </c>
      <c r="W144" s="8"/>
      <c r="X144" s="461"/>
      <c r="Y144" s="58"/>
      <c r="Z144" s="462"/>
      <c r="AA144" s="56"/>
      <c r="AB144" s="56"/>
      <c r="AC144" s="56"/>
      <c r="AD144" s="1207">
        <v>1</v>
      </c>
      <c r="AE144" s="1146"/>
      <c r="AF144" s="1147"/>
      <c r="AG144" s="1147"/>
      <c r="AH144" s="1146"/>
      <c r="AI144" s="993"/>
      <c r="AJ144" s="995"/>
    </row>
    <row r="145" spans="1:98" s="7" customFormat="1" ht="68" customHeight="1" x14ac:dyDescent="0.2">
      <c r="A145" s="769" t="s">
        <v>916</v>
      </c>
      <c r="D145" s="392">
        <v>46</v>
      </c>
      <c r="E145" s="206" t="s">
        <v>151</v>
      </c>
      <c r="F145" s="782" t="s">
        <v>1810</v>
      </c>
      <c r="G145" s="782" t="s">
        <v>1117</v>
      </c>
      <c r="H145" s="259"/>
      <c r="I145" s="1077"/>
      <c r="J145" s="450"/>
      <c r="K145" s="234"/>
      <c r="L145" s="587">
        <v>3</v>
      </c>
      <c r="M145" s="587"/>
      <c r="N145" s="918" t="s">
        <v>3</v>
      </c>
      <c r="O145" s="297" t="s">
        <v>1418</v>
      </c>
      <c r="P145" s="343">
        <f>Test_Bible!P249</f>
        <v>0</v>
      </c>
      <c r="Q145" s="343">
        <f>Test_Bible!Q249</f>
        <v>0</v>
      </c>
      <c r="R145" s="346" t="s">
        <v>1902</v>
      </c>
      <c r="S145" s="351">
        <v>0.5</v>
      </c>
      <c r="T145" s="352">
        <v>0.5</v>
      </c>
      <c r="U145" s="353">
        <v>0</v>
      </c>
      <c r="V145" s="760" t="s">
        <v>149</v>
      </c>
      <c r="W145" s="8"/>
      <c r="X145" s="461"/>
      <c r="Y145" s="58"/>
      <c r="Z145" s="462"/>
      <c r="AA145" s="56"/>
      <c r="AB145" s="56"/>
      <c r="AC145" s="56"/>
      <c r="AD145" s="1207">
        <v>1</v>
      </c>
      <c r="AE145" s="1146"/>
      <c r="AF145" s="1147"/>
      <c r="AG145" s="1147"/>
      <c r="AH145" s="1146"/>
      <c r="AI145" s="993"/>
      <c r="AJ145" s="995"/>
    </row>
    <row r="146" spans="1:98" s="7" customFormat="1" ht="120" x14ac:dyDescent="0.2">
      <c r="A146" s="769" t="s">
        <v>916</v>
      </c>
      <c r="D146" s="392">
        <v>51</v>
      </c>
      <c r="E146" s="206" t="s">
        <v>152</v>
      </c>
      <c r="F146" s="782" t="s">
        <v>1811</v>
      </c>
      <c r="G146" s="782" t="s">
        <v>1118</v>
      </c>
      <c r="H146" s="261"/>
      <c r="I146" s="1069"/>
      <c r="J146" s="215"/>
      <c r="K146" s="234"/>
      <c r="L146" s="614">
        <v>3</v>
      </c>
      <c r="M146" s="604"/>
      <c r="N146" s="918" t="s">
        <v>7</v>
      </c>
      <c r="O146" s="1847" t="s">
        <v>1544</v>
      </c>
      <c r="P146" s="342">
        <f>Test_Bible!P234</f>
        <v>0</v>
      </c>
      <c r="Q146" s="343">
        <f>Test_Bible!Q234</f>
        <v>0</v>
      </c>
      <c r="R146" s="1893" t="s">
        <v>1980</v>
      </c>
      <c r="S146" s="351">
        <v>0</v>
      </c>
      <c r="T146" s="352">
        <v>0.5</v>
      </c>
      <c r="U146" s="353">
        <v>0.5</v>
      </c>
      <c r="V146" s="709" t="s">
        <v>69</v>
      </c>
      <c r="W146" s="8"/>
      <c r="X146" s="461"/>
      <c r="Y146" s="1208">
        <v>1</v>
      </c>
      <c r="Z146" s="462"/>
      <c r="AA146" s="56"/>
      <c r="AB146" s="56"/>
      <c r="AC146" s="56"/>
      <c r="AD146" s="56"/>
      <c r="AE146" s="541"/>
      <c r="AF146" s="1149"/>
      <c r="AG146" s="1149"/>
      <c r="AH146" s="541" t="s">
        <v>25</v>
      </c>
      <c r="AI146" s="993"/>
      <c r="AJ146" s="1149" t="s">
        <v>657</v>
      </c>
    </row>
    <row r="147" spans="1:98" ht="176" customHeight="1" x14ac:dyDescent="0.2">
      <c r="A147" s="769" t="s">
        <v>916</v>
      </c>
      <c r="D147" s="392">
        <v>6</v>
      </c>
      <c r="E147" s="141" t="s">
        <v>153</v>
      </c>
      <c r="F147" s="1019" t="s">
        <v>1812</v>
      </c>
      <c r="G147" s="782" t="s">
        <v>1119</v>
      </c>
      <c r="H147" s="415" t="s">
        <v>1498</v>
      </c>
      <c r="I147" s="1078"/>
      <c r="J147" s="450"/>
      <c r="K147" s="206"/>
      <c r="L147" s="501"/>
      <c r="M147" s="501"/>
      <c r="N147" s="918" t="s">
        <v>51</v>
      </c>
      <c r="O147" s="654" t="s">
        <v>454</v>
      </c>
      <c r="P147" s="355"/>
      <c r="Q147" s="355"/>
      <c r="R147" s="355"/>
      <c r="S147" s="350" t="s">
        <v>34</v>
      </c>
      <c r="T147" s="374" t="s">
        <v>34</v>
      </c>
      <c r="U147" s="377" t="s">
        <v>34</v>
      </c>
      <c r="V147" s="761" t="s">
        <v>35</v>
      </c>
      <c r="W147" s="8"/>
      <c r="X147" s="461"/>
      <c r="Z147" s="463"/>
      <c r="AE147" s="541" t="s">
        <v>24</v>
      </c>
      <c r="AH147" s="541" t="s">
        <v>25</v>
      </c>
      <c r="AI147" s="288"/>
      <c r="AJ147" s="288" t="s">
        <v>631</v>
      </c>
    </row>
    <row r="148" spans="1:98" s="131" customFormat="1" ht="37" customHeight="1" x14ac:dyDescent="0.2">
      <c r="A148" s="7"/>
      <c r="B148" s="7"/>
      <c r="C148" s="7"/>
      <c r="D148" s="236"/>
      <c r="E148" s="1021"/>
      <c r="F148" s="1022"/>
      <c r="G148" s="1023"/>
      <c r="H148" s="1024"/>
      <c r="I148" s="1024"/>
      <c r="J148" s="1025"/>
      <c r="K148" s="1025"/>
      <c r="L148" s="1025"/>
      <c r="M148" s="1025"/>
      <c r="N148" s="1026"/>
      <c r="O148" s="1839"/>
      <c r="P148" s="1026"/>
      <c r="Q148" s="1027">
        <f>SUM(Q81:Q147)</f>
        <v>317</v>
      </c>
      <c r="R148" s="1027"/>
      <c r="S148" s="1028" t="s">
        <v>29</v>
      </c>
      <c r="T148" s="1029" t="s">
        <v>30</v>
      </c>
      <c r="U148" s="1029" t="s">
        <v>31</v>
      </c>
      <c r="V148" s="1030"/>
      <c r="W148" s="8"/>
      <c r="X148" s="8"/>
      <c r="Y148" s="458"/>
      <c r="Z148" s="462"/>
      <c r="AA148" s="56"/>
      <c r="AB148" s="56"/>
      <c r="AC148" s="56"/>
      <c r="AD148" s="56"/>
      <c r="AE148" s="1179"/>
      <c r="AF148" s="1170"/>
      <c r="AG148" s="1170"/>
      <c r="AH148" s="1171"/>
      <c r="AI148" s="1172"/>
      <c r="AJ148" s="1173"/>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row>
    <row r="149" spans="1:98" ht="40" customHeight="1" thickBot="1" x14ac:dyDescent="0.25">
      <c r="A149" s="73"/>
      <c r="B149" s="73"/>
      <c r="C149" s="73"/>
      <c r="D149" s="1031"/>
      <c r="E149" s="359"/>
      <c r="F149" s="360"/>
      <c r="G149" s="359"/>
      <c r="H149" s="1032"/>
      <c r="I149" s="1079"/>
      <c r="J149" s="1033"/>
      <c r="K149" s="1034"/>
      <c r="L149" s="1035"/>
      <c r="M149" s="1036"/>
      <c r="N149" s="361"/>
      <c r="O149" s="360"/>
      <c r="P149" s="1037"/>
      <c r="Q149" s="1037"/>
      <c r="R149" s="1037"/>
      <c r="S149" s="1038"/>
      <c r="T149" s="1039"/>
      <c r="U149" s="1040"/>
      <c r="V149" s="364"/>
      <c r="W149" s="456"/>
      <c r="X149" s="456"/>
      <c r="Y149" s="5"/>
      <c r="Z149" s="1020"/>
      <c r="AE149" s="1180"/>
      <c r="AF149" s="1181"/>
      <c r="AG149" s="1147"/>
      <c r="AH149" s="541"/>
      <c r="AJ149" s="541"/>
    </row>
    <row r="150" spans="1:98" ht="40" customHeight="1" x14ac:dyDescent="0.2">
      <c r="D150" s="173" t="s">
        <v>155</v>
      </c>
      <c r="E150" s="416"/>
      <c r="F150" s="576"/>
      <c r="G150" s="549"/>
      <c r="H150" s="417"/>
      <c r="I150" s="1080"/>
      <c r="J150" s="418"/>
      <c r="K150" s="419"/>
      <c r="L150" s="593"/>
      <c r="M150" s="606"/>
      <c r="N150" s="923"/>
      <c r="O150" s="1840"/>
      <c r="P150" s="420"/>
      <c r="Q150" s="420"/>
      <c r="R150" s="420"/>
      <c r="S150" s="369"/>
      <c r="T150" s="372"/>
      <c r="U150" s="373"/>
      <c r="V150" s="716"/>
      <c r="W150" s="457"/>
      <c r="X150" s="457"/>
      <c r="Y150" s="57"/>
      <c r="Z150" s="463"/>
      <c r="AE150" s="1182"/>
      <c r="AF150" s="1183"/>
      <c r="AG150" s="1183"/>
      <c r="AH150" s="1182"/>
      <c r="AI150" s="1184"/>
      <c r="AJ150" s="1185"/>
    </row>
    <row r="151" spans="1:98" ht="53" customHeight="1" x14ac:dyDescent="0.2">
      <c r="D151" s="1501">
        <v>0</v>
      </c>
      <c r="E151" s="190" t="s">
        <v>156</v>
      </c>
      <c r="F151" s="100" t="s">
        <v>1720</v>
      </c>
      <c r="G151" s="1041" t="s">
        <v>1122</v>
      </c>
      <c r="H151" s="268"/>
      <c r="I151" s="1081"/>
      <c r="J151" s="132" t="s">
        <v>1630</v>
      </c>
      <c r="K151" s="225"/>
      <c r="L151" s="594">
        <v>1</v>
      </c>
      <c r="M151" s="594"/>
      <c r="N151" s="918" t="s">
        <v>450</v>
      </c>
      <c r="O151" s="911" t="s">
        <v>1480</v>
      </c>
      <c r="P151" s="344">
        <f>Test_Bible!P263</f>
        <v>2</v>
      </c>
      <c r="Q151" s="344">
        <f>Test_Bible!Q263</f>
        <v>2</v>
      </c>
      <c r="R151" s="344"/>
      <c r="S151" s="350" t="s">
        <v>34</v>
      </c>
      <c r="T151" s="374" t="s">
        <v>34</v>
      </c>
      <c r="U151" s="377" t="s">
        <v>34</v>
      </c>
      <c r="V151" s="717" t="s">
        <v>55</v>
      </c>
      <c r="W151" s="8"/>
      <c r="X151" s="461"/>
      <c r="Y151" s="458"/>
      <c r="Z151" s="463"/>
      <c r="AE151" s="1159" t="s">
        <v>68</v>
      </c>
      <c r="AF151" s="1160"/>
      <c r="AG151" s="1160"/>
      <c r="AH151" s="1159" t="s">
        <v>68</v>
      </c>
      <c r="AI151" s="1161"/>
      <c r="AJ151" s="1162"/>
    </row>
    <row r="152" spans="1:98" ht="49" customHeight="1" x14ac:dyDescent="0.2">
      <c r="D152" s="1501">
        <v>1</v>
      </c>
      <c r="E152" s="311" t="s">
        <v>157</v>
      </c>
      <c r="F152" s="100" t="s">
        <v>1721</v>
      </c>
      <c r="G152" s="1042" t="s">
        <v>1123</v>
      </c>
      <c r="H152" s="269"/>
      <c r="I152" s="1082"/>
      <c r="J152" s="132" t="s">
        <v>1630</v>
      </c>
      <c r="K152" s="225">
        <v>6</v>
      </c>
      <c r="L152" s="594">
        <v>1</v>
      </c>
      <c r="M152" s="594"/>
      <c r="N152" s="918" t="s">
        <v>450</v>
      </c>
      <c r="O152" s="911" t="s">
        <v>1480</v>
      </c>
      <c r="P152" s="344">
        <f>Test_Bible!P264</f>
        <v>7</v>
      </c>
      <c r="Q152" s="344">
        <f>Test_Bible!Q264</f>
        <v>7</v>
      </c>
      <c r="R152" s="344"/>
      <c r="S152" s="350" t="s">
        <v>34</v>
      </c>
      <c r="T152" s="374" t="s">
        <v>34</v>
      </c>
      <c r="U152" s="377" t="s">
        <v>34</v>
      </c>
      <c r="V152" s="718" t="s">
        <v>55</v>
      </c>
      <c r="W152" s="8"/>
      <c r="X152" s="461"/>
      <c r="Z152" s="463"/>
      <c r="AE152" s="541" t="s">
        <v>24</v>
      </c>
      <c r="AH152" s="1146"/>
      <c r="AI152" s="993"/>
      <c r="AJ152" s="995"/>
    </row>
    <row r="153" spans="1:98" ht="58" customHeight="1" x14ac:dyDescent="0.2">
      <c r="B153" s="123" t="s">
        <v>903</v>
      </c>
      <c r="D153" s="1501">
        <v>2</v>
      </c>
      <c r="E153" s="192" t="s">
        <v>349</v>
      </c>
      <c r="F153" s="299" t="s">
        <v>1722</v>
      </c>
      <c r="G153" s="1043" t="s">
        <v>1124</v>
      </c>
      <c r="H153" s="266"/>
      <c r="I153" s="1083"/>
      <c r="J153" s="132" t="s">
        <v>1630</v>
      </c>
      <c r="K153" s="240"/>
      <c r="L153" s="594">
        <v>1</v>
      </c>
      <c r="M153" s="594"/>
      <c r="N153" s="918" t="s">
        <v>450</v>
      </c>
      <c r="O153" s="911" t="s">
        <v>1480</v>
      </c>
      <c r="P153" s="344">
        <f>Test_Bible!P265</f>
        <v>2</v>
      </c>
      <c r="Q153" s="344">
        <f>Test_Bible!Q265</f>
        <v>2</v>
      </c>
      <c r="R153" s="344"/>
      <c r="S153" s="350" t="s">
        <v>34</v>
      </c>
      <c r="T153" s="374" t="s">
        <v>34</v>
      </c>
      <c r="U153" s="377" t="s">
        <v>34</v>
      </c>
      <c r="V153" s="719" t="s">
        <v>55</v>
      </c>
      <c r="W153" s="8"/>
      <c r="X153" s="461"/>
      <c r="Y153" s="458"/>
      <c r="Z153" s="463"/>
      <c r="AE153" s="1155" t="s">
        <v>24</v>
      </c>
      <c r="AF153" s="1164" t="s">
        <v>675</v>
      </c>
      <c r="AG153" s="1156"/>
      <c r="AH153" s="1159" t="s">
        <v>68</v>
      </c>
      <c r="AI153" s="1161"/>
      <c r="AJ153" s="1162"/>
    </row>
    <row r="154" spans="1:98" ht="70" customHeight="1" x14ac:dyDescent="0.25">
      <c r="C154" s="898" t="s">
        <v>1608</v>
      </c>
      <c r="D154" s="1501">
        <v>20</v>
      </c>
      <c r="E154" s="191" t="s">
        <v>350</v>
      </c>
      <c r="F154" s="100" t="s">
        <v>1723</v>
      </c>
      <c r="G154" s="1041" t="s">
        <v>1125</v>
      </c>
      <c r="H154" s="270"/>
      <c r="I154" s="1084"/>
      <c r="J154" s="147"/>
      <c r="K154" s="238">
        <v>4</v>
      </c>
      <c r="L154" s="580">
        <v>1</v>
      </c>
      <c r="M154" s="608">
        <v>2</v>
      </c>
      <c r="N154" s="918" t="s">
        <v>3</v>
      </c>
      <c r="O154" s="297" t="s">
        <v>1418</v>
      </c>
      <c r="P154" s="345">
        <f>Test_Bible!P267</f>
        <v>7</v>
      </c>
      <c r="Q154" s="345">
        <f>Test_Bible!Q267</f>
        <v>7</v>
      </c>
      <c r="R154" s="345" t="s">
        <v>2019</v>
      </c>
      <c r="S154" s="354">
        <v>0.5</v>
      </c>
      <c r="T154" s="374">
        <v>0.5</v>
      </c>
      <c r="U154" s="375">
        <v>0</v>
      </c>
      <c r="V154" s="719" t="s">
        <v>55</v>
      </c>
      <c r="W154" s="6">
        <v>1</v>
      </c>
      <c r="X154" s="461"/>
      <c r="Y154" s="458"/>
      <c r="Z154" s="463"/>
      <c r="AE154" s="541" t="s">
        <v>24</v>
      </c>
      <c r="AF154" s="1149" t="s">
        <v>655</v>
      </c>
      <c r="AG154" s="1149"/>
      <c r="AH154" s="1155" t="s">
        <v>25</v>
      </c>
      <c r="AI154" s="1157"/>
      <c r="AJ154" s="1158"/>
    </row>
    <row r="155" spans="1:98" ht="69" customHeight="1" x14ac:dyDescent="0.2">
      <c r="A155" s="1292"/>
      <c r="B155" s="123" t="s">
        <v>904</v>
      </c>
      <c r="C155" s="26"/>
      <c r="D155" s="1501">
        <v>21</v>
      </c>
      <c r="E155" s="192" t="s">
        <v>158</v>
      </c>
      <c r="F155" s="299" t="s">
        <v>1724</v>
      </c>
      <c r="G155" s="1043" t="s">
        <v>1126</v>
      </c>
      <c r="H155" s="271"/>
      <c r="I155" s="1085"/>
      <c r="J155" s="148"/>
      <c r="K155" s="239"/>
      <c r="L155" s="588">
        <v>2</v>
      </c>
      <c r="M155" s="588"/>
      <c r="N155" s="918" t="s">
        <v>7</v>
      </c>
      <c r="O155" s="1847" t="s">
        <v>1544</v>
      </c>
      <c r="P155" s="345">
        <f>Test_Bible!P268</f>
        <v>10</v>
      </c>
      <c r="Q155" s="345">
        <f>Test_Bible!Q268</f>
        <v>20</v>
      </c>
      <c r="R155" s="345" t="s">
        <v>2020</v>
      </c>
      <c r="S155" s="354">
        <v>0.5</v>
      </c>
      <c r="T155" s="374">
        <v>0.5</v>
      </c>
      <c r="U155" s="375">
        <v>0</v>
      </c>
      <c r="V155" s="719" t="s">
        <v>55</v>
      </c>
      <c r="W155" s="6">
        <v>1</v>
      </c>
      <c r="X155" s="461"/>
      <c r="Y155" s="458"/>
      <c r="Z155" s="463"/>
      <c r="AE155" s="1159" t="s">
        <v>68</v>
      </c>
      <c r="AF155" s="1160"/>
      <c r="AG155" s="1160"/>
      <c r="AH155" s="1159" t="s">
        <v>68</v>
      </c>
      <c r="AI155" s="1161"/>
      <c r="AJ155" s="1162"/>
    </row>
    <row r="156" spans="1:98" ht="68" customHeight="1" x14ac:dyDescent="0.2">
      <c r="A156" s="199" t="s">
        <v>1615</v>
      </c>
      <c r="B156" s="1820"/>
      <c r="D156" s="1501">
        <v>52</v>
      </c>
      <c r="E156" s="191" t="s">
        <v>159</v>
      </c>
      <c r="F156" s="100" t="s">
        <v>1725</v>
      </c>
      <c r="G156" s="1041" t="s">
        <v>1127</v>
      </c>
      <c r="H156" s="270"/>
      <c r="I156" s="1084"/>
      <c r="J156" s="147"/>
      <c r="K156" s="238">
        <v>4</v>
      </c>
      <c r="L156" s="588">
        <v>2</v>
      </c>
      <c r="M156" s="588"/>
      <c r="N156" s="918" t="s">
        <v>3</v>
      </c>
      <c r="O156" s="297" t="s">
        <v>1418</v>
      </c>
      <c r="P156" s="345">
        <f>Test_Bible!P269</f>
        <v>0</v>
      </c>
      <c r="Q156" s="345">
        <f>Test_Bible!Q269</f>
        <v>0</v>
      </c>
      <c r="R156" s="345" t="s">
        <v>2064</v>
      </c>
      <c r="S156" s="354">
        <v>0.5</v>
      </c>
      <c r="T156" s="374">
        <v>0.5</v>
      </c>
      <c r="U156" s="375">
        <v>0</v>
      </c>
      <c r="V156" s="719" t="s">
        <v>55</v>
      </c>
      <c r="W156" s="6">
        <v>1</v>
      </c>
      <c r="X156" s="461"/>
      <c r="Y156" s="458"/>
      <c r="Z156" s="463"/>
      <c r="AE156" s="1159" t="s">
        <v>68</v>
      </c>
      <c r="AF156" s="1160"/>
      <c r="AG156" s="1160"/>
      <c r="AH156" s="1159" t="s">
        <v>68</v>
      </c>
      <c r="AI156" s="1161"/>
      <c r="AJ156" s="1162"/>
    </row>
    <row r="157" spans="1:98" ht="82" customHeight="1" x14ac:dyDescent="0.2">
      <c r="B157" s="123" t="s">
        <v>905</v>
      </c>
      <c r="D157" s="1501">
        <v>53</v>
      </c>
      <c r="E157" s="192" t="s">
        <v>160</v>
      </c>
      <c r="F157" s="299" t="s">
        <v>1726</v>
      </c>
      <c r="G157" s="1043" t="s">
        <v>1128</v>
      </c>
      <c r="H157" s="266"/>
      <c r="I157" s="1083"/>
      <c r="J157" s="148"/>
      <c r="K157" s="239">
        <v>4</v>
      </c>
      <c r="L157" s="587">
        <v>3</v>
      </c>
      <c r="M157" s="587"/>
      <c r="N157" s="918" t="s">
        <v>3</v>
      </c>
      <c r="O157" s="297" t="s">
        <v>1418</v>
      </c>
      <c r="P157" s="345">
        <f>Test_Bible!P270</f>
        <v>0</v>
      </c>
      <c r="Q157" s="345">
        <f>Test_Bible!Q270</f>
        <v>0</v>
      </c>
      <c r="R157" s="345" t="s">
        <v>2063</v>
      </c>
      <c r="S157" s="354">
        <v>0</v>
      </c>
      <c r="T157" s="374">
        <v>1</v>
      </c>
      <c r="U157" s="375">
        <v>0</v>
      </c>
      <c r="V157" s="719" t="s">
        <v>55</v>
      </c>
      <c r="W157" s="6">
        <v>1</v>
      </c>
      <c r="X157" s="461"/>
      <c r="Y157" s="458"/>
      <c r="Z157" s="463"/>
      <c r="AE157" s="1159" t="s">
        <v>68</v>
      </c>
      <c r="AF157" s="1160"/>
      <c r="AG157" s="1160"/>
      <c r="AH157" s="1159" t="s">
        <v>68</v>
      </c>
      <c r="AI157" s="1161"/>
      <c r="AJ157" s="1162"/>
    </row>
    <row r="158" spans="1:98" ht="60" customHeight="1" x14ac:dyDescent="0.2">
      <c r="B158" s="123" t="s">
        <v>1714</v>
      </c>
      <c r="D158" s="1501">
        <v>54</v>
      </c>
      <c r="E158" s="193" t="s">
        <v>1713</v>
      </c>
      <c r="F158" s="767" t="s">
        <v>1727</v>
      </c>
      <c r="G158" s="766" t="s">
        <v>1171</v>
      </c>
      <c r="H158" s="274"/>
      <c r="I158" s="1087"/>
      <c r="J158" s="171"/>
      <c r="K158" s="196"/>
      <c r="L158" s="587">
        <v>3</v>
      </c>
      <c r="M158" s="587"/>
      <c r="N158" s="918" t="s">
        <v>3</v>
      </c>
      <c r="O158" s="297" t="s">
        <v>1418</v>
      </c>
      <c r="P158" s="345">
        <f>Test_Bible!P271</f>
        <v>0</v>
      </c>
      <c r="Q158" s="345">
        <f>Test_Bible!Q271</f>
        <v>0</v>
      </c>
      <c r="R158" s="345" t="s">
        <v>2022</v>
      </c>
      <c r="S158" s="350">
        <v>0.5</v>
      </c>
      <c r="T158" s="376">
        <v>0.5</v>
      </c>
      <c r="U158" s="377">
        <v>0</v>
      </c>
      <c r="V158" s="722" t="s">
        <v>149</v>
      </c>
      <c r="W158" s="8"/>
      <c r="X158" s="461"/>
      <c r="Y158" s="458"/>
      <c r="Z158" s="463"/>
      <c r="AD158" s="1204">
        <v>1</v>
      </c>
      <c r="AE158" s="1159" t="s">
        <v>68</v>
      </c>
      <c r="AF158" s="1160"/>
      <c r="AG158" s="1160"/>
      <c r="AH158" s="1159" t="s">
        <v>68</v>
      </c>
      <c r="AI158" s="1161"/>
      <c r="AJ158" s="1162"/>
    </row>
    <row r="159" spans="1:98" ht="69" customHeight="1" x14ac:dyDescent="0.2">
      <c r="D159" s="1501">
        <v>29</v>
      </c>
      <c r="E159" s="191" t="s">
        <v>161</v>
      </c>
      <c r="F159" s="100" t="s">
        <v>1728</v>
      </c>
      <c r="G159" s="1041" t="s">
        <v>1129</v>
      </c>
      <c r="H159" s="272"/>
      <c r="I159" s="1086"/>
      <c r="J159" s="147"/>
      <c r="K159" s="238">
        <v>4</v>
      </c>
      <c r="L159" s="588">
        <v>2</v>
      </c>
      <c r="M159" s="588"/>
      <c r="N159" s="918" t="s">
        <v>3</v>
      </c>
      <c r="O159" s="297" t="s">
        <v>1418</v>
      </c>
      <c r="P159" s="345">
        <f>Test_Bible!P272</f>
        <v>4</v>
      </c>
      <c r="Q159" s="345">
        <f>Test_Bible!Q272</f>
        <v>8</v>
      </c>
      <c r="R159" s="345" t="s">
        <v>2021</v>
      </c>
      <c r="S159" s="354">
        <v>0</v>
      </c>
      <c r="T159" s="374">
        <v>0</v>
      </c>
      <c r="U159" s="375">
        <v>1</v>
      </c>
      <c r="V159" s="719" t="s">
        <v>55</v>
      </c>
      <c r="W159" s="6">
        <v>1</v>
      </c>
      <c r="X159" s="461"/>
      <c r="Z159" s="463"/>
      <c r="AE159" s="1159" t="s">
        <v>68</v>
      </c>
      <c r="AF159" s="1160"/>
      <c r="AG159" s="1160"/>
      <c r="AH159" s="1159" t="s">
        <v>68</v>
      </c>
      <c r="AI159" s="1161"/>
      <c r="AJ159" s="1162"/>
    </row>
    <row r="160" spans="1:98" ht="105" customHeight="1" x14ac:dyDescent="0.2">
      <c r="B160" s="123" t="s">
        <v>906</v>
      </c>
      <c r="D160" s="1501">
        <v>30</v>
      </c>
      <c r="E160" s="192" t="s">
        <v>162</v>
      </c>
      <c r="F160" s="299" t="s">
        <v>1729</v>
      </c>
      <c r="G160" s="1015" t="s">
        <v>1130</v>
      </c>
      <c r="H160" s="1947" t="s">
        <v>446</v>
      </c>
      <c r="I160" s="1057"/>
      <c r="J160" s="148"/>
      <c r="K160" s="239"/>
      <c r="L160" s="588"/>
      <c r="M160" s="588"/>
      <c r="N160" s="918" t="s">
        <v>165</v>
      </c>
      <c r="O160" s="654" t="s">
        <v>455</v>
      </c>
      <c r="P160" s="335"/>
      <c r="Q160" s="335"/>
      <c r="R160" s="335"/>
      <c r="S160" s="350" t="s">
        <v>34</v>
      </c>
      <c r="T160" s="374" t="s">
        <v>34</v>
      </c>
      <c r="U160" s="377" t="s">
        <v>34</v>
      </c>
      <c r="V160" s="719" t="s">
        <v>55</v>
      </c>
      <c r="W160" s="6">
        <v>1</v>
      </c>
      <c r="X160" s="461"/>
      <c r="Y160" s="449"/>
      <c r="Z160" s="462"/>
      <c r="AE160" s="1159" t="s">
        <v>68</v>
      </c>
      <c r="AF160" s="1160"/>
      <c r="AG160" s="1160"/>
      <c r="AH160" s="1159" t="s">
        <v>68</v>
      </c>
      <c r="AI160" s="1161"/>
      <c r="AJ160" s="1162"/>
    </row>
    <row r="161" spans="1:36" ht="91" customHeight="1" x14ac:dyDescent="0.2">
      <c r="C161" s="898" t="s">
        <v>1609</v>
      </c>
      <c r="D161" s="1501">
        <v>31</v>
      </c>
      <c r="E161" s="191" t="s">
        <v>163</v>
      </c>
      <c r="F161" s="100" t="s">
        <v>1730</v>
      </c>
      <c r="G161" s="1041" t="s">
        <v>1131</v>
      </c>
      <c r="H161" s="272"/>
      <c r="I161" s="1086"/>
      <c r="J161" s="147"/>
      <c r="K161" s="238">
        <v>4</v>
      </c>
      <c r="L161" s="580">
        <v>1</v>
      </c>
      <c r="M161" s="608">
        <v>2</v>
      </c>
      <c r="N161" s="918" t="s">
        <v>3</v>
      </c>
      <c r="O161" s="297" t="s">
        <v>1418</v>
      </c>
      <c r="P161" s="345">
        <f>Test_Bible!P278</f>
        <v>4</v>
      </c>
      <c r="Q161" s="345">
        <f>Test_Bible!Q278</f>
        <v>8</v>
      </c>
      <c r="R161" s="345" t="s">
        <v>2062</v>
      </c>
      <c r="S161" s="354">
        <v>0</v>
      </c>
      <c r="T161" s="376">
        <v>0.5</v>
      </c>
      <c r="U161" s="377">
        <v>0.5</v>
      </c>
      <c r="V161" s="720" t="s">
        <v>97</v>
      </c>
      <c r="W161" s="8"/>
      <c r="X161" s="1205">
        <v>1</v>
      </c>
      <c r="Y161" s="458"/>
      <c r="Z161" s="463"/>
      <c r="AE161" s="1155" t="s">
        <v>24</v>
      </c>
      <c r="AF161" s="1164" t="s">
        <v>696</v>
      </c>
      <c r="AG161" s="1164"/>
      <c r="AH161" s="1155" t="s">
        <v>25</v>
      </c>
      <c r="AI161" s="1157"/>
      <c r="AJ161" s="1164" t="s">
        <v>697</v>
      </c>
    </row>
    <row r="162" spans="1:36" ht="74" customHeight="1" x14ac:dyDescent="0.2">
      <c r="B162" s="123" t="s">
        <v>1610</v>
      </c>
      <c r="D162" s="1501">
        <v>32</v>
      </c>
      <c r="E162" s="192" t="s">
        <v>164</v>
      </c>
      <c r="F162" s="299" t="s">
        <v>1731</v>
      </c>
      <c r="G162" s="1043" t="s">
        <v>1132</v>
      </c>
      <c r="H162" s="266"/>
      <c r="I162" s="1083"/>
      <c r="J162" s="148" t="s">
        <v>50</v>
      </c>
      <c r="K162" s="239">
        <v>4</v>
      </c>
      <c r="L162" s="587">
        <v>3</v>
      </c>
      <c r="M162" s="587"/>
      <c r="N162" s="918" t="s">
        <v>7</v>
      </c>
      <c r="O162" s="1847" t="s">
        <v>1544</v>
      </c>
      <c r="P162" s="345">
        <f>Test_Bible!P279</f>
        <v>4</v>
      </c>
      <c r="Q162" s="345">
        <f>Test_Bible!Q279</f>
        <v>12</v>
      </c>
      <c r="R162" s="345" t="s">
        <v>2023</v>
      </c>
      <c r="S162" s="354">
        <v>0</v>
      </c>
      <c r="T162" s="374">
        <v>1</v>
      </c>
      <c r="U162" s="375">
        <v>0</v>
      </c>
      <c r="V162" s="720" t="s">
        <v>97</v>
      </c>
      <c r="W162" s="8"/>
      <c r="X162" s="1205">
        <v>1</v>
      </c>
      <c r="Y162" s="458"/>
      <c r="Z162" s="463"/>
      <c r="AE162" s="1155" t="s">
        <v>24</v>
      </c>
      <c r="AF162" s="1186" t="s">
        <v>698</v>
      </c>
      <c r="AG162" s="1156"/>
      <c r="AH162" s="1155" t="s">
        <v>25</v>
      </c>
      <c r="AI162" s="1157"/>
      <c r="AJ162" s="1164" t="s">
        <v>697</v>
      </c>
    </row>
    <row r="163" spans="1:36" ht="65" customHeight="1" x14ac:dyDescent="0.2">
      <c r="B163" s="123" t="s">
        <v>907</v>
      </c>
      <c r="D163" s="1501">
        <v>33</v>
      </c>
      <c r="E163" s="192" t="s">
        <v>705</v>
      </c>
      <c r="F163" s="299" t="s">
        <v>1732</v>
      </c>
      <c r="G163" s="1043" t="s">
        <v>1133</v>
      </c>
      <c r="H163" s="266"/>
      <c r="I163" s="1083"/>
      <c r="J163" s="148" t="s">
        <v>48</v>
      </c>
      <c r="K163" s="239"/>
      <c r="L163" s="587">
        <v>3</v>
      </c>
      <c r="M163" s="587"/>
      <c r="N163" s="918" t="s">
        <v>3</v>
      </c>
      <c r="O163" s="297" t="s">
        <v>1418</v>
      </c>
      <c r="P163" s="345">
        <f>Test_Bible!P280</f>
        <v>0</v>
      </c>
      <c r="Q163" s="345">
        <f>Test_Bible!Q280</f>
        <v>0</v>
      </c>
      <c r="R163" s="345" t="s">
        <v>2024</v>
      </c>
      <c r="S163" s="354">
        <v>0</v>
      </c>
      <c r="T163" s="376">
        <v>0.5</v>
      </c>
      <c r="U163" s="377">
        <v>0.5</v>
      </c>
      <c r="V163" s="720" t="s">
        <v>97</v>
      </c>
      <c r="W163" s="8"/>
      <c r="X163" s="1205">
        <v>1</v>
      </c>
      <c r="Y163" s="449"/>
      <c r="Z163" s="462"/>
      <c r="AE163" s="1155" t="s">
        <v>24</v>
      </c>
      <c r="AF163" s="1186" t="s">
        <v>699</v>
      </c>
      <c r="AG163" s="1160"/>
      <c r="AH163" s="1155" t="s">
        <v>25</v>
      </c>
      <c r="AI163" s="1157"/>
      <c r="AJ163" s="1164" t="s">
        <v>697</v>
      </c>
    </row>
    <row r="164" spans="1:36" ht="94" customHeight="1" x14ac:dyDescent="0.2">
      <c r="D164" s="1501">
        <v>14</v>
      </c>
      <c r="E164" s="191" t="s">
        <v>166</v>
      </c>
      <c r="F164" s="100" t="s">
        <v>1733</v>
      </c>
      <c r="G164" s="1041" t="s">
        <v>1134</v>
      </c>
      <c r="H164" s="272"/>
      <c r="I164" s="1086"/>
      <c r="J164" s="149" t="s">
        <v>68</v>
      </c>
      <c r="K164" s="241"/>
      <c r="L164" s="580">
        <v>1</v>
      </c>
      <c r="M164" s="580"/>
      <c r="N164" s="918" t="s">
        <v>7</v>
      </c>
      <c r="O164" s="1847" t="s">
        <v>1544</v>
      </c>
      <c r="P164" s="345">
        <f>Test_Bible!P281</f>
        <v>2</v>
      </c>
      <c r="Q164" s="345">
        <f>Test_Bible!Q281</f>
        <v>2</v>
      </c>
      <c r="R164" s="345" t="s">
        <v>2025</v>
      </c>
      <c r="S164" s="354">
        <v>0</v>
      </c>
      <c r="T164" s="374">
        <v>1</v>
      </c>
      <c r="U164" s="377">
        <v>0</v>
      </c>
      <c r="V164" s="709" t="s">
        <v>69</v>
      </c>
      <c r="W164" s="8"/>
      <c r="X164" s="461"/>
      <c r="Y164" s="1209">
        <v>1</v>
      </c>
      <c r="Z164" s="463"/>
      <c r="AE164" s="1155" t="s">
        <v>24</v>
      </c>
      <c r="AF164" s="1164" t="s">
        <v>700</v>
      </c>
      <c r="AG164" s="1164"/>
      <c r="AH164" s="1155" t="s">
        <v>25</v>
      </c>
      <c r="AI164" s="1157"/>
      <c r="AJ164" s="1187" t="s">
        <v>701</v>
      </c>
    </row>
    <row r="165" spans="1:36" ht="71" customHeight="1" x14ac:dyDescent="0.2">
      <c r="A165" s="199" t="s">
        <v>1612</v>
      </c>
      <c r="B165" s="1751"/>
      <c r="D165" s="1501">
        <v>16</v>
      </c>
      <c r="E165" s="191" t="s">
        <v>1137</v>
      </c>
      <c r="F165" s="769" t="s">
        <v>1734</v>
      </c>
      <c r="G165" s="210" t="s">
        <v>1138</v>
      </c>
      <c r="H165" s="272"/>
      <c r="I165" s="1086"/>
      <c r="J165" s="149" t="s">
        <v>68</v>
      </c>
      <c r="K165" s="241"/>
      <c r="L165" s="580">
        <v>1</v>
      </c>
      <c r="M165" s="580"/>
      <c r="N165" s="918" t="s">
        <v>122</v>
      </c>
      <c r="O165" s="1847" t="s">
        <v>1528</v>
      </c>
      <c r="P165" s="345">
        <f>Test_Bible!P282</f>
        <v>0</v>
      </c>
      <c r="Q165" s="345">
        <f>Test_Bible!Q282</f>
        <v>0</v>
      </c>
      <c r="R165" s="345" t="s">
        <v>2026</v>
      </c>
      <c r="S165" s="354">
        <v>0</v>
      </c>
      <c r="T165" s="376">
        <v>0.5</v>
      </c>
      <c r="U165" s="377">
        <v>0.5</v>
      </c>
      <c r="V165" s="709" t="s">
        <v>69</v>
      </c>
      <c r="W165" s="8"/>
      <c r="X165" s="461"/>
      <c r="Y165" s="1209">
        <v>1</v>
      </c>
      <c r="Z165" s="463"/>
      <c r="AE165" s="1159" t="s">
        <v>68</v>
      </c>
      <c r="AF165" s="1160"/>
      <c r="AG165" s="1160"/>
      <c r="AH165" s="1159" t="s">
        <v>68</v>
      </c>
      <c r="AI165" s="1161"/>
      <c r="AJ165" s="13" t="s">
        <v>702</v>
      </c>
    </row>
    <row r="166" spans="1:36" ht="68" customHeight="1" x14ac:dyDescent="0.2">
      <c r="D166" s="1501">
        <v>17</v>
      </c>
      <c r="E166" s="191" t="s">
        <v>167</v>
      </c>
      <c r="F166" s="769" t="s">
        <v>1735</v>
      </c>
      <c r="G166" s="210" t="s">
        <v>1140</v>
      </c>
      <c r="H166" s="272"/>
      <c r="I166" s="1086"/>
      <c r="J166" s="149" t="s">
        <v>68</v>
      </c>
      <c r="K166" s="241"/>
      <c r="L166" s="588">
        <v>2</v>
      </c>
      <c r="M166" s="588"/>
      <c r="N166" s="918" t="s">
        <v>3</v>
      </c>
      <c r="O166" s="297" t="s">
        <v>1418</v>
      </c>
      <c r="P166" s="345">
        <f>Test_Bible!P283</f>
        <v>1</v>
      </c>
      <c r="Q166" s="345">
        <f>Test_Bible!Q283</f>
        <v>2</v>
      </c>
      <c r="R166" s="345" t="s">
        <v>2027</v>
      </c>
      <c r="S166" s="354">
        <v>0</v>
      </c>
      <c r="T166" s="376">
        <v>0.5</v>
      </c>
      <c r="U166" s="377">
        <v>0.5</v>
      </c>
      <c r="V166" s="709" t="s">
        <v>69</v>
      </c>
      <c r="W166" s="8"/>
      <c r="X166" s="461"/>
      <c r="Y166" s="1209">
        <v>1</v>
      </c>
      <c r="Z166" s="463"/>
      <c r="AE166" s="1155" t="s">
        <v>24</v>
      </c>
      <c r="AF166" s="1164" t="s">
        <v>703</v>
      </c>
      <c r="AG166" s="1164"/>
      <c r="AH166" s="1155" t="s">
        <v>25</v>
      </c>
      <c r="AI166" s="1161"/>
      <c r="AJ166" s="1165" t="s">
        <v>704</v>
      </c>
    </row>
    <row r="167" spans="1:36" ht="85" customHeight="1" x14ac:dyDescent="0.2">
      <c r="C167" s="898" t="s">
        <v>1613</v>
      </c>
      <c r="D167" s="1501">
        <v>3</v>
      </c>
      <c r="E167" s="197" t="s">
        <v>168</v>
      </c>
      <c r="F167" s="769" t="s">
        <v>1736</v>
      </c>
      <c r="G167" s="210" t="s">
        <v>1141</v>
      </c>
      <c r="H167" s="272"/>
      <c r="I167" s="1086"/>
      <c r="J167" s="149" t="s">
        <v>68</v>
      </c>
      <c r="K167" s="241"/>
      <c r="L167" s="588">
        <v>2</v>
      </c>
      <c r="M167" s="587">
        <v>3</v>
      </c>
      <c r="N167" s="918" t="s">
        <v>43</v>
      </c>
      <c r="O167" s="1847" t="s">
        <v>1419</v>
      </c>
      <c r="P167" s="345">
        <f>Test_Bible!P284</f>
        <v>4</v>
      </c>
      <c r="Q167" s="345">
        <f>Test_Bible!Q284</f>
        <v>8</v>
      </c>
      <c r="R167" s="345" t="s">
        <v>2061</v>
      </c>
      <c r="S167" s="354">
        <v>1</v>
      </c>
      <c r="T167" s="376">
        <v>0</v>
      </c>
      <c r="U167" s="377">
        <v>0</v>
      </c>
      <c r="V167" s="709" t="s">
        <v>69</v>
      </c>
      <c r="W167" s="8"/>
      <c r="X167" s="461"/>
      <c r="Y167" s="1209">
        <v>1</v>
      </c>
      <c r="Z167" s="462"/>
      <c r="AE167" s="1159" t="s">
        <v>68</v>
      </c>
      <c r="AF167" s="1160"/>
      <c r="AG167" s="1160"/>
      <c r="AH167" s="1159" t="s">
        <v>68</v>
      </c>
      <c r="AI167" s="1161"/>
      <c r="AJ167" s="1162"/>
    </row>
    <row r="168" spans="1:36" ht="58" customHeight="1" x14ac:dyDescent="0.2">
      <c r="A168" s="769" t="s">
        <v>872</v>
      </c>
      <c r="D168" s="1501">
        <v>47</v>
      </c>
      <c r="E168" s="197" t="s">
        <v>170</v>
      </c>
      <c r="F168" s="769" t="s">
        <v>1737</v>
      </c>
      <c r="G168" s="210" t="s">
        <v>1143</v>
      </c>
      <c r="H168" s="272"/>
      <c r="I168" s="1086"/>
      <c r="J168" s="149" t="s">
        <v>68</v>
      </c>
      <c r="K168" s="241"/>
      <c r="L168" s="588">
        <v>2</v>
      </c>
      <c r="M168" s="588"/>
      <c r="N168" s="918" t="s">
        <v>3</v>
      </c>
      <c r="O168" s="297" t="s">
        <v>1418</v>
      </c>
      <c r="P168" s="345">
        <f>Test_Bible!P285</f>
        <v>1</v>
      </c>
      <c r="Q168" s="345">
        <f>Test_Bible!Q285</f>
        <v>2</v>
      </c>
      <c r="R168" s="345" t="s">
        <v>757</v>
      </c>
      <c r="S168" s="350">
        <v>0</v>
      </c>
      <c r="T168" s="376">
        <v>0</v>
      </c>
      <c r="U168" s="375">
        <v>1</v>
      </c>
      <c r="V168" s="710" t="s">
        <v>62</v>
      </c>
      <c r="W168" s="8"/>
      <c r="X168" s="461"/>
      <c r="Y168" s="458"/>
      <c r="Z168" s="463">
        <v>1</v>
      </c>
      <c r="AE168" s="1159" t="s">
        <v>68</v>
      </c>
      <c r="AF168" s="1160"/>
      <c r="AG168" s="1160"/>
      <c r="AH168" s="1159" t="s">
        <v>68</v>
      </c>
      <c r="AI168" s="1161"/>
      <c r="AJ168" s="1162"/>
    </row>
    <row r="169" spans="1:36" ht="83" customHeight="1" x14ac:dyDescent="0.2">
      <c r="A169" s="769" t="s">
        <v>874</v>
      </c>
      <c r="D169" s="1501">
        <v>48</v>
      </c>
      <c r="E169" s="197" t="s">
        <v>171</v>
      </c>
      <c r="F169" s="769" t="s">
        <v>1738</v>
      </c>
      <c r="G169" s="210" t="s">
        <v>1144</v>
      </c>
      <c r="H169" s="272"/>
      <c r="I169" s="1086"/>
      <c r="J169" s="149" t="s">
        <v>68</v>
      </c>
      <c r="K169" s="241">
        <v>4</v>
      </c>
      <c r="L169" s="588">
        <v>2</v>
      </c>
      <c r="M169" s="588"/>
      <c r="N169" s="918" t="s">
        <v>3</v>
      </c>
      <c r="O169" s="297" t="s">
        <v>1418</v>
      </c>
      <c r="P169" s="345">
        <f>Test_Bible!P286</f>
        <v>4</v>
      </c>
      <c r="Q169" s="345">
        <f>Test_Bible!Q286</f>
        <v>8</v>
      </c>
      <c r="R169" s="345" t="s">
        <v>2028</v>
      </c>
      <c r="S169" s="350">
        <v>0</v>
      </c>
      <c r="T169" s="374">
        <v>1</v>
      </c>
      <c r="U169" s="377">
        <v>0</v>
      </c>
      <c r="V169" s="710" t="s">
        <v>62</v>
      </c>
      <c r="W169" s="8"/>
      <c r="X169" s="461"/>
      <c r="Y169" s="458"/>
      <c r="Z169" s="463">
        <v>1</v>
      </c>
      <c r="AE169" s="1155" t="s">
        <v>24</v>
      </c>
      <c r="AF169" s="1164" t="s">
        <v>627</v>
      </c>
      <c r="AG169" s="1164"/>
      <c r="AH169" s="1159" t="s">
        <v>68</v>
      </c>
      <c r="AI169" s="1161"/>
      <c r="AJ169" s="1162"/>
    </row>
    <row r="170" spans="1:36" ht="83" customHeight="1" x14ac:dyDescent="0.2">
      <c r="B170" s="123" t="s">
        <v>908</v>
      </c>
      <c r="D170" s="1501">
        <v>49</v>
      </c>
      <c r="E170" s="193" t="s">
        <v>549</v>
      </c>
      <c r="F170" s="767" t="s">
        <v>1739</v>
      </c>
      <c r="G170" s="766" t="s">
        <v>1145</v>
      </c>
      <c r="H170" s="274"/>
      <c r="I170" s="1087"/>
      <c r="J170" s="171" t="s">
        <v>50</v>
      </c>
      <c r="K170" s="196"/>
      <c r="L170" s="587">
        <v>3</v>
      </c>
      <c r="M170" s="587"/>
      <c r="N170" s="918" t="s">
        <v>7</v>
      </c>
      <c r="O170" s="1847" t="s">
        <v>1544</v>
      </c>
      <c r="P170" s="345">
        <f>Test_Bible!P287</f>
        <v>1</v>
      </c>
      <c r="Q170" s="345">
        <f>Test_Bible!Q287</f>
        <v>3</v>
      </c>
      <c r="R170" s="345" t="s">
        <v>2029</v>
      </c>
      <c r="S170" s="350">
        <v>0</v>
      </c>
      <c r="T170" s="374">
        <v>1</v>
      </c>
      <c r="U170" s="377">
        <v>0</v>
      </c>
      <c r="V170" s="710" t="s">
        <v>62</v>
      </c>
      <c r="W170" s="8"/>
      <c r="X170" s="461"/>
      <c r="Y170" s="458"/>
      <c r="Z170" s="463">
        <v>1</v>
      </c>
      <c r="AE170" s="1159"/>
      <c r="AF170" s="1160"/>
      <c r="AG170" s="1160"/>
      <c r="AH170" s="1159"/>
      <c r="AI170" s="1161"/>
      <c r="AJ170" s="1162"/>
    </row>
    <row r="171" spans="1:36" ht="65" customHeight="1" x14ac:dyDescent="0.2">
      <c r="D171" s="1501">
        <v>22</v>
      </c>
      <c r="E171" s="191" t="s">
        <v>172</v>
      </c>
      <c r="F171" s="769" t="s">
        <v>1560</v>
      </c>
      <c r="G171" s="210" t="s">
        <v>1146</v>
      </c>
      <c r="H171" s="272"/>
      <c r="I171" s="1086"/>
      <c r="J171" s="149" t="s">
        <v>88</v>
      </c>
      <c r="K171" s="241">
        <v>4</v>
      </c>
      <c r="L171" s="588">
        <v>2</v>
      </c>
      <c r="M171" s="588"/>
      <c r="N171" s="918" t="s">
        <v>3</v>
      </c>
      <c r="O171" s="297" t="s">
        <v>1418</v>
      </c>
      <c r="P171" s="345">
        <f>Test_Bible!P288</f>
        <v>4</v>
      </c>
      <c r="Q171" s="345">
        <f>Test_Bible!Q288</f>
        <v>8</v>
      </c>
      <c r="R171" s="345" t="s">
        <v>2030</v>
      </c>
      <c r="S171" s="350">
        <v>0</v>
      </c>
      <c r="T171" s="376">
        <v>1</v>
      </c>
      <c r="U171" s="377">
        <v>0</v>
      </c>
      <c r="V171" s="710" t="s">
        <v>62</v>
      </c>
      <c r="W171" s="8"/>
      <c r="X171" s="461"/>
      <c r="Y171" s="458"/>
      <c r="Z171" s="463">
        <v>1</v>
      </c>
      <c r="AE171" s="1159" t="s">
        <v>68</v>
      </c>
      <c r="AF171" s="1160"/>
      <c r="AG171" s="1160"/>
      <c r="AH171" s="1159" t="s">
        <v>68</v>
      </c>
      <c r="AI171" s="1161"/>
      <c r="AJ171" s="1162"/>
    </row>
    <row r="172" spans="1:36" ht="71" customHeight="1" x14ac:dyDescent="0.25">
      <c r="B172" s="123" t="s">
        <v>909</v>
      </c>
      <c r="D172" s="1501">
        <v>23</v>
      </c>
      <c r="E172" s="192" t="s">
        <v>351</v>
      </c>
      <c r="F172" s="767" t="s">
        <v>1561</v>
      </c>
      <c r="G172" s="1098" t="s">
        <v>1147</v>
      </c>
      <c r="H172" s="266"/>
      <c r="I172" s="1083"/>
      <c r="J172" s="151" t="s">
        <v>50</v>
      </c>
      <c r="K172" s="232"/>
      <c r="L172" s="587">
        <v>3</v>
      </c>
      <c r="M172" s="587"/>
      <c r="N172" s="918" t="s">
        <v>3</v>
      </c>
      <c r="O172" s="297" t="s">
        <v>1418</v>
      </c>
      <c r="P172" s="345">
        <f>Test_Bible!P289</f>
        <v>1</v>
      </c>
      <c r="Q172" s="345">
        <f>Test_Bible!Q289</f>
        <v>3</v>
      </c>
      <c r="R172" s="345" t="s">
        <v>2060</v>
      </c>
      <c r="S172" s="350">
        <v>0</v>
      </c>
      <c r="T172" s="376">
        <v>0</v>
      </c>
      <c r="U172" s="375">
        <v>1</v>
      </c>
      <c r="V172" s="710" t="s">
        <v>62</v>
      </c>
      <c r="W172" s="8"/>
      <c r="X172" s="461"/>
      <c r="Y172" s="449"/>
      <c r="Z172" s="463">
        <v>1</v>
      </c>
      <c r="AE172" s="1155" t="s">
        <v>24</v>
      </c>
      <c r="AF172" s="1164" t="s">
        <v>634</v>
      </c>
      <c r="AG172" s="1164"/>
      <c r="AH172" s="1155" t="s">
        <v>25</v>
      </c>
      <c r="AI172" s="1157"/>
      <c r="AJ172" s="1158"/>
    </row>
    <row r="173" spans="1:36" ht="67" customHeight="1" x14ac:dyDescent="0.2">
      <c r="C173" s="1819"/>
      <c r="D173" s="1852">
        <v>24</v>
      </c>
      <c r="E173" s="191" t="s">
        <v>173</v>
      </c>
      <c r="F173" s="769" t="s">
        <v>1740</v>
      </c>
      <c r="G173" s="210" t="s">
        <v>1148</v>
      </c>
      <c r="H173" s="272"/>
      <c r="I173" s="1086"/>
      <c r="J173" s="149" t="s">
        <v>88</v>
      </c>
      <c r="K173" s="241">
        <v>2</v>
      </c>
      <c r="L173" s="588">
        <v>2</v>
      </c>
      <c r="M173" s="608"/>
      <c r="N173" s="918" t="s">
        <v>3</v>
      </c>
      <c r="O173" s="297" t="s">
        <v>1418</v>
      </c>
      <c r="P173" s="345">
        <f>Test_Bible!P290</f>
        <v>2</v>
      </c>
      <c r="Q173" s="345">
        <f>Test_Bible!Q290</f>
        <v>4</v>
      </c>
      <c r="R173" s="345" t="s">
        <v>2031</v>
      </c>
      <c r="S173" s="350">
        <v>0.5</v>
      </c>
      <c r="T173" s="376">
        <v>0</v>
      </c>
      <c r="U173" s="377">
        <v>0.5</v>
      </c>
      <c r="V173" s="711" t="s">
        <v>44</v>
      </c>
      <c r="W173" s="8"/>
      <c r="X173" s="461"/>
      <c r="Y173" s="458"/>
      <c r="Z173" s="463"/>
      <c r="AA173" s="1204">
        <v>1</v>
      </c>
      <c r="AE173" s="1159" t="s">
        <v>68</v>
      </c>
      <c r="AF173" s="1160"/>
      <c r="AG173" s="1160"/>
      <c r="AH173" s="1159" t="s">
        <v>68</v>
      </c>
      <c r="AI173" s="1161"/>
      <c r="AJ173" s="1162"/>
    </row>
    <row r="174" spans="1:36" ht="72" customHeight="1" x14ac:dyDescent="0.2">
      <c r="A174" s="1820" t="s">
        <v>1420</v>
      </c>
      <c r="B174" s="123" t="s">
        <v>1815</v>
      </c>
      <c r="C174" s="1851"/>
      <c r="D174" s="1501">
        <v>25</v>
      </c>
      <c r="E174" s="1853" t="s">
        <v>174</v>
      </c>
      <c r="F174" s="1016" t="s">
        <v>1741</v>
      </c>
      <c r="G174" s="1854"/>
      <c r="H174" s="1855"/>
      <c r="I174" s="1856"/>
      <c r="J174" s="1857"/>
      <c r="K174" s="1857"/>
      <c r="L174" s="588">
        <v>2</v>
      </c>
      <c r="M174" s="608"/>
      <c r="N174" s="1858" t="s">
        <v>165</v>
      </c>
      <c r="O174" s="1859" t="s">
        <v>1580</v>
      </c>
      <c r="P174" s="1860"/>
      <c r="Q174" s="1860"/>
      <c r="R174" s="1860"/>
      <c r="S174" s="1861"/>
      <c r="T174" s="1862"/>
      <c r="U174" s="1863"/>
      <c r="V174" s="1864"/>
      <c r="W174" s="1865"/>
      <c r="X174" s="1865"/>
      <c r="Y174" s="1866"/>
      <c r="Z174" s="1867"/>
      <c r="AA174" s="1868"/>
      <c r="AB174" s="1869"/>
      <c r="AC174" s="1869"/>
      <c r="AD174" s="1869"/>
      <c r="AE174" s="1870"/>
      <c r="AF174" s="1871"/>
      <c r="AG174" s="1871"/>
      <c r="AH174" s="1870"/>
      <c r="AI174" s="1161"/>
      <c r="AJ174" s="1162"/>
    </row>
    <row r="175" spans="1:36" ht="75" customHeight="1" x14ac:dyDescent="0.2">
      <c r="B175" s="123" t="s">
        <v>1402</v>
      </c>
      <c r="C175" s="898" t="s">
        <v>1011</v>
      </c>
      <c r="D175" s="1501">
        <v>26</v>
      </c>
      <c r="E175" s="192" t="s">
        <v>1398</v>
      </c>
      <c r="F175" s="767" t="s">
        <v>1742</v>
      </c>
      <c r="G175" s="1098" t="s">
        <v>1149</v>
      </c>
      <c r="H175" s="266"/>
      <c r="I175" s="1083"/>
      <c r="J175" s="151" t="s">
        <v>50</v>
      </c>
      <c r="K175" s="232"/>
      <c r="L175" s="588">
        <v>2</v>
      </c>
      <c r="M175" s="587">
        <v>3</v>
      </c>
      <c r="N175" s="918" t="s">
        <v>3</v>
      </c>
      <c r="O175" s="297" t="s">
        <v>1418</v>
      </c>
      <c r="P175" s="345">
        <f>Test_Bible!P296</f>
        <v>4</v>
      </c>
      <c r="Q175" s="345">
        <f>Test_Bible!Q296</f>
        <v>8</v>
      </c>
      <c r="R175" s="345" t="s">
        <v>2032</v>
      </c>
      <c r="S175" s="350">
        <v>1</v>
      </c>
      <c r="T175" s="376">
        <v>0</v>
      </c>
      <c r="U175" s="377">
        <v>0</v>
      </c>
      <c r="V175" s="711" t="s">
        <v>44</v>
      </c>
      <c r="W175" s="8"/>
      <c r="X175" s="461"/>
      <c r="Y175" s="458"/>
      <c r="Z175" s="463"/>
      <c r="AA175" s="1204">
        <v>1</v>
      </c>
      <c r="AE175" s="1159" t="s">
        <v>68</v>
      </c>
      <c r="AF175" s="1160"/>
      <c r="AG175" s="1160"/>
      <c r="AH175" s="1159" t="s">
        <v>68</v>
      </c>
      <c r="AI175" s="1161"/>
      <c r="AJ175" s="1162"/>
    </row>
    <row r="176" spans="1:36" ht="88" customHeight="1" x14ac:dyDescent="0.2">
      <c r="B176" s="123" t="s">
        <v>1402</v>
      </c>
      <c r="D176" s="1501">
        <v>27</v>
      </c>
      <c r="E176" s="192" t="s">
        <v>1399</v>
      </c>
      <c r="F176" s="767" t="s">
        <v>1562</v>
      </c>
      <c r="G176" s="1098" t="s">
        <v>1150</v>
      </c>
      <c r="H176" s="266"/>
      <c r="I176" s="1083"/>
      <c r="J176" s="151" t="s">
        <v>50</v>
      </c>
      <c r="K176" s="232"/>
      <c r="L176" s="587">
        <v>3</v>
      </c>
      <c r="M176" s="587"/>
      <c r="N176" s="918" t="s">
        <v>3</v>
      </c>
      <c r="O176" s="297" t="s">
        <v>1418</v>
      </c>
      <c r="P176" s="345">
        <f>Test_Bible!P297</f>
        <v>4</v>
      </c>
      <c r="Q176" s="345">
        <f>Test_Bible!Q297</f>
        <v>12</v>
      </c>
      <c r="R176" s="345" t="s">
        <v>2033</v>
      </c>
      <c r="S176" s="350">
        <v>1</v>
      </c>
      <c r="T176" s="376">
        <v>0</v>
      </c>
      <c r="U176" s="377">
        <v>0</v>
      </c>
      <c r="V176" s="711" t="s">
        <v>44</v>
      </c>
      <c r="W176" s="8"/>
      <c r="X176" s="461"/>
      <c r="Y176" s="458"/>
      <c r="Z176" s="463"/>
      <c r="AA176" s="1204">
        <v>1</v>
      </c>
      <c r="AE176" s="1159" t="s">
        <v>68</v>
      </c>
      <c r="AF176" s="1160"/>
      <c r="AG176" s="1160"/>
      <c r="AH176" s="1159" t="s">
        <v>68</v>
      </c>
      <c r="AI176" s="1161"/>
      <c r="AJ176" s="1162"/>
    </row>
    <row r="177" spans="1:36" ht="73" customHeight="1" x14ac:dyDescent="0.2">
      <c r="B177" s="123" t="s">
        <v>1402</v>
      </c>
      <c r="C177" s="898" t="s">
        <v>1011</v>
      </c>
      <c r="D177" s="1501">
        <v>28</v>
      </c>
      <c r="E177" s="192" t="s">
        <v>1400</v>
      </c>
      <c r="F177" s="767" t="s">
        <v>1743</v>
      </c>
      <c r="G177" s="1098" t="s">
        <v>1151</v>
      </c>
      <c r="H177" s="266"/>
      <c r="I177" s="1083"/>
      <c r="J177" s="151" t="s">
        <v>50</v>
      </c>
      <c r="K177" s="232"/>
      <c r="L177" s="588">
        <v>2</v>
      </c>
      <c r="M177" s="587">
        <v>3</v>
      </c>
      <c r="N177" s="918" t="s">
        <v>7</v>
      </c>
      <c r="O177" s="1847" t="s">
        <v>1544</v>
      </c>
      <c r="P177" s="345">
        <f>Test_Bible!P298</f>
        <v>10</v>
      </c>
      <c r="Q177" s="345">
        <f>Test_Bible!Q298</f>
        <v>20</v>
      </c>
      <c r="R177" s="345" t="s">
        <v>2034</v>
      </c>
      <c r="S177" s="350">
        <v>0.5</v>
      </c>
      <c r="T177" s="376">
        <v>0.5</v>
      </c>
      <c r="U177" s="377">
        <v>0</v>
      </c>
      <c r="V177" s="711" t="s">
        <v>44</v>
      </c>
      <c r="W177" s="8"/>
      <c r="X177" s="461"/>
      <c r="Y177" s="458"/>
      <c r="Z177" s="463"/>
      <c r="AA177" s="1204">
        <v>1</v>
      </c>
      <c r="AE177" s="1159" t="s">
        <v>68</v>
      </c>
      <c r="AF177" s="1160"/>
      <c r="AG177" s="1160"/>
      <c r="AH177" s="1159" t="s">
        <v>68</v>
      </c>
      <c r="AI177" s="1161"/>
      <c r="AJ177" s="1162"/>
    </row>
    <row r="178" spans="1:36" ht="77" customHeight="1" x14ac:dyDescent="0.2">
      <c r="D178" s="1501">
        <v>4</v>
      </c>
      <c r="E178" s="191" t="s">
        <v>176</v>
      </c>
      <c r="F178" s="769" t="s">
        <v>1744</v>
      </c>
      <c r="G178" s="210" t="s">
        <v>1152</v>
      </c>
      <c r="H178" s="273"/>
      <c r="I178" s="210"/>
      <c r="J178" s="210"/>
      <c r="K178" s="242"/>
      <c r="L178" s="588">
        <v>2</v>
      </c>
      <c r="M178" s="588"/>
      <c r="N178" s="918" t="s">
        <v>43</v>
      </c>
      <c r="O178" s="1847" t="s">
        <v>1419</v>
      </c>
      <c r="P178" s="345">
        <f>Test_Bible!P299</f>
        <v>10</v>
      </c>
      <c r="Q178" s="345">
        <f>Test_Bible!Q299</f>
        <v>20</v>
      </c>
      <c r="R178" s="345" t="s">
        <v>2035</v>
      </c>
      <c r="S178" s="350">
        <v>1</v>
      </c>
      <c r="T178" s="376">
        <v>0</v>
      </c>
      <c r="U178" s="377">
        <v>0</v>
      </c>
      <c r="V178" s="711" t="s">
        <v>44</v>
      </c>
      <c r="W178" s="8"/>
      <c r="X178" s="461"/>
      <c r="Y178" s="449"/>
      <c r="Z178" s="462"/>
      <c r="AA178" s="1204">
        <v>1</v>
      </c>
      <c r="AE178" s="1155" t="s">
        <v>24</v>
      </c>
      <c r="AF178" s="1188" t="s">
        <v>663</v>
      </c>
      <c r="AG178" s="1160"/>
      <c r="AH178" s="1159" t="s">
        <v>68</v>
      </c>
      <c r="AI178" s="1161"/>
      <c r="AJ178" s="1188" t="s">
        <v>663</v>
      </c>
    </row>
    <row r="179" spans="1:36" ht="74" customHeight="1" x14ac:dyDescent="0.25">
      <c r="A179" s="769" t="s">
        <v>874</v>
      </c>
      <c r="B179" s="16"/>
      <c r="C179" s="13"/>
      <c r="D179" s="1501">
        <v>50</v>
      </c>
      <c r="E179" s="191" t="s">
        <v>177</v>
      </c>
      <c r="F179" s="769" t="s">
        <v>1745</v>
      </c>
      <c r="G179" s="210" t="s">
        <v>1153</v>
      </c>
      <c r="H179" s="273"/>
      <c r="I179" s="210"/>
      <c r="J179" s="550"/>
      <c r="K179" s="241">
        <v>4</v>
      </c>
      <c r="L179" s="588">
        <v>2</v>
      </c>
      <c r="M179" s="588"/>
      <c r="N179" s="918" t="s">
        <v>7</v>
      </c>
      <c r="O179" s="1847" t="s">
        <v>1544</v>
      </c>
      <c r="P179" s="345">
        <f>Test_Bible!P300</f>
        <v>1</v>
      </c>
      <c r="Q179" s="345">
        <f>Test_Bible!Q300</f>
        <v>2</v>
      </c>
      <c r="R179" s="345" t="s">
        <v>2036</v>
      </c>
      <c r="S179" s="350">
        <v>0.5</v>
      </c>
      <c r="T179" s="376">
        <v>0.5</v>
      </c>
      <c r="U179" s="377">
        <v>0</v>
      </c>
      <c r="V179" s="712" t="s">
        <v>65</v>
      </c>
      <c r="W179" s="8"/>
      <c r="X179" s="461"/>
      <c r="Y179" s="458"/>
      <c r="Z179" s="463"/>
      <c r="AB179" s="1204">
        <v>1</v>
      </c>
      <c r="AE179" s="1155" t="s">
        <v>24</v>
      </c>
      <c r="AF179" s="1164" t="s">
        <v>637</v>
      </c>
      <c r="AG179" s="1164"/>
      <c r="AH179" s="1155" t="s">
        <v>25</v>
      </c>
      <c r="AI179" s="1157"/>
      <c r="AJ179" s="1158"/>
    </row>
    <row r="180" spans="1:36" ht="74" customHeight="1" x14ac:dyDescent="0.25">
      <c r="A180" s="1820"/>
      <c r="B180" s="123" t="s">
        <v>1854</v>
      </c>
      <c r="C180" s="13"/>
      <c r="D180" s="1501">
        <v>51</v>
      </c>
      <c r="E180" s="1916" t="s">
        <v>1403</v>
      </c>
      <c r="F180" s="767" t="s">
        <v>1563</v>
      </c>
      <c r="G180" s="1917"/>
      <c r="H180" s="1956"/>
      <c r="I180" s="1917"/>
      <c r="J180" s="1957"/>
      <c r="K180" s="1958"/>
      <c r="L180" s="587">
        <v>3</v>
      </c>
      <c r="M180" s="587"/>
      <c r="N180" s="918" t="s">
        <v>7</v>
      </c>
      <c r="O180" s="1847" t="s">
        <v>1544</v>
      </c>
      <c r="P180" s="345">
        <f>Test_Bible!P301</f>
        <v>0</v>
      </c>
      <c r="Q180" s="345">
        <f>Test_Bible!Q301</f>
        <v>0</v>
      </c>
      <c r="R180" s="345" t="s">
        <v>2037</v>
      </c>
      <c r="S180" s="350">
        <v>0.5</v>
      </c>
      <c r="T180" s="376">
        <v>0.5</v>
      </c>
      <c r="U180" s="377">
        <v>0</v>
      </c>
      <c r="V180" s="712" t="s">
        <v>65</v>
      </c>
      <c r="W180" s="8"/>
      <c r="X180" s="461"/>
      <c r="Y180" s="458"/>
      <c r="Z180" s="463"/>
      <c r="AB180" s="1204">
        <v>1</v>
      </c>
      <c r="AE180" s="1155"/>
      <c r="AF180" s="1164"/>
      <c r="AG180" s="1164"/>
      <c r="AH180" s="1155"/>
      <c r="AI180" s="1157"/>
      <c r="AJ180" s="1158"/>
    </row>
    <row r="181" spans="1:36" ht="66" customHeight="1" x14ac:dyDescent="0.2">
      <c r="D181" s="1501">
        <v>5</v>
      </c>
      <c r="E181" s="191" t="s">
        <v>178</v>
      </c>
      <c r="F181" s="769" t="s">
        <v>1746</v>
      </c>
      <c r="G181" s="210" t="s">
        <v>1154</v>
      </c>
      <c r="H181" s="272"/>
      <c r="I181" s="1086"/>
      <c r="J181" s="149" t="s">
        <v>68</v>
      </c>
      <c r="K181" s="241">
        <v>4</v>
      </c>
      <c r="L181" s="580">
        <v>1</v>
      </c>
      <c r="M181" s="580"/>
      <c r="N181" s="918" t="s">
        <v>43</v>
      </c>
      <c r="O181" s="1847" t="s">
        <v>1419</v>
      </c>
      <c r="P181" s="345">
        <f>Test_Bible!P302</f>
        <v>4</v>
      </c>
      <c r="Q181" s="345">
        <f>Test_Bible!Q302</f>
        <v>4</v>
      </c>
      <c r="R181" s="345" t="s">
        <v>2059</v>
      </c>
      <c r="S181" s="370">
        <v>1</v>
      </c>
      <c r="T181" s="376">
        <v>0</v>
      </c>
      <c r="U181" s="377">
        <v>0</v>
      </c>
      <c r="V181" s="712" t="s">
        <v>65</v>
      </c>
      <c r="W181" s="8"/>
      <c r="X181" s="461"/>
      <c r="Y181" s="458"/>
      <c r="Z181" s="463"/>
      <c r="AB181" s="1204">
        <v>1</v>
      </c>
      <c r="AE181" s="1155" t="s">
        <v>24</v>
      </c>
      <c r="AF181" s="1164" t="s">
        <v>636</v>
      </c>
      <c r="AG181" s="1164"/>
      <c r="AH181" s="1159" t="s">
        <v>68</v>
      </c>
      <c r="AI181" s="1161"/>
      <c r="AJ181" s="1162"/>
    </row>
    <row r="182" spans="1:36" ht="66" customHeight="1" x14ac:dyDescent="0.2">
      <c r="B182" s="123" t="s">
        <v>910</v>
      </c>
      <c r="D182" s="1501">
        <v>6</v>
      </c>
      <c r="E182" s="193" t="s">
        <v>179</v>
      </c>
      <c r="F182" s="767" t="s">
        <v>1564</v>
      </c>
      <c r="G182" s="766" t="s">
        <v>1155</v>
      </c>
      <c r="H182" s="274"/>
      <c r="I182" s="1087"/>
      <c r="J182" s="171" t="s">
        <v>68</v>
      </c>
      <c r="K182" s="196"/>
      <c r="L182" s="588">
        <v>2</v>
      </c>
      <c r="M182" s="588"/>
      <c r="N182" s="918" t="s">
        <v>43</v>
      </c>
      <c r="O182" s="1847" t="s">
        <v>1419</v>
      </c>
      <c r="P182" s="345">
        <f>Test_Bible!P303</f>
        <v>7</v>
      </c>
      <c r="Q182" s="345">
        <f>Test_Bible!Q303</f>
        <v>14</v>
      </c>
      <c r="R182" s="345" t="s">
        <v>2058</v>
      </c>
      <c r="S182" s="370">
        <v>0.5</v>
      </c>
      <c r="T182" s="378">
        <v>0.5</v>
      </c>
      <c r="U182" s="377">
        <v>0</v>
      </c>
      <c r="V182" s="712" t="s">
        <v>65</v>
      </c>
      <c r="W182" s="8"/>
      <c r="X182" s="461"/>
      <c r="Y182" s="449"/>
      <c r="Z182" s="462"/>
      <c r="AB182" s="1204">
        <v>1</v>
      </c>
      <c r="AE182" s="1159" t="s">
        <v>68</v>
      </c>
      <c r="AF182" s="1160"/>
      <c r="AG182" s="1160"/>
      <c r="AH182" s="1159" t="s">
        <v>68</v>
      </c>
      <c r="AI182" s="1161"/>
      <c r="AJ182" s="1162"/>
    </row>
    <row r="183" spans="1:36" ht="72" customHeight="1" x14ac:dyDescent="0.2">
      <c r="D183" s="1501">
        <v>42</v>
      </c>
      <c r="E183" s="191" t="s">
        <v>180</v>
      </c>
      <c r="F183" s="769" t="s">
        <v>1747</v>
      </c>
      <c r="G183" s="210" t="s">
        <v>1156</v>
      </c>
      <c r="H183" s="272"/>
      <c r="I183" s="1086"/>
      <c r="J183" s="149" t="s">
        <v>68</v>
      </c>
      <c r="K183" s="241">
        <v>2</v>
      </c>
      <c r="L183" s="588">
        <v>2</v>
      </c>
      <c r="M183" s="588"/>
      <c r="N183" s="918" t="s">
        <v>7</v>
      </c>
      <c r="O183" s="1847" t="s">
        <v>1544</v>
      </c>
      <c r="P183" s="345">
        <f>Test_Bible!P304</f>
        <v>4</v>
      </c>
      <c r="Q183" s="345">
        <f>Test_Bible!Q304</f>
        <v>8</v>
      </c>
      <c r="R183" s="345" t="s">
        <v>2038</v>
      </c>
      <c r="S183" s="350">
        <v>0</v>
      </c>
      <c r="T183" s="376">
        <v>0.5</v>
      </c>
      <c r="U183" s="377">
        <v>0.5</v>
      </c>
      <c r="V183" s="712" t="s">
        <v>65</v>
      </c>
      <c r="W183" s="8"/>
      <c r="X183" s="461"/>
      <c r="Y183" s="458"/>
      <c r="Z183" s="463"/>
      <c r="AB183" s="1204">
        <v>1</v>
      </c>
      <c r="AE183" s="1159" t="s">
        <v>68</v>
      </c>
      <c r="AF183" s="1160"/>
      <c r="AG183" s="1160"/>
      <c r="AH183" s="1159" t="s">
        <v>68</v>
      </c>
      <c r="AI183" s="1161"/>
      <c r="AJ183" s="1166" t="s">
        <v>688</v>
      </c>
    </row>
    <row r="184" spans="1:36" ht="74" customHeight="1" x14ac:dyDescent="0.2">
      <c r="B184" s="123" t="s">
        <v>911</v>
      </c>
      <c r="D184" s="1501">
        <v>43</v>
      </c>
      <c r="E184" s="192" t="s">
        <v>706</v>
      </c>
      <c r="F184" s="767" t="s">
        <v>1748</v>
      </c>
      <c r="G184" s="1098" t="s">
        <v>1157</v>
      </c>
      <c r="H184" s="266"/>
      <c r="I184" s="1083"/>
      <c r="J184" s="151" t="s">
        <v>50</v>
      </c>
      <c r="K184" s="232"/>
      <c r="L184" s="587">
        <v>3</v>
      </c>
      <c r="M184" s="587"/>
      <c r="N184" s="918" t="s">
        <v>7</v>
      </c>
      <c r="O184" s="1847" t="s">
        <v>1544</v>
      </c>
      <c r="P184" s="345">
        <f>Test_Bible!P305</f>
        <v>4</v>
      </c>
      <c r="Q184" s="345">
        <f>Test_Bible!Q305</f>
        <v>12</v>
      </c>
      <c r="R184" s="345" t="s">
        <v>1927</v>
      </c>
      <c r="S184" s="350">
        <v>0</v>
      </c>
      <c r="T184" s="376">
        <v>1</v>
      </c>
      <c r="U184" s="377">
        <v>0</v>
      </c>
      <c r="V184" s="712" t="s">
        <v>65</v>
      </c>
      <c r="W184" s="8"/>
      <c r="X184" s="461"/>
      <c r="Y184" s="449"/>
      <c r="Z184" s="462"/>
      <c r="AB184" s="1204">
        <v>1</v>
      </c>
      <c r="AE184" s="1159" t="s">
        <v>68</v>
      </c>
      <c r="AF184" s="1160"/>
      <c r="AG184" s="1160"/>
      <c r="AH184" s="1155" t="s">
        <v>25</v>
      </c>
      <c r="AI184" s="1164"/>
      <c r="AJ184" s="1164" t="s">
        <v>635</v>
      </c>
    </row>
    <row r="185" spans="1:36" ht="100" customHeight="1" x14ac:dyDescent="0.2">
      <c r="C185" s="898" t="s">
        <v>1013</v>
      </c>
      <c r="D185" s="1501">
        <v>8</v>
      </c>
      <c r="E185" s="191" t="s">
        <v>175</v>
      </c>
      <c r="F185" s="769" t="s">
        <v>1749</v>
      </c>
      <c r="G185" s="210" t="s">
        <v>1158</v>
      </c>
      <c r="H185" s="273"/>
      <c r="I185" s="210"/>
      <c r="J185" s="219" t="s">
        <v>68</v>
      </c>
      <c r="K185" s="242"/>
      <c r="L185" s="580">
        <v>1</v>
      </c>
      <c r="M185" s="588">
        <v>2</v>
      </c>
      <c r="N185" s="918" t="s">
        <v>3</v>
      </c>
      <c r="O185" s="297" t="s">
        <v>1418</v>
      </c>
      <c r="P185" s="345">
        <f>Test_Bible!P306</f>
        <v>7</v>
      </c>
      <c r="Q185" s="345">
        <f>Test_Bible!Q306</f>
        <v>7</v>
      </c>
      <c r="R185" s="345" t="s">
        <v>2039</v>
      </c>
      <c r="S185" s="350">
        <v>1</v>
      </c>
      <c r="T185" s="376">
        <v>0</v>
      </c>
      <c r="U185" s="377">
        <v>0</v>
      </c>
      <c r="V185" s="714" t="s">
        <v>84</v>
      </c>
      <c r="W185" s="8"/>
      <c r="X185" s="461"/>
      <c r="Y185" s="458"/>
      <c r="Z185" s="463"/>
      <c r="AC185" s="1204">
        <v>1</v>
      </c>
      <c r="AE185" s="1159" t="s">
        <v>68</v>
      </c>
      <c r="AF185" s="1160"/>
      <c r="AG185" s="1160"/>
      <c r="AH185" s="1159" t="s">
        <v>68</v>
      </c>
      <c r="AI185" s="1161"/>
      <c r="AJ185" s="1162"/>
    </row>
    <row r="186" spans="1:36" ht="72" customHeight="1" x14ac:dyDescent="0.2">
      <c r="D186" s="1501">
        <v>7</v>
      </c>
      <c r="E186" s="191" t="s">
        <v>181</v>
      </c>
      <c r="F186" s="769" t="s">
        <v>1750</v>
      </c>
      <c r="G186" s="210" t="s">
        <v>1159</v>
      </c>
      <c r="H186" s="272"/>
      <c r="I186" s="1086"/>
      <c r="J186" s="149" t="s">
        <v>68</v>
      </c>
      <c r="K186" s="241"/>
      <c r="L186" s="580">
        <v>1</v>
      </c>
      <c r="M186" s="580"/>
      <c r="N186" s="918" t="s">
        <v>7</v>
      </c>
      <c r="O186" s="1847" t="s">
        <v>1544</v>
      </c>
      <c r="P186" s="345">
        <f>Test_Bible!P307</f>
        <v>2</v>
      </c>
      <c r="Q186" s="345">
        <f>Test_Bible!Q307</f>
        <v>2</v>
      </c>
      <c r="R186" s="345" t="s">
        <v>2040</v>
      </c>
      <c r="S186" s="350">
        <v>0</v>
      </c>
      <c r="T186" s="376">
        <v>1</v>
      </c>
      <c r="U186" s="377">
        <v>0</v>
      </c>
      <c r="V186" s="714" t="s">
        <v>84</v>
      </c>
      <c r="W186" s="8"/>
      <c r="X186" s="461"/>
      <c r="Y186" s="458"/>
      <c r="Z186" s="463"/>
      <c r="AC186" s="1204">
        <v>1</v>
      </c>
      <c r="AE186" s="1155" t="s">
        <v>24</v>
      </c>
      <c r="AF186" s="1156" t="s">
        <v>638</v>
      </c>
      <c r="AG186" s="1156"/>
      <c r="AH186" s="1159" t="s">
        <v>68</v>
      </c>
      <c r="AI186" s="1161"/>
      <c r="AJ186" s="1166" t="s">
        <v>688</v>
      </c>
    </row>
    <row r="187" spans="1:36" ht="68" customHeight="1" x14ac:dyDescent="0.2">
      <c r="A187" s="769" t="s">
        <v>1422</v>
      </c>
      <c r="D187" s="1501">
        <v>38</v>
      </c>
      <c r="E187" s="191" t="s">
        <v>182</v>
      </c>
      <c r="F187" s="769" t="s">
        <v>1751</v>
      </c>
      <c r="G187" s="210" t="s">
        <v>1160</v>
      </c>
      <c r="H187" s="272"/>
      <c r="I187" s="1086"/>
      <c r="J187" s="149" t="s">
        <v>68</v>
      </c>
      <c r="K187" s="241"/>
      <c r="L187" s="588">
        <v>2</v>
      </c>
      <c r="M187" s="588"/>
      <c r="N187" s="918" t="s">
        <v>7</v>
      </c>
      <c r="O187" s="1847" t="s">
        <v>1544</v>
      </c>
      <c r="P187" s="345">
        <f>Test_Bible!P308</f>
        <v>7</v>
      </c>
      <c r="Q187" s="345">
        <f>Test_Bible!Q308</f>
        <v>14</v>
      </c>
      <c r="R187" s="345" t="s">
        <v>2041</v>
      </c>
      <c r="S187" s="350">
        <v>1</v>
      </c>
      <c r="T187" s="376">
        <v>0</v>
      </c>
      <c r="U187" s="377">
        <v>0</v>
      </c>
      <c r="V187" s="714" t="s">
        <v>84</v>
      </c>
      <c r="W187" s="8"/>
      <c r="X187" s="461"/>
      <c r="Y187" s="458"/>
      <c r="Z187" s="463"/>
      <c r="AC187" s="1204">
        <v>1</v>
      </c>
      <c r="AE187" s="1159" t="s">
        <v>68</v>
      </c>
      <c r="AF187" s="1160"/>
      <c r="AG187" s="1160"/>
      <c r="AH187" s="1159" t="s">
        <v>68</v>
      </c>
      <c r="AI187" s="1161"/>
      <c r="AJ187" s="1166" t="s">
        <v>688</v>
      </c>
    </row>
    <row r="188" spans="1:36" ht="54" customHeight="1" x14ac:dyDescent="0.2">
      <c r="D188" s="1501">
        <v>15</v>
      </c>
      <c r="E188" s="197" t="s">
        <v>183</v>
      </c>
      <c r="F188" s="769" t="s">
        <v>1565</v>
      </c>
      <c r="G188" s="768" t="s">
        <v>1161</v>
      </c>
      <c r="H188" s="269"/>
      <c r="I188" s="1082"/>
      <c r="J188" s="199"/>
      <c r="K188" s="243"/>
      <c r="L188" s="588">
        <v>2</v>
      </c>
      <c r="M188" s="588"/>
      <c r="N188" s="918" t="s">
        <v>7</v>
      </c>
      <c r="O188" s="1847" t="s">
        <v>1544</v>
      </c>
      <c r="P188" s="345">
        <f>Test_Bible!P309</f>
        <v>7</v>
      </c>
      <c r="Q188" s="345">
        <f>Test_Bible!Q309</f>
        <v>14</v>
      </c>
      <c r="R188" s="345" t="s">
        <v>2042</v>
      </c>
      <c r="S188" s="351">
        <v>0.5</v>
      </c>
      <c r="T188" s="352">
        <v>0.5</v>
      </c>
      <c r="U188" s="377">
        <v>0</v>
      </c>
      <c r="V188" s="721" t="s">
        <v>84</v>
      </c>
      <c r="W188" s="8"/>
      <c r="X188" s="461"/>
      <c r="Y188" s="449"/>
      <c r="Z188" s="462"/>
      <c r="AC188" s="1204">
        <v>1</v>
      </c>
      <c r="AE188" s="1155" t="s">
        <v>24</v>
      </c>
      <c r="AF188" s="1149" t="s">
        <v>639</v>
      </c>
      <c r="AG188" s="1149"/>
      <c r="AH188" s="1146"/>
      <c r="AI188" s="993"/>
      <c r="AJ188" s="1166" t="s">
        <v>688</v>
      </c>
    </row>
    <row r="189" spans="1:36" ht="52" customHeight="1" x14ac:dyDescent="0.2">
      <c r="D189" s="1501">
        <v>12</v>
      </c>
      <c r="E189" s="191" t="s">
        <v>184</v>
      </c>
      <c r="F189" s="769" t="s">
        <v>1752</v>
      </c>
      <c r="G189" s="210" t="s">
        <v>1162</v>
      </c>
      <c r="H189" s="272"/>
      <c r="I189" s="1086"/>
      <c r="J189" s="149" t="s">
        <v>68</v>
      </c>
      <c r="K189" s="241">
        <v>2</v>
      </c>
      <c r="L189" s="588">
        <v>2</v>
      </c>
      <c r="M189" s="588"/>
      <c r="N189" s="918" t="s">
        <v>3</v>
      </c>
      <c r="O189" s="297" t="s">
        <v>1418</v>
      </c>
      <c r="P189" s="345">
        <f>Test_Bible!P310</f>
        <v>4</v>
      </c>
      <c r="Q189" s="345">
        <f>Test_Bible!Q310</f>
        <v>8</v>
      </c>
      <c r="R189" s="345" t="s">
        <v>2043</v>
      </c>
      <c r="S189" s="350">
        <v>0.5</v>
      </c>
      <c r="T189" s="376">
        <v>0.5</v>
      </c>
      <c r="U189" s="377">
        <v>0</v>
      </c>
      <c r="V189" s="722" t="s">
        <v>149</v>
      </c>
      <c r="W189" s="8"/>
      <c r="X189" s="461"/>
      <c r="Y189" s="458"/>
      <c r="Z189" s="463"/>
      <c r="AD189" s="1204">
        <v>1</v>
      </c>
      <c r="AE189" s="1159" t="s">
        <v>68</v>
      </c>
      <c r="AF189" s="1160"/>
      <c r="AG189" s="1160"/>
      <c r="AH189" s="1159" t="s">
        <v>68</v>
      </c>
      <c r="AI189" s="1161"/>
      <c r="AJ189" s="1162"/>
    </row>
    <row r="190" spans="1:36" ht="64" customHeight="1" x14ac:dyDescent="0.2">
      <c r="A190" s="199" t="s">
        <v>1715</v>
      </c>
      <c r="C190" s="898" t="s">
        <v>1614</v>
      </c>
      <c r="D190" s="1501">
        <v>13</v>
      </c>
      <c r="E190" s="197" t="s">
        <v>169</v>
      </c>
      <c r="F190" s="769" t="s">
        <v>1753</v>
      </c>
      <c r="G190" s="210" t="s">
        <v>1142</v>
      </c>
      <c r="H190" s="272"/>
      <c r="I190" s="1086"/>
      <c r="J190" s="149" t="s">
        <v>68</v>
      </c>
      <c r="K190" s="241"/>
      <c r="L190" s="588">
        <v>2</v>
      </c>
      <c r="M190" s="587">
        <v>3</v>
      </c>
      <c r="N190" s="918" t="s">
        <v>3</v>
      </c>
      <c r="O190" s="297" t="s">
        <v>1418</v>
      </c>
      <c r="P190" s="345">
        <f>Test_Bible!P311</f>
        <v>0</v>
      </c>
      <c r="Q190" s="345">
        <f>Test_Bible!Q311</f>
        <v>0</v>
      </c>
      <c r="R190" s="345" t="s">
        <v>2044</v>
      </c>
      <c r="S190" s="350">
        <v>0</v>
      </c>
      <c r="T190" s="376">
        <v>0</v>
      </c>
      <c r="U190" s="375">
        <v>1</v>
      </c>
      <c r="V190" s="710" t="s">
        <v>62</v>
      </c>
      <c r="W190" s="8"/>
      <c r="X190" s="461"/>
      <c r="Y190" s="458"/>
      <c r="Z190" s="463">
        <v>1</v>
      </c>
      <c r="AE190" s="1159" t="s">
        <v>68</v>
      </c>
      <c r="AF190" s="1160"/>
      <c r="AG190" s="1160"/>
      <c r="AH190" s="1159" t="s">
        <v>68</v>
      </c>
      <c r="AI190" s="1161"/>
      <c r="AJ190" s="1162"/>
    </row>
    <row r="191" spans="1:36" ht="54" customHeight="1" x14ac:dyDescent="0.2">
      <c r="D191" s="1501">
        <v>9</v>
      </c>
      <c r="E191" s="191" t="s">
        <v>185</v>
      </c>
      <c r="F191" s="769" t="s">
        <v>1566</v>
      </c>
      <c r="G191" s="210" t="s">
        <v>1163</v>
      </c>
      <c r="H191" s="272"/>
      <c r="I191" s="1086"/>
      <c r="J191" s="149"/>
      <c r="K191" s="241">
        <v>4</v>
      </c>
      <c r="L191" s="588">
        <v>2</v>
      </c>
      <c r="M191" s="588"/>
      <c r="N191" s="918" t="s">
        <v>3</v>
      </c>
      <c r="O191" s="297" t="s">
        <v>1418</v>
      </c>
      <c r="P191" s="345">
        <f>Test_Bible!P312</f>
        <v>4</v>
      </c>
      <c r="Q191" s="345">
        <f>Test_Bible!Q312</f>
        <v>8</v>
      </c>
      <c r="R191" s="345" t="s">
        <v>2045</v>
      </c>
      <c r="S191" s="350">
        <v>1</v>
      </c>
      <c r="T191" s="376">
        <v>0</v>
      </c>
      <c r="U191" s="377">
        <v>0</v>
      </c>
      <c r="V191" s="722" t="s">
        <v>149</v>
      </c>
      <c r="W191" s="8"/>
      <c r="X191" s="461"/>
      <c r="Y191" s="458"/>
      <c r="Z191" s="463"/>
      <c r="AD191" s="1204">
        <v>1</v>
      </c>
      <c r="AE191" s="1155" t="s">
        <v>24</v>
      </c>
      <c r="AF191" s="1164" t="s">
        <v>640</v>
      </c>
      <c r="AG191" s="1164"/>
      <c r="AH191" s="1159" t="s">
        <v>68</v>
      </c>
      <c r="AI191" s="1161"/>
      <c r="AJ191" s="1162"/>
    </row>
    <row r="192" spans="1:36" ht="57" customHeight="1" x14ac:dyDescent="0.2">
      <c r="B192" s="123" t="s">
        <v>912</v>
      </c>
      <c r="D192" s="1501">
        <v>10</v>
      </c>
      <c r="E192" s="192" t="s">
        <v>352</v>
      </c>
      <c r="F192" s="767" t="s">
        <v>512</v>
      </c>
      <c r="G192" s="1098" t="s">
        <v>1164</v>
      </c>
      <c r="H192" s="258" t="s">
        <v>187</v>
      </c>
      <c r="I192" s="1083"/>
      <c r="J192" s="151" t="s">
        <v>50</v>
      </c>
      <c r="K192" s="232"/>
      <c r="L192" s="1890"/>
      <c r="M192" s="1891"/>
      <c r="N192" s="918" t="s">
        <v>188</v>
      </c>
      <c r="O192" s="297"/>
      <c r="P192" s="339"/>
      <c r="Q192" s="339"/>
      <c r="R192" s="339"/>
      <c r="S192" s="350" t="s">
        <v>34</v>
      </c>
      <c r="T192" s="374" t="s">
        <v>34</v>
      </c>
      <c r="U192" s="377" t="s">
        <v>34</v>
      </c>
      <c r="V192" s="722" t="s">
        <v>149</v>
      </c>
      <c r="W192" s="8"/>
      <c r="X192" s="461"/>
      <c r="Y192" s="458"/>
      <c r="Z192" s="463"/>
      <c r="AD192" s="1204">
        <v>1</v>
      </c>
      <c r="AE192" s="1155"/>
      <c r="AF192" s="1160"/>
      <c r="AG192" s="1160"/>
      <c r="AH192" s="1155"/>
      <c r="AI192" s="1161"/>
      <c r="AJ192" s="1162"/>
    </row>
    <row r="193" spans="1:36" ht="68" customHeight="1" x14ac:dyDescent="0.2">
      <c r="B193" s="123" t="s">
        <v>1483</v>
      </c>
      <c r="D193" s="1501">
        <v>11</v>
      </c>
      <c r="E193" s="192" t="s">
        <v>1482</v>
      </c>
      <c r="F193" s="767" t="s">
        <v>1754</v>
      </c>
      <c r="G193" s="1098" t="s">
        <v>1165</v>
      </c>
      <c r="H193" s="266"/>
      <c r="I193" s="1083"/>
      <c r="J193" s="151" t="s">
        <v>50</v>
      </c>
      <c r="K193" s="232"/>
      <c r="L193" s="588">
        <v>3</v>
      </c>
      <c r="M193" s="588"/>
      <c r="N193" s="918" t="s">
        <v>3</v>
      </c>
      <c r="O193" s="297" t="s">
        <v>1418</v>
      </c>
      <c r="P193" s="345">
        <f>Test_Bible!P320</f>
        <v>0</v>
      </c>
      <c r="Q193" s="345">
        <f>Test_Bible!Q320</f>
        <v>0</v>
      </c>
      <c r="R193" s="345" t="s">
        <v>2046</v>
      </c>
      <c r="S193" s="350">
        <v>0</v>
      </c>
      <c r="T193" s="376">
        <v>0.5</v>
      </c>
      <c r="U193" s="377">
        <v>0.5</v>
      </c>
      <c r="V193" s="722" t="s">
        <v>149</v>
      </c>
      <c r="W193" s="8"/>
      <c r="X193" s="461"/>
      <c r="Y193" s="458"/>
      <c r="Z193" s="464"/>
      <c r="AA193" s="164"/>
      <c r="AD193" s="1204">
        <v>1</v>
      </c>
      <c r="AE193" s="1189" t="s">
        <v>68</v>
      </c>
      <c r="AF193" s="1156"/>
      <c r="AG193" s="1156"/>
      <c r="AH193" s="1155" t="s">
        <v>25</v>
      </c>
      <c r="AI193" s="1161"/>
      <c r="AJ193" s="1190"/>
    </row>
    <row r="194" spans="1:36" ht="63" customHeight="1" x14ac:dyDescent="0.2">
      <c r="D194" s="1501">
        <v>39</v>
      </c>
      <c r="E194" s="191" t="s">
        <v>186</v>
      </c>
      <c r="F194" s="769" t="s">
        <v>1755</v>
      </c>
      <c r="G194" s="210" t="s">
        <v>1166</v>
      </c>
      <c r="H194" s="272"/>
      <c r="I194" s="1086"/>
      <c r="J194" s="149" t="s">
        <v>68</v>
      </c>
      <c r="K194" s="241"/>
      <c r="L194" s="588">
        <v>2</v>
      </c>
      <c r="M194" s="588"/>
      <c r="N194" s="918" t="s">
        <v>3</v>
      </c>
      <c r="O194" s="297" t="s">
        <v>1418</v>
      </c>
      <c r="P194" s="345">
        <f>Test_Bible!P321</f>
        <v>4</v>
      </c>
      <c r="Q194" s="345">
        <f>Test_Bible!Q321</f>
        <v>8</v>
      </c>
      <c r="R194" s="345" t="s">
        <v>2047</v>
      </c>
      <c r="S194" s="370">
        <v>1</v>
      </c>
      <c r="T194" s="376">
        <v>0</v>
      </c>
      <c r="U194" s="377">
        <v>0</v>
      </c>
      <c r="V194" s="722" t="s">
        <v>149</v>
      </c>
      <c r="W194" s="8"/>
      <c r="X194" s="461"/>
      <c r="Y194" s="458"/>
      <c r="Z194" s="463"/>
      <c r="AD194" s="1204">
        <v>1</v>
      </c>
      <c r="AE194" s="1159" t="s">
        <v>68</v>
      </c>
      <c r="AF194" s="1160"/>
      <c r="AG194" s="1160"/>
      <c r="AH194" s="1159" t="s">
        <v>68</v>
      </c>
      <c r="AI194" s="1161"/>
      <c r="AJ194" s="1162"/>
    </row>
    <row r="195" spans="1:36" ht="82" customHeight="1" x14ac:dyDescent="0.2">
      <c r="A195" s="16"/>
      <c r="D195" s="1501">
        <v>40</v>
      </c>
      <c r="E195" s="191" t="s">
        <v>189</v>
      </c>
      <c r="F195" s="769" t="s">
        <v>1567</v>
      </c>
      <c r="G195" s="210" t="s">
        <v>1168</v>
      </c>
      <c r="H195" s="272"/>
      <c r="I195" s="1086"/>
      <c r="J195" s="149"/>
      <c r="K195" s="241">
        <v>4</v>
      </c>
      <c r="L195" s="588">
        <v>2</v>
      </c>
      <c r="M195" s="588"/>
      <c r="N195" s="918" t="s">
        <v>122</v>
      </c>
      <c r="O195" s="1847" t="s">
        <v>1528</v>
      </c>
      <c r="P195" s="345">
        <f>Test_Bible!P322</f>
        <v>4</v>
      </c>
      <c r="Q195" s="345">
        <f>Test_Bible!Q322</f>
        <v>8</v>
      </c>
      <c r="R195" s="345" t="s">
        <v>2048</v>
      </c>
      <c r="S195" s="370">
        <v>1</v>
      </c>
      <c r="T195" s="376">
        <v>0</v>
      </c>
      <c r="U195" s="377">
        <v>0</v>
      </c>
      <c r="V195" s="722" t="s">
        <v>149</v>
      </c>
      <c r="W195" s="8"/>
      <c r="X195" s="461"/>
      <c r="Y195" s="458"/>
      <c r="Z195" s="463"/>
      <c r="AD195" s="1204">
        <v>1</v>
      </c>
      <c r="AE195" s="1159" t="s">
        <v>68</v>
      </c>
      <c r="AF195" s="1160"/>
      <c r="AG195" s="1160"/>
      <c r="AH195" s="1159" t="s">
        <v>68</v>
      </c>
      <c r="AI195" s="1161"/>
      <c r="AJ195" s="1162"/>
    </row>
    <row r="196" spans="1:36" ht="71" customHeight="1" x14ac:dyDescent="0.2">
      <c r="B196" s="123" t="s">
        <v>913</v>
      </c>
      <c r="D196" s="1501">
        <v>41</v>
      </c>
      <c r="E196" s="595" t="s">
        <v>554</v>
      </c>
      <c r="F196" s="767" t="s">
        <v>1568</v>
      </c>
      <c r="G196" s="766" t="s">
        <v>1169</v>
      </c>
      <c r="H196" s="274"/>
      <c r="I196" s="1087"/>
      <c r="J196" s="151" t="s">
        <v>50</v>
      </c>
      <c r="K196" s="241"/>
      <c r="L196" s="587">
        <v>3</v>
      </c>
      <c r="M196" s="587"/>
      <c r="N196" s="918" t="s">
        <v>122</v>
      </c>
      <c r="O196" s="1847" t="s">
        <v>1528</v>
      </c>
      <c r="P196" s="345">
        <f>Test_Bible!P323</f>
        <v>7</v>
      </c>
      <c r="Q196" s="345">
        <f>Test_Bible!Q323</f>
        <v>21</v>
      </c>
      <c r="R196" s="345" t="s">
        <v>2049</v>
      </c>
      <c r="S196" s="350">
        <v>1</v>
      </c>
      <c r="T196" s="376">
        <v>0</v>
      </c>
      <c r="U196" s="377">
        <v>0</v>
      </c>
      <c r="V196" s="722" t="s">
        <v>149</v>
      </c>
      <c r="W196" s="8"/>
      <c r="X196" s="461"/>
      <c r="Y196" s="458"/>
      <c r="Z196" s="464"/>
      <c r="AA196" s="164"/>
      <c r="AD196" s="1204">
        <v>1</v>
      </c>
      <c r="AE196" s="1189" t="s">
        <v>68</v>
      </c>
      <c r="AF196" s="1156"/>
      <c r="AG196" s="1156"/>
      <c r="AH196" s="1191" t="s">
        <v>68</v>
      </c>
      <c r="AI196" s="1161"/>
      <c r="AJ196" s="1190"/>
    </row>
    <row r="197" spans="1:36" ht="73" customHeight="1" x14ac:dyDescent="0.2">
      <c r="A197" s="199" t="s">
        <v>1479</v>
      </c>
      <c r="C197" s="898" t="s">
        <v>1513</v>
      </c>
      <c r="D197" s="1501">
        <v>34</v>
      </c>
      <c r="E197" s="191" t="s">
        <v>190</v>
      </c>
      <c r="F197" s="769" t="s">
        <v>1756</v>
      </c>
      <c r="G197" s="210" t="s">
        <v>1170</v>
      </c>
      <c r="H197" s="272"/>
      <c r="I197" s="1086"/>
      <c r="J197" s="149" t="s">
        <v>68</v>
      </c>
      <c r="K197" s="241"/>
      <c r="L197" s="588">
        <v>2</v>
      </c>
      <c r="M197" s="587">
        <v>3</v>
      </c>
      <c r="N197" s="918" t="s">
        <v>3</v>
      </c>
      <c r="O197" s="297" t="s">
        <v>1418</v>
      </c>
      <c r="P197" s="345">
        <f>Test_Bible!P324</f>
        <v>0</v>
      </c>
      <c r="Q197" s="345">
        <f>Test_Bible!Q324</f>
        <v>0</v>
      </c>
      <c r="R197" s="345" t="s">
        <v>2050</v>
      </c>
      <c r="S197" s="350">
        <v>0.5</v>
      </c>
      <c r="T197" s="376">
        <v>0</v>
      </c>
      <c r="U197" s="377">
        <v>0.5</v>
      </c>
      <c r="V197" s="722" t="s">
        <v>149</v>
      </c>
      <c r="W197" s="8"/>
      <c r="X197" s="461"/>
      <c r="Y197" s="458"/>
      <c r="Z197" s="463"/>
      <c r="AD197" s="1204">
        <v>1</v>
      </c>
      <c r="AE197" s="1159" t="s">
        <v>68</v>
      </c>
      <c r="AF197" s="1160"/>
      <c r="AG197" s="1160"/>
      <c r="AH197" s="1159" t="s">
        <v>68</v>
      </c>
      <c r="AI197" s="1161"/>
      <c r="AJ197" s="1162"/>
    </row>
    <row r="198" spans="1:36" ht="72" customHeight="1" x14ac:dyDescent="0.2">
      <c r="A198" s="199" t="s">
        <v>919</v>
      </c>
      <c r="D198" s="1501">
        <v>55</v>
      </c>
      <c r="E198" s="191" t="s">
        <v>192</v>
      </c>
      <c r="F198" s="769" t="s">
        <v>1757</v>
      </c>
      <c r="G198" s="210" t="s">
        <v>1172</v>
      </c>
      <c r="H198" s="272"/>
      <c r="I198" s="1086"/>
      <c r="J198" s="149" t="s">
        <v>68</v>
      </c>
      <c r="K198" s="241"/>
      <c r="L198" s="588">
        <v>2</v>
      </c>
      <c r="M198" s="588"/>
      <c r="N198" s="918" t="s">
        <v>3</v>
      </c>
      <c r="O198" s="297" t="s">
        <v>1418</v>
      </c>
      <c r="P198" s="345">
        <f>Test_Bible!P325</f>
        <v>0</v>
      </c>
      <c r="Q198" s="345">
        <f>Test_Bible!Q325</f>
        <v>0</v>
      </c>
      <c r="R198" s="345" t="s">
        <v>2051</v>
      </c>
      <c r="S198" s="350">
        <v>0</v>
      </c>
      <c r="T198" s="376">
        <v>0.5</v>
      </c>
      <c r="U198" s="377">
        <v>0.5</v>
      </c>
      <c r="V198" s="722" t="s">
        <v>149</v>
      </c>
      <c r="W198" s="8"/>
      <c r="X198" s="461"/>
      <c r="Y198" s="458"/>
      <c r="Z198" s="463"/>
      <c r="AD198" s="1204">
        <v>1</v>
      </c>
      <c r="AE198" s="1159" t="s">
        <v>68</v>
      </c>
      <c r="AF198" s="1160"/>
      <c r="AG198" s="1160"/>
      <c r="AH198" s="1159" t="s">
        <v>68</v>
      </c>
      <c r="AI198" s="1161"/>
      <c r="AJ198" s="1162"/>
    </row>
    <row r="199" spans="1:36" ht="78" customHeight="1" x14ac:dyDescent="0.2">
      <c r="A199" s="199" t="s">
        <v>1479</v>
      </c>
      <c r="D199" s="1501">
        <v>35</v>
      </c>
      <c r="E199" s="191" t="s">
        <v>193</v>
      </c>
      <c r="F199" s="769" t="s">
        <v>1758</v>
      </c>
      <c r="G199" s="210" t="s">
        <v>1173</v>
      </c>
      <c r="H199" s="272"/>
      <c r="I199" s="1086"/>
      <c r="J199" s="149"/>
      <c r="K199" s="241">
        <v>4</v>
      </c>
      <c r="L199" s="587">
        <v>3</v>
      </c>
      <c r="M199" s="587"/>
      <c r="N199" s="918" t="s">
        <v>3</v>
      </c>
      <c r="O199" s="297" t="s">
        <v>1418</v>
      </c>
      <c r="P199" s="345">
        <f>Test_Bible!P326</f>
        <v>0</v>
      </c>
      <c r="Q199" s="345">
        <f>Test_Bible!Q326</f>
        <v>0</v>
      </c>
      <c r="R199" s="345" t="s">
        <v>2052</v>
      </c>
      <c r="S199" s="350">
        <v>0</v>
      </c>
      <c r="T199" s="376">
        <v>0</v>
      </c>
      <c r="U199" s="377">
        <v>1</v>
      </c>
      <c r="V199" s="722" t="s">
        <v>149</v>
      </c>
      <c r="W199" s="8"/>
      <c r="X199" s="461"/>
      <c r="Y199" s="458"/>
      <c r="Z199" s="463"/>
      <c r="AD199" s="1204">
        <v>1</v>
      </c>
      <c r="AE199" s="1159" t="s">
        <v>68</v>
      </c>
      <c r="AF199" s="1160"/>
      <c r="AG199" s="1160"/>
      <c r="AH199" s="1159" t="s">
        <v>68</v>
      </c>
      <c r="AI199" s="1161"/>
      <c r="AJ199" s="1162"/>
    </row>
    <row r="200" spans="1:36" ht="75" customHeight="1" x14ac:dyDescent="0.2">
      <c r="B200" s="123" t="s">
        <v>914</v>
      </c>
      <c r="D200" s="1501">
        <v>36</v>
      </c>
      <c r="E200" s="192" t="s">
        <v>353</v>
      </c>
      <c r="F200" s="767" t="s">
        <v>1759</v>
      </c>
      <c r="G200" s="1098" t="s">
        <v>1174</v>
      </c>
      <c r="H200" s="266"/>
      <c r="I200" s="1083"/>
      <c r="J200" s="151" t="s">
        <v>50</v>
      </c>
      <c r="K200" s="232"/>
      <c r="L200" s="588">
        <v>2</v>
      </c>
      <c r="M200" s="588"/>
      <c r="N200" s="918" t="s">
        <v>3</v>
      </c>
      <c r="O200" s="297" t="s">
        <v>1418</v>
      </c>
      <c r="P200" s="345">
        <f>Test_Bible!P327</f>
        <v>0</v>
      </c>
      <c r="Q200" s="345">
        <f>Test_Bible!Q327</f>
        <v>0</v>
      </c>
      <c r="R200" s="345" t="s">
        <v>2053</v>
      </c>
      <c r="S200" s="350">
        <v>1</v>
      </c>
      <c r="T200" s="376">
        <v>0</v>
      </c>
      <c r="U200" s="377">
        <v>0</v>
      </c>
      <c r="V200" s="722" t="s">
        <v>149</v>
      </c>
      <c r="W200" s="8"/>
      <c r="X200" s="461"/>
      <c r="Y200" s="458"/>
      <c r="Z200" s="463"/>
      <c r="AD200" s="1204">
        <v>1</v>
      </c>
      <c r="AE200" s="1159" t="s">
        <v>68</v>
      </c>
      <c r="AF200" s="1160"/>
      <c r="AG200" s="1160"/>
      <c r="AH200" s="1159" t="s">
        <v>68</v>
      </c>
      <c r="AI200" s="1161"/>
      <c r="AJ200" s="1162"/>
    </row>
    <row r="201" spans="1:36" ht="75" customHeight="1" x14ac:dyDescent="0.2">
      <c r="B201" s="123" t="s">
        <v>914</v>
      </c>
      <c r="D201" s="1501">
        <v>37</v>
      </c>
      <c r="E201" s="192" t="s">
        <v>354</v>
      </c>
      <c r="F201" s="767" t="s">
        <v>1760</v>
      </c>
      <c r="G201" s="1098" t="s">
        <v>1175</v>
      </c>
      <c r="H201" s="266"/>
      <c r="I201" s="1083"/>
      <c r="J201" s="151" t="s">
        <v>50</v>
      </c>
      <c r="K201" s="232"/>
      <c r="L201" s="587">
        <v>3</v>
      </c>
      <c r="M201" s="587"/>
      <c r="N201" s="918" t="s">
        <v>3</v>
      </c>
      <c r="O201" s="297" t="s">
        <v>1418</v>
      </c>
      <c r="P201" s="345">
        <f>Test_Bible!P328</f>
        <v>0</v>
      </c>
      <c r="Q201" s="345">
        <f>Test_Bible!Q328</f>
        <v>0</v>
      </c>
      <c r="R201" s="345" t="s">
        <v>2054</v>
      </c>
      <c r="S201" s="350">
        <v>1</v>
      </c>
      <c r="T201" s="376">
        <v>0</v>
      </c>
      <c r="U201" s="377">
        <v>0</v>
      </c>
      <c r="V201" s="722" t="s">
        <v>149</v>
      </c>
      <c r="W201" s="8"/>
      <c r="X201" s="461"/>
      <c r="Y201" s="458"/>
      <c r="Z201" s="464"/>
      <c r="AA201" s="164"/>
      <c r="AD201" s="1204">
        <v>1</v>
      </c>
      <c r="AE201" s="1189" t="s">
        <v>68</v>
      </c>
      <c r="AF201" s="1156"/>
      <c r="AG201" s="1156"/>
      <c r="AH201" s="1191" t="s">
        <v>68</v>
      </c>
      <c r="AI201" s="1161"/>
      <c r="AJ201" s="1190"/>
    </row>
    <row r="202" spans="1:36" ht="72" customHeight="1" x14ac:dyDescent="0.2">
      <c r="A202" s="199" t="s">
        <v>1481</v>
      </c>
      <c r="C202" s="898" t="s">
        <v>1010</v>
      </c>
      <c r="D202" s="1501">
        <v>56</v>
      </c>
      <c r="E202" s="194" t="s">
        <v>194</v>
      </c>
      <c r="F202" s="769" t="s">
        <v>1761</v>
      </c>
      <c r="G202" s="210" t="s">
        <v>1176</v>
      </c>
      <c r="H202" s="272"/>
      <c r="I202" s="1086"/>
      <c r="J202" s="149" t="s">
        <v>68</v>
      </c>
      <c r="K202" s="241"/>
      <c r="L202" s="588">
        <v>2</v>
      </c>
      <c r="M202" s="587">
        <v>3</v>
      </c>
      <c r="N202" s="918" t="s">
        <v>3</v>
      </c>
      <c r="O202" s="297" t="s">
        <v>1418</v>
      </c>
      <c r="P202" s="345">
        <f>Test_Bible!P329</f>
        <v>2</v>
      </c>
      <c r="Q202" s="345">
        <f>Test_Bible!Q329</f>
        <v>6</v>
      </c>
      <c r="R202" s="345" t="s">
        <v>2055</v>
      </c>
      <c r="S202" s="350">
        <v>1</v>
      </c>
      <c r="T202" s="376">
        <v>0</v>
      </c>
      <c r="U202" s="377">
        <v>0</v>
      </c>
      <c r="V202" s="722" t="s">
        <v>149</v>
      </c>
      <c r="W202" s="8"/>
      <c r="X202" s="461"/>
      <c r="Y202" s="458"/>
      <c r="Z202" s="464"/>
      <c r="AA202" s="164"/>
      <c r="AD202" s="1204">
        <v>1</v>
      </c>
      <c r="AE202" s="1155" t="s">
        <v>24</v>
      </c>
      <c r="AF202" s="1186" t="s">
        <v>645</v>
      </c>
      <c r="AG202" s="1156"/>
      <c r="AH202" s="1155" t="s">
        <v>25</v>
      </c>
      <c r="AI202" s="1157" t="s">
        <v>646</v>
      </c>
      <c r="AJ202" s="1186" t="s">
        <v>645</v>
      </c>
    </row>
    <row r="203" spans="1:36" ht="102" x14ac:dyDescent="0.2">
      <c r="A203" s="199" t="s">
        <v>1481</v>
      </c>
      <c r="D203" s="1501">
        <v>44</v>
      </c>
      <c r="E203" s="195" t="s">
        <v>195</v>
      </c>
      <c r="F203" s="769" t="s">
        <v>1569</v>
      </c>
      <c r="G203" s="768" t="s">
        <v>1178</v>
      </c>
      <c r="H203" s="275"/>
      <c r="I203" s="1088"/>
      <c r="J203" s="150" t="s">
        <v>1629</v>
      </c>
      <c r="K203" s="195"/>
      <c r="L203" s="594"/>
      <c r="M203" s="594"/>
      <c r="N203" s="918" t="s">
        <v>19</v>
      </c>
      <c r="O203" s="622" t="s">
        <v>1570</v>
      </c>
      <c r="P203" s="345"/>
      <c r="Q203" s="345"/>
      <c r="R203" s="345"/>
      <c r="S203" s="350"/>
      <c r="T203" s="376"/>
      <c r="U203" s="377"/>
      <c r="V203" s="722"/>
      <c r="W203" s="8"/>
      <c r="X203" s="461"/>
      <c r="Y203" s="458"/>
      <c r="Z203" s="464"/>
      <c r="AA203" s="164"/>
      <c r="AD203" s="1204"/>
      <c r="AE203" s="1189"/>
      <c r="AF203" s="1156"/>
      <c r="AG203" s="1156"/>
      <c r="AH203" s="1191" t="s">
        <v>68</v>
      </c>
      <c r="AI203" s="1161"/>
      <c r="AJ203" s="1190"/>
    </row>
    <row r="204" spans="1:36" ht="85" customHeight="1" x14ac:dyDescent="0.2">
      <c r="A204" s="16"/>
      <c r="B204" s="123" t="s">
        <v>1858</v>
      </c>
      <c r="D204" s="1501">
        <v>45</v>
      </c>
      <c r="E204" s="196" t="s">
        <v>555</v>
      </c>
      <c r="F204" s="767" t="s">
        <v>1571</v>
      </c>
      <c r="G204" s="766"/>
      <c r="H204" s="276"/>
      <c r="I204" s="766"/>
      <c r="J204" s="546"/>
      <c r="K204" s="196"/>
      <c r="L204" s="594">
        <v>1</v>
      </c>
      <c r="M204" s="594"/>
      <c r="N204" s="918" t="s">
        <v>3</v>
      </c>
      <c r="O204" s="297" t="s">
        <v>1418</v>
      </c>
      <c r="P204" s="345">
        <f>Test_Bible!P337</f>
        <v>2</v>
      </c>
      <c r="Q204" s="345">
        <f>Test_Bible!Q337</f>
        <v>2</v>
      </c>
      <c r="R204" s="345" t="s">
        <v>2056</v>
      </c>
      <c r="S204" s="350">
        <v>1</v>
      </c>
      <c r="T204" s="376">
        <v>0</v>
      </c>
      <c r="U204" s="377">
        <v>0</v>
      </c>
      <c r="V204" s="722" t="s">
        <v>149</v>
      </c>
      <c r="W204" s="8"/>
      <c r="X204" s="461"/>
      <c r="Y204" s="458"/>
      <c r="Z204" s="464"/>
      <c r="AA204" s="164"/>
      <c r="AD204" s="1204">
        <v>1</v>
      </c>
      <c r="AE204" s="1189"/>
      <c r="AF204" s="1156"/>
      <c r="AG204" s="1156"/>
      <c r="AH204" s="1191"/>
      <c r="AI204" s="1161"/>
      <c r="AJ204" s="1190"/>
    </row>
    <row r="205" spans="1:36" ht="82" customHeight="1" x14ac:dyDescent="0.2">
      <c r="B205" s="123" t="s">
        <v>1858</v>
      </c>
      <c r="D205" s="1501">
        <v>46</v>
      </c>
      <c r="E205" s="196" t="s">
        <v>1423</v>
      </c>
      <c r="F205" s="767" t="s">
        <v>1572</v>
      </c>
      <c r="G205" s="766" t="s">
        <v>1179</v>
      </c>
      <c r="H205" s="276"/>
      <c r="I205" s="766"/>
      <c r="J205" s="150" t="s">
        <v>1629</v>
      </c>
      <c r="K205" s="196"/>
      <c r="L205" s="594">
        <v>1</v>
      </c>
      <c r="M205" s="594"/>
      <c r="N205" s="918" t="s">
        <v>4</v>
      </c>
      <c r="O205" s="297" t="s">
        <v>5</v>
      </c>
      <c r="P205" s="345">
        <f>Test_Bible!P337</f>
        <v>2</v>
      </c>
      <c r="Q205" s="345">
        <f>Test_Bible!Q337</f>
        <v>2</v>
      </c>
      <c r="R205" s="345"/>
      <c r="S205" s="350" t="s">
        <v>34</v>
      </c>
      <c r="T205" s="374" t="s">
        <v>34</v>
      </c>
      <c r="U205" s="377" t="s">
        <v>34</v>
      </c>
      <c r="V205" s="722" t="s">
        <v>149</v>
      </c>
      <c r="W205" s="8"/>
      <c r="X205" s="461"/>
      <c r="Y205" s="458"/>
      <c r="Z205" s="464"/>
      <c r="AA205" s="164"/>
      <c r="AD205" s="1204">
        <v>1</v>
      </c>
      <c r="AE205" s="1189"/>
      <c r="AF205" s="1156"/>
      <c r="AG205" s="1156"/>
      <c r="AH205" s="996" t="s">
        <v>626</v>
      </c>
      <c r="AI205" s="1161"/>
      <c r="AJ205" s="1190"/>
    </row>
    <row r="206" spans="1:36" ht="49" customHeight="1" x14ac:dyDescent="0.2">
      <c r="D206" s="1501">
        <v>57</v>
      </c>
      <c r="E206" s="197" t="s">
        <v>196</v>
      </c>
      <c r="F206" s="769" t="s">
        <v>1180</v>
      </c>
      <c r="G206" s="768" t="s">
        <v>1181</v>
      </c>
      <c r="H206" s="277"/>
      <c r="I206" s="1089"/>
      <c r="J206" s="168" t="s">
        <v>198</v>
      </c>
      <c r="K206" s="195"/>
      <c r="L206" s="594">
        <v>0</v>
      </c>
      <c r="M206" s="594"/>
      <c r="N206" s="918" t="s">
        <v>46</v>
      </c>
      <c r="O206" s="297"/>
      <c r="P206" s="339"/>
      <c r="Q206" s="339"/>
      <c r="R206" s="339"/>
      <c r="S206" s="350" t="s">
        <v>34</v>
      </c>
      <c r="T206" s="374" t="s">
        <v>34</v>
      </c>
      <c r="U206" s="377" t="s">
        <v>34</v>
      </c>
      <c r="V206" s="722" t="s">
        <v>149</v>
      </c>
      <c r="W206" s="8"/>
      <c r="X206" s="461"/>
      <c r="Y206" s="458"/>
      <c r="Z206" s="464"/>
      <c r="AA206" s="164"/>
      <c r="AD206" s="1204">
        <v>1</v>
      </c>
      <c r="AE206" s="1189"/>
      <c r="AF206" s="1156"/>
      <c r="AG206" s="1156"/>
      <c r="AH206" s="1191"/>
      <c r="AI206" s="1161"/>
      <c r="AJ206" s="1190"/>
    </row>
    <row r="207" spans="1:36" ht="233" customHeight="1" x14ac:dyDescent="0.2">
      <c r="B207" s="123" t="s">
        <v>1816</v>
      </c>
      <c r="D207" s="1501"/>
      <c r="E207" s="193" t="s">
        <v>355</v>
      </c>
      <c r="F207" s="767" t="s">
        <v>518</v>
      </c>
      <c r="G207" s="766" t="s">
        <v>1182</v>
      </c>
      <c r="H207" s="553" t="s">
        <v>502</v>
      </c>
      <c r="I207" s="1090"/>
      <c r="J207" s="169" t="s">
        <v>1626</v>
      </c>
      <c r="K207" s="196"/>
      <c r="L207" s="594">
        <v>1</v>
      </c>
      <c r="M207" s="594"/>
      <c r="N207" s="918" t="s">
        <v>1716</v>
      </c>
      <c r="O207" s="297" t="s">
        <v>1418</v>
      </c>
      <c r="P207" s="339"/>
      <c r="Q207" s="339"/>
      <c r="R207" s="339"/>
      <c r="S207" s="350" t="s">
        <v>34</v>
      </c>
      <c r="T207" s="374" t="s">
        <v>34</v>
      </c>
      <c r="U207" s="377" t="s">
        <v>34</v>
      </c>
      <c r="V207" s="722" t="s">
        <v>149</v>
      </c>
      <c r="W207" s="8"/>
      <c r="X207" s="461"/>
      <c r="Y207" s="449"/>
      <c r="Z207" s="462"/>
      <c r="AD207" s="1204">
        <v>1</v>
      </c>
      <c r="AE207" s="1155" t="s">
        <v>24</v>
      </c>
      <c r="AF207" s="1164" t="s">
        <v>617</v>
      </c>
      <c r="AG207" s="1164"/>
      <c r="AH207" s="1155" t="s">
        <v>25</v>
      </c>
      <c r="AI207" s="1186"/>
      <c r="AJ207" s="1165" t="s">
        <v>670</v>
      </c>
    </row>
    <row r="208" spans="1:36" s="7" customFormat="1" ht="187" x14ac:dyDescent="0.2">
      <c r="B208" s="123" t="s">
        <v>1622</v>
      </c>
      <c r="D208" s="1501"/>
      <c r="E208" s="1889" t="s">
        <v>1627</v>
      </c>
      <c r="F208" s="767" t="s">
        <v>519</v>
      </c>
      <c r="G208" s="767" t="s">
        <v>519</v>
      </c>
      <c r="H208" s="553" t="s">
        <v>502</v>
      </c>
      <c r="I208" s="1090"/>
      <c r="J208" s="169" t="s">
        <v>1628</v>
      </c>
      <c r="K208" s="224"/>
      <c r="L208" s="594">
        <v>1</v>
      </c>
      <c r="M208" s="594"/>
      <c r="N208" s="918" t="s">
        <v>1716</v>
      </c>
      <c r="O208" s="297" t="s">
        <v>1418</v>
      </c>
      <c r="P208" s="339"/>
      <c r="Q208" s="339"/>
      <c r="R208" s="339"/>
      <c r="S208" s="350" t="s">
        <v>34</v>
      </c>
      <c r="T208" s="374" t="s">
        <v>34</v>
      </c>
      <c r="U208" s="377" t="s">
        <v>34</v>
      </c>
      <c r="V208" s="722" t="s">
        <v>149</v>
      </c>
      <c r="W208" s="454"/>
      <c r="X208" s="454"/>
      <c r="Y208" s="58"/>
      <c r="Z208" s="58"/>
      <c r="AA208" s="56"/>
      <c r="AB208" s="56"/>
      <c r="AC208" s="56"/>
      <c r="AD208" s="1204">
        <v>1</v>
      </c>
      <c r="AE208" s="1146"/>
      <c r="AF208" s="1147"/>
      <c r="AG208" s="1147"/>
      <c r="AH208" s="1146"/>
      <c r="AI208" s="993"/>
      <c r="AJ208" s="995"/>
    </row>
    <row r="209" spans="1:36" s="7" customFormat="1" ht="59" customHeight="1" x14ac:dyDescent="0.2">
      <c r="C209" s="1820"/>
      <c r="D209" s="1952">
        <v>18</v>
      </c>
      <c r="E209" s="1542" t="s">
        <v>1308</v>
      </c>
      <c r="F209" s="1042" t="s">
        <v>1573</v>
      </c>
      <c r="G209" s="1542"/>
      <c r="H209" s="1542"/>
      <c r="I209" s="1542"/>
      <c r="J209" s="1542"/>
      <c r="K209" s="1542">
        <v>4</v>
      </c>
      <c r="L209" s="1543">
        <v>2</v>
      </c>
      <c r="M209" s="1544"/>
      <c r="N209" s="918" t="s">
        <v>3</v>
      </c>
      <c r="O209" s="297" t="s">
        <v>1418</v>
      </c>
      <c r="P209" s="345">
        <f>Test_Bible!P329</f>
        <v>2</v>
      </c>
      <c r="Q209" s="345">
        <f>Test_Bible!Q329</f>
        <v>6</v>
      </c>
      <c r="R209" s="345" t="s">
        <v>2057</v>
      </c>
      <c r="S209" s="647">
        <v>1</v>
      </c>
      <c r="T209" s="1530">
        <v>0</v>
      </c>
      <c r="U209" s="1531">
        <v>0</v>
      </c>
      <c r="V209" s="1532" t="s">
        <v>149</v>
      </c>
      <c r="W209" s="459"/>
      <c r="X209" s="459"/>
      <c r="Y209" s="458"/>
      <c r="Z209" s="1009"/>
      <c r="AA209" s="56"/>
      <c r="AB209" s="56"/>
      <c r="AC209" s="56"/>
      <c r="AD209" s="1204">
        <v>1</v>
      </c>
      <c r="AE209" s="569"/>
      <c r="AF209" s="1147"/>
      <c r="AG209" s="1147"/>
      <c r="AH209" s="1146"/>
      <c r="AI209" s="993"/>
      <c r="AJ209" s="995"/>
    </row>
    <row r="210" spans="1:36" s="7" customFormat="1" ht="56" customHeight="1" x14ac:dyDescent="0.2">
      <c r="B210" s="123" t="s">
        <v>1514</v>
      </c>
      <c r="C210" s="1820"/>
      <c r="D210" s="1952">
        <v>19</v>
      </c>
      <c r="E210" s="1546" t="s">
        <v>1309</v>
      </c>
      <c r="F210" s="1545" t="s">
        <v>1362</v>
      </c>
      <c r="G210" s="1545" t="s">
        <v>1164</v>
      </c>
      <c r="H210" s="1545" t="s">
        <v>187</v>
      </c>
      <c r="I210" s="1545"/>
      <c r="J210" s="1545" t="s">
        <v>50</v>
      </c>
      <c r="K210" s="1545"/>
      <c r="L210" s="1543"/>
      <c r="M210" s="1544"/>
      <c r="N210" s="918" t="s">
        <v>165</v>
      </c>
      <c r="O210" s="297"/>
      <c r="P210" s="345">
        <f>Test_Bible!P372</f>
        <v>5</v>
      </c>
      <c r="Q210" s="345">
        <f>Test_Bible!Q372</f>
        <v>0</v>
      </c>
      <c r="R210" s="345"/>
      <c r="S210" s="647" t="s">
        <v>34</v>
      </c>
      <c r="T210" s="648" t="s">
        <v>34</v>
      </c>
      <c r="U210" s="1531" t="s">
        <v>34</v>
      </c>
      <c r="V210" s="1532" t="s">
        <v>149</v>
      </c>
      <c r="W210" s="459"/>
      <c r="X210" s="459"/>
      <c r="Y210" s="458"/>
      <c r="Z210" s="1009"/>
      <c r="AA210" s="56"/>
      <c r="AB210" s="56"/>
      <c r="AC210" s="56"/>
      <c r="AD210" s="56"/>
      <c r="AE210" s="569"/>
      <c r="AF210" s="1147"/>
      <c r="AG210" s="1147"/>
      <c r="AH210" s="1146"/>
      <c r="AI210" s="993"/>
      <c r="AJ210" s="995"/>
    </row>
    <row r="211" spans="1:36" s="7" customFormat="1" ht="40" customHeight="1" thickBot="1" x14ac:dyDescent="0.25">
      <c r="A211" s="313"/>
      <c r="B211" s="313"/>
      <c r="C211" s="313"/>
      <c r="D211" s="172" t="s">
        <v>1625</v>
      </c>
      <c r="E211" s="1533"/>
      <c r="F211" s="1534"/>
      <c r="G211" s="1533"/>
      <c r="H211" s="1534"/>
      <c r="I211" s="1534"/>
      <c r="J211" s="1535"/>
      <c r="K211" s="1535"/>
      <c r="L211" s="1535"/>
      <c r="M211" s="1535"/>
      <c r="N211" s="1536"/>
      <c r="O211" s="1841"/>
      <c r="P211" s="1536"/>
      <c r="Q211" s="1536"/>
      <c r="R211" s="1536"/>
      <c r="S211" s="1537"/>
      <c r="T211" s="1538"/>
      <c r="U211" s="1538"/>
      <c r="V211" s="1539"/>
      <c r="W211" s="459"/>
      <c r="X211" s="459"/>
      <c r="Y211" s="458"/>
      <c r="Z211" s="1009"/>
      <c r="AA211" s="56"/>
      <c r="AB211" s="56"/>
      <c r="AC211" s="56"/>
      <c r="AD211" s="56"/>
      <c r="AE211" s="569"/>
      <c r="AF211" s="1147"/>
      <c r="AG211" s="1147"/>
      <c r="AH211" s="1146"/>
      <c r="AI211" s="993"/>
      <c r="AJ211" s="995"/>
    </row>
    <row r="212" spans="1:36" ht="40" customHeight="1" x14ac:dyDescent="0.25">
      <c r="C212" s="1888" t="s">
        <v>1299</v>
      </c>
      <c r="D212" s="1505">
        <v>18</v>
      </c>
      <c r="E212" s="198"/>
      <c r="F212" s="577"/>
      <c r="G212" s="545"/>
      <c r="H212" s="198"/>
      <c r="I212" s="425"/>
      <c r="J212" s="425"/>
      <c r="K212" s="198"/>
      <c r="L212" s="198"/>
      <c r="M212" s="545"/>
      <c r="N212" s="924"/>
      <c r="O212" s="1842"/>
      <c r="P212" s="335"/>
      <c r="Q212" s="335"/>
      <c r="R212" s="335"/>
      <c r="S212" s="349"/>
      <c r="T212" s="382"/>
      <c r="U212" s="436"/>
      <c r="V212" s="358"/>
      <c r="W212" s="460"/>
      <c r="X212" s="460"/>
      <c r="Z212" s="463"/>
      <c r="AE212" s="1155"/>
      <c r="AF212" s="1156"/>
      <c r="AG212" s="1156"/>
      <c r="AH212" s="1155"/>
      <c r="AI212" s="1157"/>
      <c r="AJ212" s="1158"/>
    </row>
    <row r="213" spans="1:36" ht="214" customHeight="1" x14ac:dyDescent="0.2">
      <c r="A213" s="551" t="s">
        <v>1623</v>
      </c>
      <c r="B213" s="26"/>
      <c r="C213" s="2191"/>
      <c r="D213" s="1505">
        <v>19</v>
      </c>
      <c r="E213" s="187" t="s">
        <v>1499</v>
      </c>
      <c r="F213" s="366" t="s">
        <v>1578</v>
      </c>
      <c r="G213" s="543" t="s">
        <v>1183</v>
      </c>
      <c r="H213" s="515" t="s">
        <v>1184</v>
      </c>
      <c r="I213" s="1091" t="s">
        <v>1185</v>
      </c>
      <c r="J213" s="175" t="s">
        <v>68</v>
      </c>
      <c r="K213" s="226"/>
      <c r="L213" s="226">
        <v>0</v>
      </c>
      <c r="M213" s="607"/>
      <c r="N213" s="925" t="s">
        <v>133</v>
      </c>
      <c r="O213" s="654" t="s">
        <v>1836</v>
      </c>
      <c r="P213" s="335"/>
      <c r="Q213" s="335"/>
      <c r="R213" s="335"/>
      <c r="S213" s="350">
        <v>1</v>
      </c>
      <c r="T213" s="374">
        <v>0</v>
      </c>
      <c r="U213" s="374">
        <v>0</v>
      </c>
      <c r="V213" s="185" t="s">
        <v>62</v>
      </c>
      <c r="W213" s="460"/>
      <c r="X213" s="460"/>
      <c r="Z213" s="469"/>
      <c r="AE213" s="1159" t="s">
        <v>24</v>
      </c>
      <c r="AF213" s="1164" t="s">
        <v>618</v>
      </c>
      <c r="AG213" s="1164"/>
      <c r="AH213" s="1159" t="s">
        <v>68</v>
      </c>
      <c r="AI213" s="1161"/>
      <c r="AJ213" s="1162"/>
    </row>
    <row r="214" spans="1:36" ht="214" customHeight="1" thickBot="1" x14ac:dyDescent="0.25">
      <c r="A214" s="551" t="s">
        <v>1624</v>
      </c>
      <c r="B214" s="26"/>
      <c r="C214" s="2191"/>
      <c r="D214" s="359"/>
      <c r="E214" s="431" t="s">
        <v>1852</v>
      </c>
      <c r="F214" s="366" t="s">
        <v>1579</v>
      </c>
      <c r="G214" s="543" t="s">
        <v>1186</v>
      </c>
      <c r="H214" s="516" t="s">
        <v>1187</v>
      </c>
      <c r="I214" s="516" t="s">
        <v>1188</v>
      </c>
      <c r="J214" s="175" t="s">
        <v>68</v>
      </c>
      <c r="K214" s="432"/>
      <c r="L214" s="226">
        <v>0</v>
      </c>
      <c r="M214" s="607"/>
      <c r="N214" s="925" t="s">
        <v>133</v>
      </c>
      <c r="O214" s="654" t="s">
        <v>1844</v>
      </c>
      <c r="P214" s="1225"/>
      <c r="Q214" s="1225"/>
      <c r="R214" s="1225"/>
      <c r="S214" s="371">
        <v>1</v>
      </c>
      <c r="T214" s="437">
        <v>0</v>
      </c>
      <c r="U214" s="437">
        <v>0</v>
      </c>
      <c r="V214" s="434" t="s">
        <v>62</v>
      </c>
      <c r="W214" s="460"/>
      <c r="X214" s="460"/>
      <c r="Z214" s="469"/>
      <c r="AE214" s="1159" t="s">
        <v>24</v>
      </c>
      <c r="AF214" s="1164" t="s">
        <v>651</v>
      </c>
      <c r="AG214" s="1164"/>
      <c r="AH214" s="1159" t="s">
        <v>68</v>
      </c>
      <c r="AI214" s="1161"/>
      <c r="AJ214" s="1164" t="s">
        <v>650</v>
      </c>
    </row>
    <row r="215" spans="1:36" s="131" customFormat="1" ht="40" customHeight="1" thickBot="1" x14ac:dyDescent="0.25">
      <c r="A215" s="2192" t="s">
        <v>1517</v>
      </c>
      <c r="B215" s="1999"/>
      <c r="C215" s="2000"/>
      <c r="E215" s="359"/>
      <c r="F215" s="426"/>
      <c r="G215" s="359"/>
      <c r="H215" s="426"/>
      <c r="I215" s="426"/>
      <c r="J215" s="427"/>
      <c r="K215" s="427"/>
      <c r="L215" s="427"/>
      <c r="M215" s="427"/>
      <c r="N215" s="428"/>
      <c r="O215" s="1843"/>
      <c r="P215" s="428"/>
      <c r="Q215" s="428"/>
      <c r="R215" s="428"/>
      <c r="S215" s="429"/>
      <c r="T215" s="430"/>
      <c r="U215" s="430"/>
      <c r="V215" s="364"/>
      <c r="W215" s="457"/>
      <c r="X215" s="457"/>
      <c r="Y215" s="57"/>
      <c r="Z215" s="470"/>
      <c r="AA215" s="56"/>
      <c r="AB215" s="56"/>
      <c r="AC215" s="56"/>
      <c r="AD215" s="56"/>
      <c r="AE215" s="1180"/>
      <c r="AF215" s="1181"/>
      <c r="AG215" s="1181"/>
      <c r="AH215" s="1192"/>
      <c r="AI215" s="1193"/>
      <c r="AJ215" s="1194"/>
    </row>
    <row r="216" spans="1:36" s="7" customFormat="1" ht="60" customHeight="1" thickBot="1" x14ac:dyDescent="0.25">
      <c r="A216" s="2192"/>
      <c r="D216" s="909">
        <v>0</v>
      </c>
      <c r="E216" s="1928" t="s">
        <v>1685</v>
      </c>
      <c r="F216" s="1930" t="s">
        <v>1857</v>
      </c>
      <c r="G216" s="1929"/>
      <c r="H216" s="1930"/>
      <c r="I216" s="1929"/>
      <c r="J216" s="394" t="s">
        <v>1630</v>
      </c>
      <c r="K216" s="395">
        <v>5</v>
      </c>
      <c r="L216" s="1925">
        <v>1</v>
      </c>
      <c r="M216" s="1926"/>
      <c r="N216" s="913" t="s">
        <v>54</v>
      </c>
      <c r="O216" s="911" t="s">
        <v>1480</v>
      </c>
      <c r="P216" s="396">
        <f>Test_Bible!P301</f>
        <v>0</v>
      </c>
      <c r="Q216" s="396">
        <f>Test_Bible!Q301</f>
        <v>0</v>
      </c>
      <c r="R216" s="396"/>
      <c r="S216" s="350" t="s">
        <v>34</v>
      </c>
      <c r="T216" s="374" t="s">
        <v>34</v>
      </c>
      <c r="U216" s="377" t="s">
        <v>34</v>
      </c>
      <c r="V216" s="754" t="s">
        <v>55</v>
      </c>
      <c r="W216" s="457"/>
      <c r="X216" s="457"/>
      <c r="Y216" s="57"/>
      <c r="Z216" s="1502"/>
      <c r="AA216" s="56"/>
      <c r="AB216" s="56"/>
      <c r="AC216" s="56"/>
      <c r="AD216" s="56"/>
      <c r="AE216" s="569"/>
      <c r="AF216" s="1147"/>
      <c r="AG216" s="1147"/>
      <c r="AH216" s="1146"/>
      <c r="AI216" s="993"/>
      <c r="AJ216" s="995"/>
    </row>
    <row r="217" spans="1:36" s="7" customFormat="1" ht="89" customHeight="1" thickTop="1" thickBot="1" x14ac:dyDescent="0.25">
      <c r="A217" s="2001" t="s">
        <v>1711</v>
      </c>
      <c r="B217" s="1823"/>
      <c r="C217" s="898" t="s">
        <v>1515</v>
      </c>
      <c r="D217" s="1503">
        <v>1</v>
      </c>
      <c r="E217" s="145" t="s">
        <v>201</v>
      </c>
      <c r="F217" s="1099" t="s">
        <v>1670</v>
      </c>
      <c r="G217" s="1099" t="s">
        <v>1189</v>
      </c>
      <c r="H217" s="1934"/>
      <c r="I217" s="1935"/>
      <c r="J217" s="1936"/>
      <c r="K217" s="1937">
        <v>4</v>
      </c>
      <c r="L217" s="580">
        <v>1</v>
      </c>
      <c r="M217" s="580">
        <v>0</v>
      </c>
      <c r="N217" s="917" t="s">
        <v>7</v>
      </c>
      <c r="O217" s="1847" t="s">
        <v>1544</v>
      </c>
      <c r="P217" s="435">
        <f>Test_Bible!P404</f>
        <v>2</v>
      </c>
      <c r="Q217" s="435">
        <f>Test_Bible!Q404</f>
        <v>0</v>
      </c>
      <c r="R217" s="2060" t="s">
        <v>1965</v>
      </c>
      <c r="S217" s="438">
        <v>1</v>
      </c>
      <c r="T217" s="439">
        <v>0</v>
      </c>
      <c r="U217" s="440">
        <v>0</v>
      </c>
      <c r="V217" s="397" t="s">
        <v>55</v>
      </c>
      <c r="W217" s="6">
        <v>1</v>
      </c>
      <c r="X217" s="461"/>
      <c r="Y217" s="58"/>
      <c r="Z217" s="471"/>
      <c r="AA217" s="56"/>
      <c r="AB217" s="56"/>
      <c r="AC217" s="56"/>
      <c r="AD217" s="56"/>
      <c r="AE217" s="569"/>
      <c r="AF217" s="1147"/>
      <c r="AG217" s="1147"/>
      <c r="AH217" s="1146"/>
      <c r="AI217" s="993"/>
      <c r="AJ217" s="995"/>
    </row>
    <row r="218" spans="1:36" s="7" customFormat="1" ht="63" customHeight="1" x14ac:dyDescent="0.2">
      <c r="A218" s="2002"/>
      <c r="B218" s="123" t="s">
        <v>915</v>
      </c>
      <c r="D218" s="1503">
        <v>2</v>
      </c>
      <c r="E218" s="142" t="s">
        <v>202</v>
      </c>
      <c r="F218" s="767" t="s">
        <v>1574</v>
      </c>
      <c r="G218" s="767" t="s">
        <v>1190</v>
      </c>
      <c r="H218" s="121"/>
      <c r="I218" s="1047"/>
      <c r="J218" s="214"/>
      <c r="K218" s="233"/>
      <c r="L218" s="588">
        <v>2</v>
      </c>
      <c r="M218" s="588"/>
      <c r="N218" s="917" t="s">
        <v>1527</v>
      </c>
      <c r="O218" s="1847" t="s">
        <v>1529</v>
      </c>
      <c r="P218" s="343">
        <f>Test_Bible!P405</f>
        <v>0</v>
      </c>
      <c r="Q218" s="343">
        <f>Test_Bible!Q405</f>
        <v>0</v>
      </c>
      <c r="R218" s="2060" t="s">
        <v>1966</v>
      </c>
      <c r="S218" s="139">
        <v>0</v>
      </c>
      <c r="T218" s="140">
        <v>1</v>
      </c>
      <c r="U218" s="408">
        <v>0</v>
      </c>
      <c r="V218" s="180" t="s">
        <v>55</v>
      </c>
      <c r="W218" s="6">
        <v>1</v>
      </c>
      <c r="X218" s="461"/>
      <c r="Y218" s="449"/>
      <c r="Z218" s="472"/>
      <c r="AB218" s="56"/>
      <c r="AC218" s="56"/>
      <c r="AD218" s="56"/>
      <c r="AE218" s="541" t="s">
        <v>24</v>
      </c>
      <c r="AF218" s="288" t="s">
        <v>647</v>
      </c>
      <c r="AG218" s="1147"/>
      <c r="AH218" s="1155" t="s">
        <v>25</v>
      </c>
      <c r="AI218" s="993"/>
      <c r="AJ218" s="288" t="s">
        <v>647</v>
      </c>
    </row>
    <row r="219" spans="1:36" s="7" customFormat="1" ht="63" customHeight="1" x14ac:dyDescent="0.2">
      <c r="A219" s="2003" t="s">
        <v>1481</v>
      </c>
      <c r="D219" s="1503">
        <v>15</v>
      </c>
      <c r="E219" s="145" t="s">
        <v>203</v>
      </c>
      <c r="F219" s="1099" t="s">
        <v>1682</v>
      </c>
      <c r="G219" s="1099" t="s">
        <v>1191</v>
      </c>
      <c r="H219" s="278"/>
      <c r="I219" s="1092"/>
      <c r="J219" s="218"/>
      <c r="K219" s="244"/>
      <c r="L219" s="588">
        <v>2</v>
      </c>
      <c r="M219" s="588"/>
      <c r="N219" s="918" t="s">
        <v>7</v>
      </c>
      <c r="O219" s="1847" t="s">
        <v>1544</v>
      </c>
      <c r="P219" s="343">
        <f>Test_Bible!P406</f>
        <v>0</v>
      </c>
      <c r="Q219" s="343">
        <f>Test_Bible!Q406</f>
        <v>0</v>
      </c>
      <c r="R219" s="342" t="s">
        <v>1925</v>
      </c>
      <c r="S219" s="138">
        <v>0.5</v>
      </c>
      <c r="T219" s="368">
        <v>0</v>
      </c>
      <c r="U219" s="332">
        <v>0.5</v>
      </c>
      <c r="V219" s="186" t="s">
        <v>97</v>
      </c>
      <c r="W219" s="8"/>
      <c r="X219" s="1205">
        <v>1</v>
      </c>
      <c r="Y219" s="449"/>
      <c r="Z219" s="472"/>
      <c r="AA219" s="56"/>
      <c r="AB219" s="56"/>
      <c r="AC219" s="56"/>
      <c r="AD219" s="56"/>
      <c r="AE219" s="541" t="s">
        <v>24</v>
      </c>
      <c r="AF219" s="1149" t="s">
        <v>658</v>
      </c>
      <c r="AG219" s="1149"/>
      <c r="AH219" s="541" t="s">
        <v>25</v>
      </c>
      <c r="AI219" s="288"/>
      <c r="AJ219" s="1174" t="s">
        <v>659</v>
      </c>
    </row>
    <row r="220" spans="1:36" s="7" customFormat="1" ht="63" customHeight="1" x14ac:dyDescent="0.2">
      <c r="A220" s="2002"/>
      <c r="D220" s="1503">
        <v>7</v>
      </c>
      <c r="E220" s="145" t="s">
        <v>204</v>
      </c>
      <c r="F220" s="1099" t="s">
        <v>1675</v>
      </c>
      <c r="G220" s="1099" t="s">
        <v>1192</v>
      </c>
      <c r="H220" s="279"/>
      <c r="I220" s="1093"/>
      <c r="J220" s="218"/>
      <c r="K220" s="244"/>
      <c r="L220" s="580">
        <v>1</v>
      </c>
      <c r="M220" s="580"/>
      <c r="N220" s="918" t="s">
        <v>43</v>
      </c>
      <c r="O220" s="1847" t="s">
        <v>1419</v>
      </c>
      <c r="P220" s="343">
        <f>Test_Bible!P407</f>
        <v>7</v>
      </c>
      <c r="Q220" s="343">
        <f>Test_Bible!Q407</f>
        <v>7</v>
      </c>
      <c r="R220" s="346" t="s">
        <v>1899</v>
      </c>
      <c r="S220" s="138">
        <v>1</v>
      </c>
      <c r="T220" s="368">
        <v>0</v>
      </c>
      <c r="U220" s="408">
        <v>0</v>
      </c>
      <c r="V220" s="184" t="s">
        <v>69</v>
      </c>
      <c r="W220" s="8"/>
      <c r="X220" s="461"/>
      <c r="Y220" s="449">
        <v>1</v>
      </c>
      <c r="Z220" s="472"/>
      <c r="AA220" s="56"/>
      <c r="AB220" s="56"/>
      <c r="AC220" s="56"/>
      <c r="AD220" s="56"/>
      <c r="AE220" s="569"/>
      <c r="AF220" s="1147"/>
      <c r="AG220" s="1147"/>
      <c r="AH220" s="1146"/>
      <c r="AI220" s="993"/>
      <c r="AJ220" s="995"/>
    </row>
    <row r="221" spans="1:36" s="7" customFormat="1" ht="65" customHeight="1" thickBot="1" x14ac:dyDescent="0.25">
      <c r="A221" s="2004"/>
      <c r="D221" s="1503">
        <v>3</v>
      </c>
      <c r="E221" s="145" t="s">
        <v>205</v>
      </c>
      <c r="F221" s="1099" t="s">
        <v>1671</v>
      </c>
      <c r="G221" s="1099"/>
      <c r="H221" s="279"/>
      <c r="I221" s="1093"/>
      <c r="J221" s="218"/>
      <c r="K221" s="244"/>
      <c r="L221" s="1932"/>
      <c r="M221" s="1933"/>
      <c r="N221" s="926" t="s">
        <v>19</v>
      </c>
      <c r="O221" s="1946" t="s">
        <v>1712</v>
      </c>
      <c r="P221" s="343"/>
      <c r="Q221" s="343"/>
      <c r="R221" s="2059" t="s">
        <v>2141</v>
      </c>
      <c r="S221" s="139">
        <v>0</v>
      </c>
      <c r="T221" s="368">
        <v>0</v>
      </c>
      <c r="U221" s="332">
        <v>1</v>
      </c>
      <c r="V221" s="181" t="s">
        <v>62</v>
      </c>
      <c r="W221" s="8"/>
      <c r="X221" s="461"/>
      <c r="Y221" s="449"/>
      <c r="Z221" s="1974">
        <v>1</v>
      </c>
      <c r="AA221" s="56"/>
      <c r="AB221" s="56"/>
      <c r="AC221" s="56"/>
      <c r="AD221" s="56"/>
      <c r="AE221" s="569"/>
      <c r="AF221" s="1147"/>
      <c r="AG221" s="1147"/>
      <c r="AH221" s="1146"/>
      <c r="AI221" s="993"/>
      <c r="AJ221" s="995"/>
    </row>
    <row r="222" spans="1:36" s="7" customFormat="1" ht="63" customHeight="1" x14ac:dyDescent="0.2">
      <c r="A222" s="2002"/>
      <c r="B222" s="1822" t="s">
        <v>1518</v>
      </c>
      <c r="D222" s="1503">
        <v>4</v>
      </c>
      <c r="E222" s="142" t="s">
        <v>1407</v>
      </c>
      <c r="F222" s="767" t="s">
        <v>1672</v>
      </c>
      <c r="G222" s="1099" t="s">
        <v>1194</v>
      </c>
      <c r="H222" s="278"/>
      <c r="I222" s="1092"/>
      <c r="J222" s="218"/>
      <c r="K222" s="244">
        <v>2</v>
      </c>
      <c r="L222" s="587">
        <v>3</v>
      </c>
      <c r="M222" s="587"/>
      <c r="N222" s="918" t="s">
        <v>3</v>
      </c>
      <c r="O222" s="297" t="s">
        <v>1418</v>
      </c>
      <c r="P222" s="343">
        <f>Test_Bible!P415</f>
        <v>2</v>
      </c>
      <c r="Q222" s="343">
        <f>Test_Bible!Q415</f>
        <v>6</v>
      </c>
      <c r="R222" s="342" t="s">
        <v>1967</v>
      </c>
      <c r="S222" s="139">
        <v>0</v>
      </c>
      <c r="T222" s="368">
        <v>0</v>
      </c>
      <c r="U222" s="332">
        <v>1</v>
      </c>
      <c r="V222" s="181" t="s">
        <v>62</v>
      </c>
      <c r="W222" s="8"/>
      <c r="X222" s="461"/>
      <c r="Y222" s="58"/>
      <c r="Z222" s="462">
        <v>1</v>
      </c>
      <c r="AA222" s="56"/>
      <c r="AB222" s="56"/>
      <c r="AC222" s="56"/>
      <c r="AD222" s="56"/>
      <c r="AE222" s="569"/>
      <c r="AF222" s="1147"/>
      <c r="AG222" s="1147"/>
      <c r="AH222" s="541" t="s">
        <v>25</v>
      </c>
      <c r="AI222" s="993"/>
      <c r="AJ222" s="994" t="s">
        <v>667</v>
      </c>
    </row>
    <row r="223" spans="1:36" s="7" customFormat="1" ht="63" customHeight="1" x14ac:dyDescent="0.2">
      <c r="A223" s="2002"/>
      <c r="B223" s="1822" t="s">
        <v>1486</v>
      </c>
      <c r="D223" s="1503">
        <v>5</v>
      </c>
      <c r="E223" s="142" t="s">
        <v>1485</v>
      </c>
      <c r="F223" s="767" t="s">
        <v>1673</v>
      </c>
      <c r="G223" s="1099" t="s">
        <v>1193</v>
      </c>
      <c r="H223" s="278"/>
      <c r="I223" s="1092"/>
      <c r="J223" s="218"/>
      <c r="K223" s="244"/>
      <c r="L223" s="587">
        <v>3</v>
      </c>
      <c r="M223" s="587"/>
      <c r="N223" s="918" t="s">
        <v>3</v>
      </c>
      <c r="O223" s="297" t="s">
        <v>1418</v>
      </c>
      <c r="P223" s="343">
        <f>Test_Bible!P414</f>
        <v>4</v>
      </c>
      <c r="Q223" s="343">
        <f>Test_Bible!Q414</f>
        <v>12</v>
      </c>
      <c r="R223" s="342" t="s">
        <v>1937</v>
      </c>
      <c r="S223" s="139">
        <v>0</v>
      </c>
      <c r="T223" s="368">
        <v>0</v>
      </c>
      <c r="U223" s="332">
        <v>1</v>
      </c>
      <c r="V223" s="181" t="s">
        <v>62</v>
      </c>
      <c r="W223" s="8"/>
      <c r="X223" s="461"/>
      <c r="Y223" s="58"/>
      <c r="Z223" s="462">
        <v>1</v>
      </c>
      <c r="AA223" s="56"/>
      <c r="AB223" s="56"/>
      <c r="AC223" s="56"/>
      <c r="AD223" s="56"/>
      <c r="AE223" s="1159"/>
      <c r="AF223" s="994"/>
      <c r="AG223" s="1147"/>
      <c r="AH223" s="541" t="s">
        <v>25</v>
      </c>
      <c r="AI223" s="993"/>
      <c r="AJ223" s="994" t="s">
        <v>661</v>
      </c>
    </row>
    <row r="224" spans="1:36" s="7" customFormat="1" ht="63" customHeight="1" x14ac:dyDescent="0.2">
      <c r="A224" s="2003" t="s">
        <v>1519</v>
      </c>
      <c r="B224" s="1822" t="s">
        <v>1520</v>
      </c>
      <c r="D224" s="1503">
        <v>6</v>
      </c>
      <c r="E224" s="142" t="s">
        <v>1409</v>
      </c>
      <c r="F224" s="767" t="s">
        <v>1674</v>
      </c>
      <c r="G224" s="1099" t="s">
        <v>1195</v>
      </c>
      <c r="H224" s="279"/>
      <c r="I224" s="1093"/>
      <c r="J224" s="218"/>
      <c r="K224" s="244"/>
      <c r="L224" s="587">
        <v>3</v>
      </c>
      <c r="M224" s="587"/>
      <c r="N224" s="918" t="s">
        <v>3</v>
      </c>
      <c r="O224" s="297" t="s">
        <v>1418</v>
      </c>
      <c r="P224" s="343">
        <f>Test_Bible!P416</f>
        <v>2</v>
      </c>
      <c r="Q224" s="343">
        <f>Test_Bible!Q416</f>
        <v>6</v>
      </c>
      <c r="R224" s="6" t="s">
        <v>757</v>
      </c>
      <c r="S224" s="139">
        <v>0</v>
      </c>
      <c r="T224" s="368">
        <v>0</v>
      </c>
      <c r="U224" s="332">
        <v>1</v>
      </c>
      <c r="V224" s="181" t="s">
        <v>62</v>
      </c>
      <c r="W224" s="8"/>
      <c r="X224" s="461"/>
      <c r="Y224" s="449"/>
      <c r="Z224" s="462">
        <v>1</v>
      </c>
      <c r="AA224" s="56"/>
      <c r="AB224" s="56"/>
      <c r="AC224" s="56"/>
      <c r="AD224" s="56"/>
      <c r="AE224" s="569"/>
      <c r="AF224" s="1147"/>
      <c r="AG224" s="1147"/>
      <c r="AH224" s="541" t="s">
        <v>25</v>
      </c>
      <c r="AI224" s="993"/>
      <c r="AJ224" s="994" t="s">
        <v>666</v>
      </c>
    </row>
    <row r="225" spans="1:36" s="7" customFormat="1" ht="63" customHeight="1" x14ac:dyDescent="0.2">
      <c r="A225" s="2002"/>
      <c r="D225" s="1503">
        <v>9</v>
      </c>
      <c r="E225" s="145" t="s">
        <v>206</v>
      </c>
      <c r="F225" s="1099" t="s">
        <v>1676</v>
      </c>
      <c r="G225" s="1099" t="s">
        <v>1196</v>
      </c>
      <c r="H225" s="279"/>
      <c r="I225" s="1093"/>
      <c r="J225" s="218"/>
      <c r="K225" s="244">
        <v>4</v>
      </c>
      <c r="L225" s="588">
        <v>2</v>
      </c>
      <c r="M225" s="588"/>
      <c r="N225" s="918" t="s">
        <v>3</v>
      </c>
      <c r="O225" s="297" t="s">
        <v>1418</v>
      </c>
      <c r="P225" s="343">
        <f>Test_Bible!P417</f>
        <v>7</v>
      </c>
      <c r="Q225" s="343">
        <f>Test_Bible!Q417</f>
        <v>14</v>
      </c>
      <c r="R225" s="342" t="s">
        <v>1943</v>
      </c>
      <c r="S225" s="138">
        <v>1</v>
      </c>
      <c r="T225" s="368">
        <v>0</v>
      </c>
      <c r="U225" s="408">
        <v>0</v>
      </c>
      <c r="V225" s="179" t="s">
        <v>44</v>
      </c>
      <c r="W225" s="8"/>
      <c r="X225" s="461"/>
      <c r="Y225" s="58"/>
      <c r="Z225" s="471"/>
      <c r="AA225" s="1207">
        <v>1</v>
      </c>
      <c r="AB225" s="56"/>
      <c r="AC225" s="56"/>
      <c r="AD225" s="56"/>
      <c r="AE225" s="569"/>
      <c r="AF225" s="1147"/>
      <c r="AG225" s="1147"/>
      <c r="AH225" s="541" t="s">
        <v>25</v>
      </c>
      <c r="AI225" s="993"/>
      <c r="AJ225" s="994" t="s">
        <v>669</v>
      </c>
    </row>
    <row r="226" spans="1:36" s="7" customFormat="1" ht="63" customHeight="1" x14ac:dyDescent="0.2">
      <c r="A226" s="2002"/>
      <c r="B226" s="1822" t="s">
        <v>1521</v>
      </c>
      <c r="D226" s="1503">
        <v>10</v>
      </c>
      <c r="E226" s="142" t="s">
        <v>1408</v>
      </c>
      <c r="F226" s="767" t="s">
        <v>1677</v>
      </c>
      <c r="G226" s="1099" t="s">
        <v>1197</v>
      </c>
      <c r="H226" s="279"/>
      <c r="I226" s="1093"/>
      <c r="J226" s="218"/>
      <c r="K226" s="244"/>
      <c r="L226" s="588">
        <v>2</v>
      </c>
      <c r="M226" s="588"/>
      <c r="N226" s="918" t="s">
        <v>3</v>
      </c>
      <c r="O226" s="297" t="s">
        <v>1418</v>
      </c>
      <c r="P226" s="343">
        <f>Test_Bible!P418</f>
        <v>7</v>
      </c>
      <c r="Q226" s="343">
        <f>Test_Bible!Q418</f>
        <v>14</v>
      </c>
      <c r="R226" s="342" t="s">
        <v>1968</v>
      </c>
      <c r="S226" s="138">
        <v>1</v>
      </c>
      <c r="T226" s="368">
        <v>0</v>
      </c>
      <c r="U226" s="408">
        <v>0</v>
      </c>
      <c r="V226" s="179" t="s">
        <v>44</v>
      </c>
      <c r="W226" s="8"/>
      <c r="X226" s="461"/>
      <c r="Y226" s="58"/>
      <c r="Z226" s="471"/>
      <c r="AA226" s="1207">
        <v>1</v>
      </c>
      <c r="AB226" s="56"/>
      <c r="AC226" s="56"/>
      <c r="AD226" s="56"/>
      <c r="AE226" s="569"/>
      <c r="AF226" s="1147"/>
      <c r="AG226" s="1147"/>
      <c r="AH226" s="541" t="s">
        <v>25</v>
      </c>
      <c r="AI226" s="993"/>
      <c r="AJ226" s="994" t="s">
        <v>669</v>
      </c>
    </row>
    <row r="227" spans="1:36" s="7" customFormat="1" ht="63" customHeight="1" x14ac:dyDescent="0.2">
      <c r="A227" s="2002"/>
      <c r="D227" s="1503">
        <v>13</v>
      </c>
      <c r="E227" s="145" t="s">
        <v>207</v>
      </c>
      <c r="F227" s="1099" t="s">
        <v>1680</v>
      </c>
      <c r="G227" s="1099" t="s">
        <v>1198</v>
      </c>
      <c r="H227" s="279"/>
      <c r="I227" s="1093"/>
      <c r="J227" s="218"/>
      <c r="K227" s="244"/>
      <c r="L227" s="588">
        <v>2</v>
      </c>
      <c r="M227" s="588"/>
      <c r="N227" s="918" t="s">
        <v>3</v>
      </c>
      <c r="O227" s="297" t="s">
        <v>1418</v>
      </c>
      <c r="P227" s="343">
        <f>Test_Bible!P419</f>
        <v>4</v>
      </c>
      <c r="Q227" s="343">
        <f>Test_Bible!Q419</f>
        <v>8</v>
      </c>
      <c r="R227" s="342" t="s">
        <v>1947</v>
      </c>
      <c r="S227" s="138">
        <v>1</v>
      </c>
      <c r="T227" s="368">
        <v>0</v>
      </c>
      <c r="U227" s="408">
        <v>0</v>
      </c>
      <c r="V227" s="179" t="s">
        <v>44</v>
      </c>
      <c r="W227" s="8"/>
      <c r="X227" s="461"/>
      <c r="Y227" s="58"/>
      <c r="Z227" s="471"/>
      <c r="AA227" s="1207">
        <v>1</v>
      </c>
      <c r="AB227" s="56"/>
      <c r="AC227" s="56"/>
      <c r="AD227" s="56"/>
      <c r="AE227" s="569"/>
      <c r="AF227" s="1147"/>
      <c r="AG227" s="1147"/>
      <c r="AH227" s="1146"/>
      <c r="AI227" s="993"/>
      <c r="AJ227" s="995"/>
    </row>
    <row r="228" spans="1:36" s="7" customFormat="1" ht="63" customHeight="1" x14ac:dyDescent="0.2">
      <c r="A228" s="2002"/>
      <c r="D228" s="1503">
        <v>12</v>
      </c>
      <c r="E228" s="145" t="s">
        <v>208</v>
      </c>
      <c r="F228" s="1099" t="s">
        <v>1679</v>
      </c>
      <c r="G228" s="1099" t="s">
        <v>1199</v>
      </c>
      <c r="H228" s="279"/>
      <c r="I228" s="1093"/>
      <c r="J228" s="218"/>
      <c r="K228" s="244"/>
      <c r="L228" s="588">
        <v>2</v>
      </c>
      <c r="M228" s="588"/>
      <c r="N228" s="918" t="s">
        <v>3</v>
      </c>
      <c r="O228" s="297" t="s">
        <v>1418</v>
      </c>
      <c r="P228" s="343">
        <f>Test_Bible!P420</f>
        <v>4</v>
      </c>
      <c r="Q228" s="343">
        <f>Test_Bible!Q420</f>
        <v>8</v>
      </c>
      <c r="R228" s="342" t="s">
        <v>1951</v>
      </c>
      <c r="S228" s="138">
        <v>1</v>
      </c>
      <c r="T228" s="368">
        <v>0</v>
      </c>
      <c r="U228" s="408">
        <v>0</v>
      </c>
      <c r="V228" s="179" t="s">
        <v>44</v>
      </c>
      <c r="W228" s="8"/>
      <c r="X228" s="461"/>
      <c r="Y228" s="58"/>
      <c r="Z228" s="471"/>
      <c r="AA228" s="1207">
        <v>1</v>
      </c>
      <c r="AB228" s="56"/>
      <c r="AC228" s="56"/>
      <c r="AD228" s="56"/>
      <c r="AE228" s="569"/>
      <c r="AF228" s="1147"/>
      <c r="AG228" s="1147"/>
      <c r="AH228" s="541"/>
      <c r="AI228" s="993"/>
      <c r="AJ228" s="994"/>
    </row>
    <row r="229" spans="1:36" s="7" customFormat="1" ht="63" customHeight="1" x14ac:dyDescent="0.2">
      <c r="A229" s="2002"/>
      <c r="D229" s="1503">
        <v>8</v>
      </c>
      <c r="E229" s="145" t="s">
        <v>209</v>
      </c>
      <c r="F229" s="1099" t="s">
        <v>1575</v>
      </c>
      <c r="G229" s="1099" t="s">
        <v>1200</v>
      </c>
      <c r="H229" s="278"/>
      <c r="I229" s="1092"/>
      <c r="J229" s="218"/>
      <c r="K229" s="244"/>
      <c r="L229" s="588">
        <v>2</v>
      </c>
      <c r="M229" s="588"/>
      <c r="N229" s="918" t="s">
        <v>3</v>
      </c>
      <c r="O229" s="297" t="s">
        <v>1418</v>
      </c>
      <c r="P229" s="343">
        <f>Test_Bible!P421</f>
        <v>10</v>
      </c>
      <c r="Q229" s="343">
        <f>Test_Bible!Q421</f>
        <v>20</v>
      </c>
      <c r="R229" s="2059" t="s">
        <v>1970</v>
      </c>
      <c r="S229" s="138">
        <v>1</v>
      </c>
      <c r="T229" s="368">
        <v>0</v>
      </c>
      <c r="U229" s="408">
        <v>0</v>
      </c>
      <c r="V229" s="179" t="s">
        <v>44</v>
      </c>
      <c r="W229" s="8"/>
      <c r="X229" s="461"/>
      <c r="Y229" s="58"/>
      <c r="Z229" s="471"/>
      <c r="AA229" s="1207">
        <v>1</v>
      </c>
      <c r="AB229" s="56"/>
      <c r="AC229" s="56"/>
      <c r="AD229" s="56"/>
      <c r="AE229" s="569"/>
      <c r="AF229" s="1147"/>
      <c r="AG229" s="1147"/>
      <c r="AH229" s="1146"/>
      <c r="AI229" s="993"/>
      <c r="AJ229" s="995"/>
    </row>
    <row r="230" spans="1:36" s="7" customFormat="1" ht="63" customHeight="1" x14ac:dyDescent="0.2">
      <c r="A230" s="2003" t="s">
        <v>1481</v>
      </c>
      <c r="D230" s="1503">
        <v>11</v>
      </c>
      <c r="E230" s="145" t="s">
        <v>604</v>
      </c>
      <c r="F230" s="1099" t="s">
        <v>1678</v>
      </c>
      <c r="G230" s="1099" t="s">
        <v>1201</v>
      </c>
      <c r="H230" s="278"/>
      <c r="I230" s="1092"/>
      <c r="J230" s="218"/>
      <c r="K230" s="244"/>
      <c r="L230" s="587">
        <v>3</v>
      </c>
      <c r="M230" s="587"/>
      <c r="N230" s="918" t="s">
        <v>9</v>
      </c>
      <c r="O230" s="297" t="s">
        <v>1818</v>
      </c>
      <c r="P230" s="342">
        <f>Test_Bible!P320</f>
        <v>0</v>
      </c>
      <c r="Q230" s="342">
        <f>Test_Bible!Q320</f>
        <v>0</v>
      </c>
      <c r="R230" s="346" t="s">
        <v>1917</v>
      </c>
      <c r="S230" s="351">
        <v>1</v>
      </c>
      <c r="T230" s="352">
        <v>0</v>
      </c>
      <c r="U230" s="353">
        <v>0</v>
      </c>
      <c r="V230" s="179" t="s">
        <v>44</v>
      </c>
      <c r="W230" s="8"/>
      <c r="X230" s="461"/>
      <c r="Y230" s="58"/>
      <c r="Z230" s="471"/>
      <c r="AA230" s="1207">
        <v>1</v>
      </c>
      <c r="AB230" s="56"/>
      <c r="AC230" s="56"/>
      <c r="AD230" s="56"/>
      <c r="AE230" s="541"/>
      <c r="AF230" s="1149"/>
      <c r="AG230" s="1147"/>
      <c r="AH230" s="541" t="s">
        <v>25</v>
      </c>
      <c r="AI230" s="993"/>
      <c r="AJ230" s="1195" t="s">
        <v>668</v>
      </c>
    </row>
    <row r="231" spans="1:36" s="7" customFormat="1" ht="63" customHeight="1" x14ac:dyDescent="0.2">
      <c r="A231" s="2002"/>
      <c r="D231" s="1503">
        <v>14</v>
      </c>
      <c r="E231" s="145" t="s">
        <v>210</v>
      </c>
      <c r="F231" s="1099" t="s">
        <v>1681</v>
      </c>
      <c r="G231" s="1099" t="s">
        <v>1202</v>
      </c>
      <c r="H231" s="278"/>
      <c r="I231" s="1092"/>
      <c r="J231" s="218"/>
      <c r="K231" s="244"/>
      <c r="L231" s="587">
        <v>3</v>
      </c>
      <c r="M231" s="587"/>
      <c r="N231" s="918" t="s">
        <v>7</v>
      </c>
      <c r="O231" s="1847" t="s">
        <v>1544</v>
      </c>
      <c r="P231" s="343">
        <f>Test_Bible!P423</f>
        <v>2</v>
      </c>
      <c r="Q231" s="343">
        <f>Test_Bible!Q423</f>
        <v>6</v>
      </c>
      <c r="R231" s="342" t="s">
        <v>1949</v>
      </c>
      <c r="S231" s="138">
        <v>1</v>
      </c>
      <c r="T231" s="368">
        <v>0</v>
      </c>
      <c r="U231" s="408">
        <v>0</v>
      </c>
      <c r="V231" s="179" t="s">
        <v>44</v>
      </c>
      <c r="W231" s="8"/>
      <c r="X231" s="461"/>
      <c r="Y231" s="449"/>
      <c r="Z231" s="472"/>
      <c r="AA231" s="1207">
        <v>1</v>
      </c>
      <c r="AB231" s="56"/>
      <c r="AC231" s="56"/>
      <c r="AD231" s="56"/>
      <c r="AE231" s="569"/>
      <c r="AF231" s="1147"/>
      <c r="AG231" s="1147"/>
      <c r="AH231" s="996" t="s">
        <v>626</v>
      </c>
      <c r="AI231" s="993"/>
      <c r="AJ231" s="995"/>
    </row>
    <row r="232" spans="1:36" s="7" customFormat="1" ht="63" customHeight="1" x14ac:dyDescent="0.2">
      <c r="A232" s="2002"/>
      <c r="D232" s="1503">
        <v>17</v>
      </c>
      <c r="E232" s="145" t="s">
        <v>211</v>
      </c>
      <c r="F232" s="1099" t="s">
        <v>1684</v>
      </c>
      <c r="G232" s="1099" t="s">
        <v>1203</v>
      </c>
      <c r="H232" s="278"/>
      <c r="I232" s="1092"/>
      <c r="J232" s="218"/>
      <c r="K232" s="244"/>
      <c r="L232" s="588">
        <v>2</v>
      </c>
      <c r="M232" s="588"/>
      <c r="N232" s="918" t="s">
        <v>7</v>
      </c>
      <c r="O232" s="1847" t="s">
        <v>1544</v>
      </c>
      <c r="P232" s="343">
        <f>Test_Bible!P424</f>
        <v>1</v>
      </c>
      <c r="Q232" s="343">
        <f>Test_Bible!Q424</f>
        <v>2</v>
      </c>
      <c r="R232" s="342" t="s">
        <v>1971</v>
      </c>
      <c r="S232" s="139">
        <v>0</v>
      </c>
      <c r="T232" s="368">
        <v>0</v>
      </c>
      <c r="U232" s="332">
        <v>1</v>
      </c>
      <c r="V232" s="183" t="s">
        <v>65</v>
      </c>
      <c r="W232" s="8"/>
      <c r="X232" s="461"/>
      <c r="Y232" s="58"/>
      <c r="Z232" s="471"/>
      <c r="AA232" s="56"/>
      <c r="AB232" s="1207">
        <v>1</v>
      </c>
      <c r="AC232" s="56"/>
      <c r="AD232" s="56"/>
      <c r="AE232" s="569"/>
      <c r="AF232" s="1147"/>
      <c r="AG232" s="1147"/>
      <c r="AH232" s="541"/>
      <c r="AI232" s="993"/>
      <c r="AJ232" s="1195" t="s">
        <v>665</v>
      </c>
    </row>
    <row r="233" spans="1:36" s="7" customFormat="1" ht="68" customHeight="1" x14ac:dyDescent="0.2">
      <c r="A233" s="2003" t="s">
        <v>1481</v>
      </c>
      <c r="D233" s="1503">
        <v>18</v>
      </c>
      <c r="E233" s="145" t="s">
        <v>212</v>
      </c>
      <c r="F233" s="1099" t="s">
        <v>1576</v>
      </c>
      <c r="G233" s="1099" t="s">
        <v>1204</v>
      </c>
      <c r="H233" s="278"/>
      <c r="I233" s="1092"/>
      <c r="J233" s="218"/>
      <c r="K233" s="244"/>
      <c r="L233" s="588">
        <v>2</v>
      </c>
      <c r="M233" s="588"/>
      <c r="N233" s="918" t="s">
        <v>122</v>
      </c>
      <c r="O233" s="1847" t="s">
        <v>1528</v>
      </c>
      <c r="P233" s="343">
        <f>Test_Bible!P425</f>
        <v>0</v>
      </c>
      <c r="Q233" s="343">
        <f>Test_Bible!Q425</f>
        <v>0</v>
      </c>
      <c r="R233" s="342" t="s">
        <v>1972</v>
      </c>
      <c r="S233" s="139">
        <v>0</v>
      </c>
      <c r="T233" s="140">
        <v>1</v>
      </c>
      <c r="U233" s="408">
        <v>0</v>
      </c>
      <c r="V233" s="183" t="s">
        <v>65</v>
      </c>
      <c r="W233" s="8"/>
      <c r="X233" s="461"/>
      <c r="Y233" s="449"/>
      <c r="Z233" s="472"/>
      <c r="AA233" s="56"/>
      <c r="AB233" s="1207">
        <v>1</v>
      </c>
      <c r="AC233" s="56"/>
      <c r="AD233" s="56"/>
      <c r="AE233" s="569"/>
      <c r="AF233" s="1147"/>
      <c r="AG233" s="1147"/>
      <c r="AH233" s="1146"/>
      <c r="AI233" s="993"/>
      <c r="AJ233" s="995"/>
    </row>
    <row r="234" spans="1:36" s="7" customFormat="1" ht="85" customHeight="1" thickBot="1" x14ac:dyDescent="0.25">
      <c r="A234" s="2005" t="s">
        <v>1484</v>
      </c>
      <c r="C234" s="894" t="s">
        <v>1012</v>
      </c>
      <c r="D234" s="1503">
        <v>16</v>
      </c>
      <c r="E234" s="145" t="s">
        <v>213</v>
      </c>
      <c r="F234" s="1099" t="s">
        <v>1683</v>
      </c>
      <c r="G234" s="1099" t="s">
        <v>1205</v>
      </c>
      <c r="H234" s="409"/>
      <c r="I234" s="1094"/>
      <c r="J234" s="218"/>
      <c r="K234" s="244"/>
      <c r="L234" s="588">
        <v>2</v>
      </c>
      <c r="M234" s="587">
        <v>3</v>
      </c>
      <c r="N234" s="922" t="s">
        <v>3</v>
      </c>
      <c r="O234" s="297" t="s">
        <v>1418</v>
      </c>
      <c r="P234" s="410">
        <f>Test_Bible!P426</f>
        <v>0</v>
      </c>
      <c r="Q234" s="410">
        <f>Test_Bible!Q426</f>
        <v>0</v>
      </c>
      <c r="R234" s="346" t="s">
        <v>1935</v>
      </c>
      <c r="S234" s="411">
        <v>0</v>
      </c>
      <c r="T234" s="412">
        <v>0</v>
      </c>
      <c r="U234" s="401">
        <v>1</v>
      </c>
      <c r="V234" s="413" t="s">
        <v>149</v>
      </c>
      <c r="W234" s="8"/>
      <c r="X234" s="461"/>
      <c r="Y234" s="449"/>
      <c r="Z234" s="472"/>
      <c r="AA234" s="56"/>
      <c r="AB234" s="56"/>
      <c r="AC234" s="1207">
        <v>1</v>
      </c>
      <c r="AD234" s="56"/>
      <c r="AE234" s="569"/>
      <c r="AF234" s="1147"/>
      <c r="AG234" s="1147"/>
      <c r="AH234" s="996" t="s">
        <v>626</v>
      </c>
      <c r="AI234" s="993"/>
      <c r="AJ234" s="995"/>
    </row>
    <row r="235" spans="1:36" s="7" customFormat="1" ht="20" customHeight="1" thickTop="1" x14ac:dyDescent="0.2">
      <c r="D235" s="597"/>
      <c r="E235" s="597"/>
      <c r="F235" s="567"/>
      <c r="G235" s="16"/>
      <c r="H235" s="567"/>
      <c r="I235" s="567"/>
      <c r="J235" s="568"/>
      <c r="K235" s="568"/>
      <c r="L235" s="568"/>
      <c r="M235" s="568"/>
      <c r="N235" s="292"/>
      <c r="O235" s="1571"/>
      <c r="P235" s="292"/>
      <c r="Q235" s="624">
        <f>SUM(Q217:Q234)</f>
        <v>103</v>
      </c>
      <c r="R235" s="624"/>
      <c r="S235" s="625"/>
      <c r="T235" s="569"/>
      <c r="U235" s="569"/>
      <c r="V235" s="566"/>
      <c r="W235" s="459"/>
      <c r="X235" s="459"/>
      <c r="Y235" s="458"/>
      <c r="Z235" s="58"/>
      <c r="AA235" s="56"/>
      <c r="AB235" s="56"/>
      <c r="AC235" s="56"/>
      <c r="AD235" s="56"/>
      <c r="AE235" s="569"/>
      <c r="AF235" s="1147"/>
      <c r="AG235" s="1147"/>
      <c r="AH235" s="1146"/>
      <c r="AI235" s="993"/>
      <c r="AJ235" s="995"/>
    </row>
    <row r="236" spans="1:36" s="7" customFormat="1" ht="20" customHeight="1" x14ac:dyDescent="0.2">
      <c r="D236" s="597"/>
      <c r="E236" s="597"/>
      <c r="F236" s="567"/>
      <c r="G236" s="16"/>
      <c r="H236" s="567"/>
      <c r="I236" s="567"/>
      <c r="J236" s="568"/>
      <c r="K236" s="568"/>
      <c r="L236" s="568"/>
      <c r="M236" s="568"/>
      <c r="N236" s="292"/>
      <c r="O236" s="1571"/>
      <c r="P236" s="292"/>
      <c r="Q236" s="624">
        <f>Q237-Q235</f>
        <v>317</v>
      </c>
      <c r="R236" s="624"/>
      <c r="S236" s="625"/>
      <c r="T236" s="569"/>
      <c r="U236" s="569"/>
      <c r="V236" s="566"/>
      <c r="W236" s="459"/>
      <c r="X236" s="459"/>
      <c r="Y236" s="458"/>
      <c r="Z236" s="58"/>
      <c r="AA236" s="56"/>
      <c r="AB236" s="56"/>
      <c r="AC236" s="56"/>
      <c r="AD236" s="56"/>
      <c r="AE236" s="569"/>
      <c r="AF236" s="1147"/>
      <c r="AG236" s="1147"/>
      <c r="AH236" s="1146"/>
      <c r="AI236" s="993"/>
      <c r="AJ236" s="995"/>
    </row>
    <row r="237" spans="1:36" s="7" customFormat="1" ht="20" customHeight="1" x14ac:dyDescent="0.2">
      <c r="C237" s="1954"/>
      <c r="D237" s="597"/>
      <c r="E237" s="597"/>
      <c r="F237" s="567"/>
      <c r="G237" s="16"/>
      <c r="H237" s="567"/>
      <c r="I237" s="567"/>
      <c r="J237" s="568"/>
      <c r="K237" s="568"/>
      <c r="L237" s="568"/>
      <c r="M237" s="568"/>
      <c r="N237" s="568"/>
      <c r="O237" s="1571"/>
      <c r="P237" s="292"/>
      <c r="Q237" s="626">
        <f>Q235+Q148</f>
        <v>420</v>
      </c>
      <c r="R237" s="626"/>
      <c r="S237" s="625"/>
      <c r="T237" s="568"/>
      <c r="U237" s="568"/>
      <c r="V237" s="566"/>
      <c r="W237" s="459"/>
      <c r="X237" s="459"/>
      <c r="Y237" s="458"/>
      <c r="Z237" s="58"/>
      <c r="AA237" s="56"/>
      <c r="AB237" s="56"/>
      <c r="AC237" s="56"/>
      <c r="AD237" s="56"/>
      <c r="AE237" s="569"/>
      <c r="AF237" s="1147"/>
      <c r="AG237" s="1147"/>
      <c r="AH237" s="1146"/>
      <c r="AI237" s="993"/>
      <c r="AJ237" s="995"/>
    </row>
    <row r="238" spans="1:36" s="7" customFormat="1" ht="20" customHeight="1" x14ac:dyDescent="0.2">
      <c r="C238" s="1953"/>
      <c r="D238" s="1504" t="s">
        <v>1299</v>
      </c>
      <c r="E238" s="597"/>
      <c r="F238" s="567"/>
      <c r="G238" s="16"/>
      <c r="H238" s="567"/>
      <c r="I238" s="567"/>
      <c r="J238" s="567"/>
      <c r="K238" s="567"/>
      <c r="L238" s="568"/>
      <c r="M238" s="568"/>
      <c r="N238" s="568"/>
      <c r="O238" s="1571"/>
      <c r="P238" s="292"/>
      <c r="Q238" s="624"/>
      <c r="R238" s="624"/>
      <c r="S238" s="625"/>
      <c r="T238" s="568"/>
      <c r="U238" s="568"/>
      <c r="V238" s="566"/>
      <c r="W238" s="459"/>
      <c r="X238" s="459"/>
      <c r="Y238" s="458"/>
      <c r="Z238" s="58"/>
      <c r="AA238" s="56"/>
      <c r="AB238" s="56"/>
      <c r="AC238" s="56"/>
      <c r="AD238" s="56"/>
      <c r="AE238" s="569"/>
      <c r="AF238" s="1147"/>
      <c r="AG238" s="1147"/>
      <c r="AH238" s="1146"/>
      <c r="AI238" s="993"/>
      <c r="AJ238" s="995"/>
    </row>
    <row r="239" spans="1:36" s="7" customFormat="1" ht="17" customHeight="1" thickBot="1" x14ac:dyDescent="0.25">
      <c r="D239" s="1504"/>
      <c r="E239" s="597"/>
      <c r="F239" s="567"/>
      <c r="G239" s="16"/>
      <c r="H239" s="567"/>
      <c r="I239" s="567"/>
      <c r="J239" s="568"/>
      <c r="K239" s="568"/>
      <c r="L239" s="568"/>
      <c r="M239" s="568"/>
      <c r="N239" s="292"/>
      <c r="O239" s="1571"/>
      <c r="P239" s="292"/>
      <c r="Q239" s="624"/>
      <c r="R239" s="624"/>
      <c r="S239" s="627"/>
      <c r="T239" s="628"/>
      <c r="U239" s="628"/>
      <c r="V239" s="566"/>
      <c r="W239" s="459"/>
      <c r="X239" s="459"/>
      <c r="Y239" s="458"/>
      <c r="Z239" s="58"/>
      <c r="AA239" s="56"/>
      <c r="AB239" s="56"/>
      <c r="AC239" s="56"/>
      <c r="AD239" s="56"/>
      <c r="AE239" s="569"/>
      <c r="AF239" s="1147"/>
      <c r="AG239" s="1147"/>
      <c r="AH239" s="1146"/>
      <c r="AI239" s="993"/>
      <c r="AJ239" s="995"/>
    </row>
    <row r="240" spans="1:36" ht="111" customHeight="1" x14ac:dyDescent="0.2">
      <c r="D240" s="1504">
        <v>0</v>
      </c>
      <c r="E240" s="200" t="s">
        <v>1206</v>
      </c>
      <c r="F240" s="620" t="s">
        <v>491</v>
      </c>
      <c r="G240" s="542" t="s">
        <v>491</v>
      </c>
      <c r="H240" s="518" t="s">
        <v>437</v>
      </c>
      <c r="I240" s="1045"/>
      <c r="J240" s="208"/>
      <c r="K240" s="222"/>
      <c r="L240" s="220">
        <v>0</v>
      </c>
      <c r="M240" s="598"/>
      <c r="N240" s="135" t="s">
        <v>19</v>
      </c>
      <c r="O240" s="1832"/>
      <c r="P240" s="334"/>
      <c r="Q240" s="334"/>
      <c r="R240" s="334"/>
      <c r="S240" s="189" t="s">
        <v>34</v>
      </c>
      <c r="T240" s="383" t="s">
        <v>34</v>
      </c>
      <c r="U240" s="384" t="s">
        <v>34</v>
      </c>
      <c r="V240" s="178" t="s">
        <v>35</v>
      </c>
      <c r="W240" s="454"/>
      <c r="X240" s="454"/>
      <c r="AE240" s="1146"/>
      <c r="AF240" s="1147"/>
      <c r="AG240" s="1147"/>
      <c r="AH240" s="1146"/>
      <c r="AI240" s="993"/>
      <c r="AJ240" s="995"/>
    </row>
    <row r="241" spans="3:36" ht="111" customHeight="1" x14ac:dyDescent="0.2">
      <c r="C241" s="2190" t="s">
        <v>506</v>
      </c>
      <c r="D241" s="1504">
        <v>1</v>
      </c>
      <c r="E241" s="200" t="s">
        <v>1207</v>
      </c>
      <c r="F241" s="201" t="s">
        <v>1211</v>
      </c>
      <c r="G241" s="200" t="s">
        <v>1211</v>
      </c>
      <c r="H241" s="517" t="s">
        <v>431</v>
      </c>
      <c r="I241" s="1095"/>
      <c r="J241" s="204"/>
      <c r="K241" s="222"/>
      <c r="L241" s="220">
        <v>0</v>
      </c>
      <c r="M241" s="220"/>
      <c r="N241" s="135" t="s">
        <v>19</v>
      </c>
      <c r="O241" s="1844"/>
      <c r="P241" s="334"/>
      <c r="Q241" s="334"/>
      <c r="R241" s="334"/>
      <c r="S241" s="189" t="s">
        <v>34</v>
      </c>
      <c r="T241" s="383" t="s">
        <v>34</v>
      </c>
      <c r="U241" s="384" t="s">
        <v>34</v>
      </c>
      <c r="V241" s="178" t="s">
        <v>35</v>
      </c>
      <c r="W241" s="454"/>
      <c r="X241" s="454"/>
      <c r="AE241" s="541" t="s">
        <v>24</v>
      </c>
      <c r="AH241" s="1146"/>
      <c r="AI241" s="993"/>
      <c r="AJ241" s="995"/>
    </row>
    <row r="242" spans="3:36" ht="111" customHeight="1" x14ac:dyDescent="0.2">
      <c r="C242" s="2190"/>
      <c r="D242" s="1504">
        <v>2</v>
      </c>
      <c r="E242" s="200" t="s">
        <v>1208</v>
      </c>
      <c r="F242" s="201" t="s">
        <v>1212</v>
      </c>
      <c r="G242" s="200" t="s">
        <v>1212</v>
      </c>
      <c r="H242" s="518" t="s">
        <v>1500</v>
      </c>
      <c r="I242" s="1096"/>
      <c r="J242" s="204"/>
      <c r="K242" s="222"/>
      <c r="L242" s="220">
        <v>0</v>
      </c>
      <c r="M242" s="220"/>
      <c r="N242" s="135" t="s">
        <v>19</v>
      </c>
      <c r="O242" s="1844"/>
      <c r="P242" s="334"/>
      <c r="Q242" s="334"/>
      <c r="R242" s="334"/>
      <c r="S242" s="189" t="s">
        <v>34</v>
      </c>
      <c r="T242" s="383" t="s">
        <v>34</v>
      </c>
      <c r="U242" s="384" t="s">
        <v>34</v>
      </c>
      <c r="V242" s="178" t="s">
        <v>35</v>
      </c>
      <c r="W242" s="454"/>
      <c r="X242" s="454"/>
      <c r="AE242" s="1146"/>
      <c r="AF242" s="1147"/>
      <c r="AG242" s="1147"/>
      <c r="AH242" s="1146"/>
      <c r="AI242" s="993"/>
      <c r="AJ242" s="995"/>
    </row>
    <row r="243" spans="3:36" ht="111" customHeight="1" x14ac:dyDescent="0.2">
      <c r="C243" s="2190"/>
      <c r="D243" s="1504">
        <v>3</v>
      </c>
      <c r="E243" s="142" t="s">
        <v>1209</v>
      </c>
      <c r="F243" s="121" t="s">
        <v>1213</v>
      </c>
      <c r="G243" s="142" t="s">
        <v>1213</v>
      </c>
      <c r="H243" s="519" t="s">
        <v>1501</v>
      </c>
      <c r="I243" s="1097"/>
      <c r="J243" s="122" t="s">
        <v>50</v>
      </c>
      <c r="K243" s="224"/>
      <c r="L243" s="590">
        <v>0</v>
      </c>
      <c r="M243" s="590"/>
      <c r="N243" s="135" t="s">
        <v>19</v>
      </c>
      <c r="O243" s="1844"/>
      <c r="P243" s="334"/>
      <c r="Q243" s="334"/>
      <c r="R243" s="334"/>
      <c r="S243" s="189" t="s">
        <v>34</v>
      </c>
      <c r="T243" s="383" t="s">
        <v>34</v>
      </c>
      <c r="U243" s="384" t="s">
        <v>34</v>
      </c>
      <c r="V243" s="178" t="s">
        <v>35</v>
      </c>
      <c r="W243" s="454"/>
      <c r="X243" s="454"/>
      <c r="AE243" s="1146"/>
      <c r="AF243" s="1147"/>
      <c r="AG243" s="1147"/>
      <c r="AH243" s="1146"/>
      <c r="AI243" s="993"/>
      <c r="AJ243" s="995"/>
    </row>
    <row r="244" spans="3:36" ht="277" customHeight="1" x14ac:dyDescent="0.2">
      <c r="C244" s="2190"/>
      <c r="D244" s="8">
        <v>4</v>
      </c>
      <c r="E244" s="200" t="s">
        <v>1210</v>
      </c>
      <c r="F244" s="620" t="s">
        <v>1214</v>
      </c>
      <c r="G244" s="542" t="s">
        <v>1215</v>
      </c>
      <c r="H244" s="621" t="s">
        <v>510</v>
      </c>
      <c r="I244" s="621"/>
      <c r="J244" s="542"/>
      <c r="K244" s="542"/>
      <c r="L244" s="619"/>
      <c r="M244" s="619"/>
      <c r="N244" s="598" t="s">
        <v>165</v>
      </c>
      <c r="O244" s="1845"/>
      <c r="P244" s="623"/>
      <c r="Q244" s="623"/>
      <c r="R244" s="623"/>
      <c r="S244" s="1125"/>
      <c r="T244" s="1126"/>
      <c r="U244" s="1126"/>
      <c r="V244" s="761"/>
      <c r="W244" s="454"/>
      <c r="X244" s="454"/>
      <c r="AE244" s="1146"/>
      <c r="AF244" s="1147"/>
      <c r="AG244" s="1147"/>
      <c r="AH244" s="1146"/>
      <c r="AI244" s="993"/>
      <c r="AJ244" s="995"/>
    </row>
    <row r="245" spans="3:36" ht="58" customHeight="1" x14ac:dyDescent="0.2">
      <c r="C245" s="1457" t="s">
        <v>505</v>
      </c>
      <c r="E245" s="16"/>
      <c r="F245" s="297"/>
      <c r="H245" s="622"/>
      <c r="I245" s="622"/>
      <c r="J245" s="16"/>
      <c r="K245" s="16"/>
      <c r="L245" s="501"/>
      <c r="M245" s="501"/>
      <c r="N245" s="623"/>
      <c r="W245" s="454"/>
      <c r="X245" s="454"/>
      <c r="AE245" s="1146"/>
      <c r="AF245" s="1147"/>
      <c r="AG245" s="1147"/>
      <c r="AH245" s="1146"/>
      <c r="AI245" s="993"/>
      <c r="AJ245" s="995"/>
    </row>
    <row r="246" spans="3:36" ht="40" customHeight="1" x14ac:dyDescent="0.2">
      <c r="E246" s="17"/>
      <c r="F246" s="8"/>
      <c r="G246" s="8"/>
      <c r="H246" s="8"/>
      <c r="I246" s="8"/>
      <c r="J246" s="133"/>
      <c r="K246" s="133"/>
      <c r="L246" s="618"/>
      <c r="O246" s="1846"/>
      <c r="P246" s="134"/>
      <c r="Q246" s="134"/>
      <c r="R246" s="318"/>
      <c r="S246" s="318"/>
      <c r="T246" s="318"/>
      <c r="U246" s="318"/>
      <c r="V246" s="5"/>
      <c r="W246" s="447"/>
      <c r="X246" s="162"/>
      <c r="Y246" s="162"/>
      <c r="Z246"/>
      <c r="AA246"/>
      <c r="AB246"/>
      <c r="AC246"/>
      <c r="AD246"/>
    </row>
    <row r="247" spans="3:36" ht="40" customHeight="1" x14ac:dyDescent="0.2">
      <c r="E247" s="17"/>
      <c r="F247" s="8"/>
      <c r="G247" s="8"/>
      <c r="H247" s="8"/>
      <c r="I247" s="8"/>
      <c r="J247" s="133"/>
      <c r="K247" s="133"/>
      <c r="L247" s="618"/>
      <c r="O247" s="1846"/>
      <c r="P247" s="134"/>
      <c r="Q247" s="134"/>
      <c r="R247" s="318"/>
      <c r="S247" s="318"/>
      <c r="T247" s="318"/>
      <c r="U247" s="318"/>
      <c r="V247" s="5"/>
      <c r="W247" s="447"/>
      <c r="X247" s="162"/>
      <c r="Y247" s="162"/>
      <c r="Z247"/>
      <c r="AA247"/>
      <c r="AB247"/>
      <c r="AC247"/>
      <c r="AD247"/>
    </row>
    <row r="248" spans="3:36" ht="40" customHeight="1" x14ac:dyDescent="0.2">
      <c r="E248" s="17"/>
      <c r="F248" s="8"/>
      <c r="G248" s="8"/>
      <c r="H248" s="8"/>
      <c r="I248" s="8"/>
      <c r="J248" s="133"/>
      <c r="K248" s="133"/>
      <c r="L248" s="618"/>
      <c r="O248" s="1846"/>
      <c r="P248" s="134"/>
      <c r="Q248" s="134"/>
      <c r="R248" s="318"/>
      <c r="S248" s="318"/>
      <c r="T248" s="318"/>
      <c r="U248" s="318"/>
      <c r="V248" s="5"/>
      <c r="W248" s="447"/>
      <c r="X248" s="162"/>
      <c r="Y248" s="162"/>
      <c r="Z248"/>
      <c r="AA248"/>
      <c r="AB248"/>
      <c r="AC248"/>
      <c r="AD248"/>
    </row>
    <row r="249" spans="3:36" ht="40" customHeight="1" x14ac:dyDescent="0.2">
      <c r="G249" s="8"/>
      <c r="O249" s="566"/>
    </row>
    <row r="250" spans="3:36" ht="40" customHeight="1" x14ac:dyDescent="0.2">
      <c r="G250" s="8"/>
      <c r="O250" s="566"/>
    </row>
    <row r="251" spans="3:36" ht="40" customHeight="1" x14ac:dyDescent="0.2">
      <c r="G251" s="8"/>
      <c r="O251" s="566"/>
    </row>
    <row r="252" spans="3:36" ht="40" customHeight="1" x14ac:dyDescent="0.2">
      <c r="G252" s="8"/>
      <c r="O252" s="566"/>
    </row>
    <row r="253" spans="3:36" ht="40" customHeight="1" x14ac:dyDescent="0.2">
      <c r="G253" s="8"/>
      <c r="O253" s="566"/>
    </row>
    <row r="254" spans="3:36" ht="40" customHeight="1" x14ac:dyDescent="0.2">
      <c r="G254" s="8"/>
      <c r="O254" s="566"/>
    </row>
    <row r="255" spans="3:36" ht="40" customHeight="1" x14ac:dyDescent="0.2">
      <c r="G255" s="8"/>
      <c r="O255" s="566"/>
    </row>
    <row r="256" spans="3:36" ht="40" customHeight="1" x14ac:dyDescent="0.2">
      <c r="G256" s="8"/>
      <c r="O256" s="566"/>
    </row>
    <row r="257" spans="7:15" ht="40" customHeight="1" x14ac:dyDescent="0.2">
      <c r="G257" s="8"/>
      <c r="O257" s="566"/>
    </row>
    <row r="258" spans="7:15" ht="40" customHeight="1" x14ac:dyDescent="0.2">
      <c r="G258" s="8"/>
      <c r="O258" s="566"/>
    </row>
    <row r="259" spans="7:15" ht="40" customHeight="1" x14ac:dyDescent="0.2">
      <c r="G259" s="8"/>
      <c r="O259" s="566"/>
    </row>
    <row r="260" spans="7:15" ht="40" customHeight="1" x14ac:dyDescent="0.2">
      <c r="G260" s="8"/>
      <c r="O260" s="566"/>
    </row>
    <row r="261" spans="7:15" ht="40" customHeight="1" x14ac:dyDescent="0.2">
      <c r="G261" s="8"/>
      <c r="O261" s="566"/>
    </row>
    <row r="262" spans="7:15" ht="40" customHeight="1" x14ac:dyDescent="0.2">
      <c r="G262" s="8"/>
      <c r="O262" s="566"/>
    </row>
    <row r="263" spans="7:15" ht="40" customHeight="1" x14ac:dyDescent="0.2">
      <c r="G263" s="8"/>
      <c r="O263" s="566"/>
    </row>
    <row r="264" spans="7:15" ht="40" customHeight="1" x14ac:dyDescent="0.2">
      <c r="G264" s="8"/>
      <c r="O264" s="566"/>
    </row>
    <row r="265" spans="7:15" ht="40" customHeight="1" x14ac:dyDescent="0.2">
      <c r="G265" s="8"/>
      <c r="O265" s="566"/>
    </row>
    <row r="266" spans="7:15" ht="40" customHeight="1" x14ac:dyDescent="0.2">
      <c r="G266" s="8"/>
      <c r="O266" s="566"/>
    </row>
    <row r="267" spans="7:15" ht="40" customHeight="1" x14ac:dyDescent="0.2">
      <c r="G267" s="8"/>
      <c r="O267" s="566"/>
    </row>
    <row r="268" spans="7:15" ht="40" customHeight="1" x14ac:dyDescent="0.2">
      <c r="G268" s="8"/>
      <c r="O268" s="566"/>
    </row>
    <row r="269" spans="7:15" ht="40" customHeight="1" x14ac:dyDescent="0.2">
      <c r="G269" s="8"/>
      <c r="O269" s="566"/>
    </row>
    <row r="270" spans="7:15" ht="40" customHeight="1" x14ac:dyDescent="0.2">
      <c r="G270" s="8"/>
      <c r="O270" s="566"/>
    </row>
    <row r="271" spans="7:15" ht="40" customHeight="1" x14ac:dyDescent="0.2">
      <c r="G271" s="8"/>
      <c r="O271" s="566"/>
    </row>
    <row r="272" spans="7:15" ht="40" customHeight="1" x14ac:dyDescent="0.2">
      <c r="G272" s="8"/>
      <c r="O272" s="566"/>
    </row>
    <row r="273" spans="7:15" ht="40" customHeight="1" x14ac:dyDescent="0.2">
      <c r="G273" s="8"/>
      <c r="O273" s="566"/>
    </row>
    <row r="274" spans="7:15" ht="40" customHeight="1" x14ac:dyDescent="0.2">
      <c r="G274" s="8"/>
      <c r="O274" s="566"/>
    </row>
    <row r="275" spans="7:15" ht="40" customHeight="1" x14ac:dyDescent="0.2">
      <c r="G275" s="8"/>
      <c r="O275" s="566"/>
    </row>
    <row r="276" spans="7:15" ht="40" customHeight="1" x14ac:dyDescent="0.2">
      <c r="G276" s="8"/>
      <c r="O276" s="566"/>
    </row>
    <row r="277" spans="7:15" ht="40" customHeight="1" x14ac:dyDescent="0.2">
      <c r="G277" s="8"/>
      <c r="O277" s="566"/>
    </row>
    <row r="278" spans="7:15" ht="40" customHeight="1" x14ac:dyDescent="0.2">
      <c r="G278" s="8"/>
      <c r="O278" s="566"/>
    </row>
    <row r="279" spans="7:15" ht="40" customHeight="1" x14ac:dyDescent="0.2">
      <c r="G279" s="8"/>
      <c r="O279" s="566"/>
    </row>
    <row r="280" spans="7:15" ht="40" customHeight="1" x14ac:dyDescent="0.2">
      <c r="G280" s="8"/>
      <c r="O280" s="566"/>
    </row>
    <row r="281" spans="7:15" ht="40" customHeight="1" x14ac:dyDescent="0.2">
      <c r="G281" s="8"/>
      <c r="O281" s="566"/>
    </row>
    <row r="282" spans="7:15" ht="40" customHeight="1" x14ac:dyDescent="0.2">
      <c r="G282" s="8"/>
      <c r="O282" s="566"/>
    </row>
    <row r="283" spans="7:15" ht="40" customHeight="1" x14ac:dyDescent="0.2">
      <c r="G283" s="8"/>
      <c r="O283" s="566"/>
    </row>
    <row r="284" spans="7:15" ht="40" customHeight="1" x14ac:dyDescent="0.2">
      <c r="G284" s="8"/>
      <c r="O284" s="566"/>
    </row>
    <row r="285" spans="7:15" ht="40" customHeight="1" x14ac:dyDescent="0.2">
      <c r="G285" s="8"/>
      <c r="O285" s="566"/>
    </row>
    <row r="286" spans="7:15" ht="40" customHeight="1" x14ac:dyDescent="0.2">
      <c r="G286" s="8"/>
      <c r="O286" s="566"/>
    </row>
    <row r="287" spans="7:15" ht="40" customHeight="1" x14ac:dyDescent="0.2">
      <c r="G287" s="8"/>
      <c r="O287" s="566"/>
    </row>
    <row r="288" spans="7:15" ht="40" customHeight="1" x14ac:dyDescent="0.2">
      <c r="G288" s="8"/>
      <c r="O288" s="566"/>
    </row>
    <row r="289" spans="7:15" ht="40" customHeight="1" x14ac:dyDescent="0.2">
      <c r="G289" s="8"/>
      <c r="O289" s="566"/>
    </row>
    <row r="290" spans="7:15" ht="40" customHeight="1" x14ac:dyDescent="0.2">
      <c r="G290" s="8"/>
      <c r="O290" s="566"/>
    </row>
    <row r="291" spans="7:15" ht="40" customHeight="1" x14ac:dyDescent="0.2">
      <c r="G291" s="8"/>
      <c r="O291" s="566"/>
    </row>
    <row r="292" spans="7:15" ht="40" customHeight="1" x14ac:dyDescent="0.2">
      <c r="G292" s="8"/>
      <c r="O292" s="566"/>
    </row>
    <row r="293" spans="7:15" ht="40" customHeight="1" x14ac:dyDescent="0.2">
      <c r="G293" s="8"/>
      <c r="O293" s="566"/>
    </row>
    <row r="294" spans="7:15" ht="40" customHeight="1" x14ac:dyDescent="0.2">
      <c r="G294" s="8"/>
      <c r="O294" s="566"/>
    </row>
    <row r="295" spans="7:15" ht="40" customHeight="1" x14ac:dyDescent="0.2">
      <c r="G295" s="8"/>
      <c r="O295" s="566"/>
    </row>
    <row r="296" spans="7:15" ht="40" customHeight="1" x14ac:dyDescent="0.2">
      <c r="G296" s="8"/>
      <c r="O296" s="566"/>
    </row>
    <row r="297" spans="7:15" ht="40" customHeight="1" x14ac:dyDescent="0.2">
      <c r="G297" s="8"/>
      <c r="O297" s="566"/>
    </row>
    <row r="298" spans="7:15" ht="40" customHeight="1" x14ac:dyDescent="0.2">
      <c r="G298" s="8"/>
      <c r="O298" s="566"/>
    </row>
    <row r="299" spans="7:15" ht="40" customHeight="1" x14ac:dyDescent="0.2">
      <c r="G299" s="8"/>
      <c r="O299" s="566"/>
    </row>
    <row r="300" spans="7:15" ht="40" customHeight="1" x14ac:dyDescent="0.2">
      <c r="G300" s="8"/>
      <c r="O300" s="566"/>
    </row>
    <row r="301" spans="7:15" ht="40" customHeight="1" x14ac:dyDescent="0.2">
      <c r="G301" s="8"/>
      <c r="O301" s="566"/>
    </row>
    <row r="302" spans="7:15" ht="40" customHeight="1" x14ac:dyDescent="0.2">
      <c r="G302" s="8"/>
      <c r="O302" s="566"/>
    </row>
    <row r="303" spans="7:15" ht="40" customHeight="1" x14ac:dyDescent="0.2">
      <c r="G303" s="8"/>
      <c r="O303" s="566"/>
    </row>
    <row r="304" spans="7:15" ht="40" customHeight="1" x14ac:dyDescent="0.2">
      <c r="G304" s="8"/>
      <c r="O304" s="566"/>
    </row>
    <row r="305" spans="7:15" ht="40" customHeight="1" x14ac:dyDescent="0.2">
      <c r="G305" s="8"/>
      <c r="O305" s="566"/>
    </row>
    <row r="306" spans="7:15" ht="40" customHeight="1" x14ac:dyDescent="0.2">
      <c r="G306" s="8"/>
      <c r="O306" s="566"/>
    </row>
    <row r="307" spans="7:15" ht="40" customHeight="1" x14ac:dyDescent="0.2">
      <c r="G307" s="8"/>
      <c r="O307" s="566"/>
    </row>
    <row r="308" spans="7:15" ht="40" customHeight="1" x14ac:dyDescent="0.2">
      <c r="G308" s="8"/>
      <c r="O308" s="566"/>
    </row>
    <row r="309" spans="7:15" ht="40" customHeight="1" x14ac:dyDescent="0.2">
      <c r="G309" s="8"/>
      <c r="O309" s="566"/>
    </row>
    <row r="310" spans="7:15" ht="40" customHeight="1" x14ac:dyDescent="0.2">
      <c r="G310" s="8"/>
      <c r="O310" s="566"/>
    </row>
    <row r="311" spans="7:15" ht="40" customHeight="1" x14ac:dyDescent="0.2">
      <c r="G311" s="8"/>
      <c r="O311" s="566"/>
    </row>
    <row r="312" spans="7:15" ht="40" customHeight="1" x14ac:dyDescent="0.2">
      <c r="G312" s="8"/>
      <c r="O312" s="566"/>
    </row>
    <row r="313" spans="7:15" ht="40" customHeight="1" x14ac:dyDescent="0.2">
      <c r="G313" s="8"/>
      <c r="O313" s="566"/>
    </row>
    <row r="314" spans="7:15" ht="40" customHeight="1" x14ac:dyDescent="0.2">
      <c r="G314" s="8"/>
      <c r="O314" s="566"/>
    </row>
    <row r="315" spans="7:15" ht="40" customHeight="1" x14ac:dyDescent="0.2">
      <c r="G315" s="8"/>
      <c r="O315" s="566"/>
    </row>
    <row r="316" spans="7:15" ht="40" customHeight="1" x14ac:dyDescent="0.2">
      <c r="G316" s="8"/>
      <c r="O316" s="566"/>
    </row>
    <row r="317" spans="7:15" ht="40" customHeight="1" x14ac:dyDescent="0.2">
      <c r="G317" s="8"/>
      <c r="O317" s="566"/>
    </row>
    <row r="318" spans="7:15" ht="40" customHeight="1" x14ac:dyDescent="0.2">
      <c r="G318" s="8"/>
      <c r="O318" s="566"/>
    </row>
    <row r="319" spans="7:15" ht="40" customHeight="1" x14ac:dyDescent="0.2">
      <c r="G319" s="8"/>
      <c r="O319" s="566"/>
    </row>
    <row r="320" spans="7:15" ht="40" customHeight="1" x14ac:dyDescent="0.2">
      <c r="G320" s="8"/>
      <c r="O320" s="566"/>
    </row>
    <row r="321" spans="7:15" ht="40" customHeight="1" x14ac:dyDescent="0.2">
      <c r="G321" s="8"/>
      <c r="O321" s="566"/>
    </row>
    <row r="322" spans="7:15" ht="40" customHeight="1" x14ac:dyDescent="0.2">
      <c r="G322" s="8"/>
      <c r="O322" s="566"/>
    </row>
    <row r="323" spans="7:15" ht="40" customHeight="1" x14ac:dyDescent="0.2">
      <c r="G323" s="8"/>
      <c r="O323" s="566"/>
    </row>
    <row r="324" spans="7:15" ht="40" customHeight="1" x14ac:dyDescent="0.2">
      <c r="G324" s="8"/>
      <c r="O324" s="566"/>
    </row>
    <row r="325" spans="7:15" ht="40" customHeight="1" x14ac:dyDescent="0.2">
      <c r="G325" s="8"/>
      <c r="O325" s="566"/>
    </row>
    <row r="326" spans="7:15" ht="40" customHeight="1" x14ac:dyDescent="0.2">
      <c r="G326" s="8"/>
      <c r="O326" s="566"/>
    </row>
    <row r="327" spans="7:15" ht="40" customHeight="1" x14ac:dyDescent="0.2">
      <c r="G327" s="8"/>
      <c r="O327" s="566"/>
    </row>
    <row r="328" spans="7:15" ht="40" customHeight="1" x14ac:dyDescent="0.2">
      <c r="G328" s="8"/>
      <c r="O328" s="566"/>
    </row>
    <row r="329" spans="7:15" ht="40" customHeight="1" x14ac:dyDescent="0.2">
      <c r="G329" s="8"/>
      <c r="O329" s="566"/>
    </row>
    <row r="330" spans="7:15" ht="40" customHeight="1" x14ac:dyDescent="0.2">
      <c r="G330" s="8"/>
      <c r="O330" s="566"/>
    </row>
    <row r="331" spans="7:15" ht="40" customHeight="1" x14ac:dyDescent="0.2">
      <c r="G331" s="8"/>
      <c r="O331" s="566"/>
    </row>
    <row r="332" spans="7:15" ht="40" customHeight="1" x14ac:dyDescent="0.2">
      <c r="G332" s="8"/>
      <c r="O332" s="566"/>
    </row>
    <row r="333" spans="7:15" ht="40" customHeight="1" x14ac:dyDescent="0.2">
      <c r="G333" s="8"/>
      <c r="O333" s="566"/>
    </row>
    <row r="334" spans="7:15" ht="40" customHeight="1" x14ac:dyDescent="0.2">
      <c r="G334" s="8"/>
      <c r="O334" s="566"/>
    </row>
    <row r="335" spans="7:15" ht="40" customHeight="1" x14ac:dyDescent="0.2">
      <c r="G335" s="8"/>
      <c r="O335" s="566"/>
    </row>
    <row r="336" spans="7:15" ht="40" customHeight="1" x14ac:dyDescent="0.2">
      <c r="G336" s="8"/>
      <c r="O336" s="566"/>
    </row>
    <row r="337" spans="7:15" ht="40" customHeight="1" x14ac:dyDescent="0.2">
      <c r="G337" s="8"/>
      <c r="O337" s="566"/>
    </row>
    <row r="338" spans="7:15" ht="40" customHeight="1" x14ac:dyDescent="0.2">
      <c r="G338" s="8"/>
      <c r="O338" s="566"/>
    </row>
    <row r="339" spans="7:15" ht="40" customHeight="1" x14ac:dyDescent="0.2">
      <c r="G339" s="8"/>
      <c r="O339" s="566"/>
    </row>
    <row r="340" spans="7:15" ht="40" customHeight="1" x14ac:dyDescent="0.2">
      <c r="G340" s="8"/>
      <c r="O340" s="566"/>
    </row>
    <row r="341" spans="7:15" ht="40" customHeight="1" x14ac:dyDescent="0.2">
      <c r="G341" s="8"/>
      <c r="O341" s="566"/>
    </row>
    <row r="342" spans="7:15" ht="40" customHeight="1" x14ac:dyDescent="0.2">
      <c r="G342" s="8"/>
      <c r="O342" s="566"/>
    </row>
    <row r="343" spans="7:15" ht="40" customHeight="1" x14ac:dyDescent="0.2">
      <c r="G343" s="8"/>
      <c r="O343" s="566"/>
    </row>
    <row r="344" spans="7:15" ht="40" customHeight="1" x14ac:dyDescent="0.2">
      <c r="G344" s="8"/>
      <c r="O344" s="566"/>
    </row>
    <row r="345" spans="7:15" ht="40" customHeight="1" x14ac:dyDescent="0.2">
      <c r="G345" s="8"/>
      <c r="O345" s="566"/>
    </row>
    <row r="346" spans="7:15" ht="40" customHeight="1" x14ac:dyDescent="0.2">
      <c r="G346" s="8"/>
      <c r="O346" s="566"/>
    </row>
    <row r="347" spans="7:15" ht="40" customHeight="1" x14ac:dyDescent="0.2">
      <c r="G347" s="8"/>
      <c r="O347" s="566"/>
    </row>
    <row r="348" spans="7:15" ht="40" customHeight="1" x14ac:dyDescent="0.2">
      <c r="G348" s="8"/>
      <c r="O348" s="566"/>
    </row>
    <row r="349" spans="7:15" ht="40" customHeight="1" x14ac:dyDescent="0.2">
      <c r="G349" s="8"/>
      <c r="O349" s="566"/>
    </row>
    <row r="350" spans="7:15" ht="40" customHeight="1" x14ac:dyDescent="0.2">
      <c r="G350" s="8"/>
      <c r="O350" s="566"/>
    </row>
    <row r="351" spans="7:15" ht="40" customHeight="1" x14ac:dyDescent="0.2">
      <c r="G351" s="8"/>
      <c r="O351" s="566"/>
    </row>
    <row r="352" spans="7:15" ht="40" customHeight="1" x14ac:dyDescent="0.2">
      <c r="G352" s="8"/>
      <c r="O352" s="566"/>
    </row>
    <row r="353" spans="7:15" ht="40" customHeight="1" x14ac:dyDescent="0.2">
      <c r="G353" s="8"/>
      <c r="O353" s="566"/>
    </row>
    <row r="354" spans="7:15" ht="40" customHeight="1" x14ac:dyDescent="0.2">
      <c r="G354" s="8"/>
      <c r="O354" s="566"/>
    </row>
    <row r="355" spans="7:15" ht="40" customHeight="1" x14ac:dyDescent="0.2">
      <c r="G355" s="8"/>
      <c r="O355" s="566"/>
    </row>
    <row r="356" spans="7:15" ht="40" customHeight="1" x14ac:dyDescent="0.2">
      <c r="G356" s="8"/>
      <c r="O356" s="566"/>
    </row>
    <row r="357" spans="7:15" ht="40" customHeight="1" x14ac:dyDescent="0.2">
      <c r="G357" s="8"/>
      <c r="O357" s="566"/>
    </row>
  </sheetData>
  <sortState xmlns:xlrd2="http://schemas.microsoft.com/office/spreadsheetml/2017/richdata2" ref="AX2:AX13">
    <sortCondition ref="AX2:AX13"/>
  </sortState>
  <mergeCells count="13">
    <mergeCell ref="L2:L6"/>
    <mergeCell ref="AJ74:AJ75"/>
    <mergeCell ref="L9:L13"/>
    <mergeCell ref="D15:D17"/>
    <mergeCell ref="S17:U17"/>
    <mergeCell ref="AH17:AJ17"/>
    <mergeCell ref="AE17:AG17"/>
    <mergeCell ref="A17:C17"/>
    <mergeCell ref="L17:M17"/>
    <mergeCell ref="N17:O17"/>
    <mergeCell ref="C241:C244"/>
    <mergeCell ref="C213:C214"/>
    <mergeCell ref="A215:A216"/>
  </mergeCells>
  <phoneticPr fontId="11" type="noConversion"/>
  <dataValidations count="1">
    <dataValidation type="list" allowBlank="1" showInputMessage="1" showErrorMessage="1" sqref="AP48" xr:uid="{F8FBBD95-4E6D-F94B-B503-EB40B223E469}">
      <formula1>$AU$40:$AU$47</formula1>
    </dataValidation>
  </dataValidations>
  <hyperlinks>
    <hyperlink ref="AG134" r:id="rId1" display="https://educaloi.qc.ca/capsules/lautorite-parentale/" xr:uid="{17BB57AF-F92D-9B41-BBE7-F9CE2B17377A}"/>
    <hyperlink ref="AI37" r:id="rId2" xr:uid="{0DDA0594-30F2-C245-9F37-49E47236EF80}"/>
  </hyperlinks>
  <pageMargins left="0.7" right="0.7" top="0.75" bottom="0.75" header="0.3" footer="0.3"/>
  <pageSetup scale="10" orientation="landscape" horizontalDpi="0" verticalDpi="0"/>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B49A8-47A2-6243-9E7A-7CD36ECC1CA2}">
  <dimension ref="A1:BU486"/>
  <sheetViews>
    <sheetView topLeftCell="A332" zoomScale="76" zoomScaleNormal="76" workbookViewId="0">
      <selection activeCell="V156" sqref="V156:AC157"/>
    </sheetView>
    <sheetView tabSelected="1" topLeftCell="A448" workbookViewId="1"/>
  </sheetViews>
  <sheetFormatPr baseColWidth="10" defaultColWidth="11" defaultRowHeight="16" outlineLevelRow="1" x14ac:dyDescent="0.2"/>
  <cols>
    <col min="1" max="1" width="9.1640625" customWidth="1"/>
    <col min="2" max="2" width="54.6640625" customWidth="1"/>
    <col min="3" max="3" width="24" customWidth="1"/>
    <col min="4" max="4" width="10.1640625" style="292" customWidth="1"/>
    <col min="5" max="15" width="5.5" customWidth="1"/>
    <col min="16" max="21" width="10.1640625" customWidth="1"/>
    <col min="22" max="22" width="10.1640625" style="5" customWidth="1"/>
    <col min="23" max="23" width="8.1640625" customWidth="1"/>
    <col min="24" max="28" width="6.1640625" style="5" customWidth="1"/>
    <col min="29" max="29" width="7" style="5" bestFit="1" customWidth="1"/>
    <col min="30" max="30" width="5" bestFit="1" customWidth="1"/>
    <col min="31" max="31" width="4.83203125" bestFit="1" customWidth="1"/>
    <col min="32" max="32" width="11.1640625" customWidth="1"/>
    <col min="33" max="33" width="12" customWidth="1"/>
    <col min="34" max="36" width="9.5" customWidth="1"/>
    <col min="37" max="44" width="7.5" customWidth="1"/>
    <col min="45" max="50" width="3.33203125" customWidth="1"/>
    <col min="51" max="52" width="4" customWidth="1"/>
    <col min="56" max="56" width="6.1640625" customWidth="1"/>
    <col min="57" max="63" width="4.33203125" customWidth="1"/>
    <col min="65" max="74" width="3.5" customWidth="1"/>
  </cols>
  <sheetData>
    <row r="1" spans="1:24" ht="22" thickBot="1" x14ac:dyDescent="0.25">
      <c r="F1" t="s">
        <v>470</v>
      </c>
      <c r="H1" s="506">
        <v>0</v>
      </c>
      <c r="I1" t="s">
        <v>469</v>
      </c>
      <c r="W1" s="541" t="s">
        <v>24</v>
      </c>
      <c r="X1" s="319" t="s">
        <v>496</v>
      </c>
    </row>
    <row r="2" spans="1:24" ht="25" thickTop="1" x14ac:dyDescent="0.3">
      <c r="A2" s="125" t="s">
        <v>216</v>
      </c>
      <c r="I2" t="s">
        <v>1240</v>
      </c>
      <c r="W2" s="541" t="s">
        <v>25</v>
      </c>
      <c r="X2" s="319" t="s">
        <v>497</v>
      </c>
    </row>
    <row r="3" spans="1:24" ht="21" x14ac:dyDescent="0.2">
      <c r="A3" s="1354" t="str">
        <f>BIBLE!E20</f>
        <v>B00</v>
      </c>
      <c r="B3" t="str">
        <f>BIBLE!F20</f>
        <v xml:space="preserve">Identification: Qui êtes-vous ? </v>
      </c>
      <c r="D3" s="1979" t="s">
        <v>1256</v>
      </c>
      <c r="E3" s="292"/>
      <c r="P3" s="1776">
        <f>'TEST_pour PROTOTYPE'!D4</f>
        <v>2</v>
      </c>
      <c r="W3" s="541"/>
      <c r="X3" s="319"/>
    </row>
    <row r="4" spans="1:24" ht="16" customHeight="1" x14ac:dyDescent="0.2">
      <c r="A4" s="1354"/>
      <c r="B4" s="2" t="s">
        <v>558</v>
      </c>
      <c r="D4" s="1979">
        <v>1</v>
      </c>
      <c r="E4" s="1782" t="str">
        <f>IF(P$3=D4,1,"x")</f>
        <v>x</v>
      </c>
      <c r="W4" s="541"/>
      <c r="X4" s="319"/>
    </row>
    <row r="5" spans="1:24" ht="16" customHeight="1" x14ac:dyDescent="0.2">
      <c r="A5" s="1354"/>
      <c r="B5" s="2" t="s">
        <v>559</v>
      </c>
      <c r="D5" s="1979">
        <v>2</v>
      </c>
      <c r="E5" s="1782">
        <f t="shared" ref="E5:E9" si="0">IF(P$3=D5,1,"x")</f>
        <v>1</v>
      </c>
      <c r="W5" s="541"/>
      <c r="X5" s="319"/>
    </row>
    <row r="6" spans="1:24" ht="16" customHeight="1" x14ac:dyDescent="0.2">
      <c r="A6" s="1354"/>
      <c r="B6" s="2" t="s">
        <v>560</v>
      </c>
      <c r="D6" s="1979">
        <v>3</v>
      </c>
      <c r="E6" s="1782" t="str">
        <f t="shared" si="0"/>
        <v>x</v>
      </c>
      <c r="W6" s="541"/>
      <c r="X6" s="319"/>
    </row>
    <row r="7" spans="1:24" ht="16" customHeight="1" x14ac:dyDescent="0.2">
      <c r="A7" s="1354"/>
      <c r="B7" s="2" t="s">
        <v>561</v>
      </c>
      <c r="D7" s="1979">
        <v>4</v>
      </c>
      <c r="E7" s="1782" t="str">
        <f t="shared" si="0"/>
        <v>x</v>
      </c>
      <c r="W7" s="541"/>
      <c r="X7" s="319"/>
    </row>
    <row r="8" spans="1:24" ht="16" customHeight="1" x14ac:dyDescent="0.2">
      <c r="A8" s="1354"/>
      <c r="B8" s="2" t="s">
        <v>562</v>
      </c>
      <c r="D8" s="1979">
        <v>5</v>
      </c>
      <c r="E8" s="1782" t="str">
        <f t="shared" si="0"/>
        <v>x</v>
      </c>
      <c r="W8" s="541"/>
      <c r="X8" s="319"/>
    </row>
    <row r="9" spans="1:24" ht="16" customHeight="1" x14ac:dyDescent="0.2">
      <c r="A9" s="1354"/>
      <c r="B9" s="2" t="s">
        <v>563</v>
      </c>
      <c r="D9" s="1979" t="s">
        <v>1492</v>
      </c>
      <c r="E9" s="1782" t="str">
        <f t="shared" si="0"/>
        <v>x</v>
      </c>
      <c r="W9" s="541"/>
      <c r="X9" s="319"/>
    </row>
    <row r="10" spans="1:24" ht="21" x14ac:dyDescent="0.2">
      <c r="A10" s="1354"/>
      <c r="D10" s="1979"/>
      <c r="W10" s="541"/>
      <c r="X10" s="319"/>
    </row>
    <row r="11" spans="1:24" x14ac:dyDescent="0.2">
      <c r="A11" s="1354" t="str">
        <f>BIBLE!E21</f>
        <v>B01</v>
      </c>
      <c r="B11" t="str">
        <f>IF($P$3&gt;=4,BIBLE!F21," ")</f>
        <v xml:space="preserve"> </v>
      </c>
      <c r="D11" s="1979"/>
      <c r="P11" s="1776">
        <f>'TEST_pour PROTOTYPE'!D5</f>
        <v>0</v>
      </c>
      <c r="X11" s="319" t="s">
        <v>498</v>
      </c>
    </row>
    <row r="12" spans="1:24" ht="20" customHeight="1" x14ac:dyDescent="0.2">
      <c r="A12" s="1354"/>
      <c r="B12" t="str">
        <f>IF($P$3&gt;=4,"Une autre mère"," ")</f>
        <v xml:space="preserve"> </v>
      </c>
      <c r="C12" s="2"/>
      <c r="D12" s="1979">
        <v>1</v>
      </c>
      <c r="E12" s="1782" t="str">
        <f>IF(P$11=D12,1,"x")</f>
        <v>x</v>
      </c>
    </row>
    <row r="13" spans="1:24" ht="18" customHeight="1" x14ac:dyDescent="0.2">
      <c r="A13" s="1354"/>
      <c r="B13" t="str">
        <f>IF($P$3&gt;=4,"Un autre père "," ")</f>
        <v xml:space="preserve"> </v>
      </c>
      <c r="C13" s="2"/>
      <c r="D13" s="1979">
        <v>2</v>
      </c>
      <c r="E13" s="1782" t="str">
        <f t="shared" ref="E13:E14" si="1">IF(P$11=D13,1,"x")</f>
        <v>x</v>
      </c>
      <c r="W13" t="s">
        <v>499</v>
      </c>
    </row>
    <row r="14" spans="1:24" ht="18" customHeight="1" x14ac:dyDescent="0.2">
      <c r="A14" s="1354"/>
      <c r="B14" t="str">
        <f>IF($P$3&gt;=4,"Un autre parent (non binaire)"," ")</f>
        <v xml:space="preserve"> </v>
      </c>
      <c r="C14" s="2"/>
      <c r="D14" s="1979">
        <v>3</v>
      </c>
      <c r="E14" s="1782" t="str">
        <f t="shared" si="1"/>
        <v>x</v>
      </c>
    </row>
    <row r="15" spans="1:24" x14ac:dyDescent="0.2">
      <c r="A15" s="1354"/>
      <c r="D15" s="1979"/>
    </row>
    <row r="16" spans="1:24" x14ac:dyDescent="0.2">
      <c r="A16" s="1354" t="str">
        <f>BIBLE!E22</f>
        <v>B02</v>
      </c>
      <c r="B16" t="str">
        <f>BIBLE!F22</f>
        <v>Souhaitez-vous faire une analyse au présent ou de manière rétrospective ?</v>
      </c>
      <c r="C16" s="9"/>
      <c r="D16" s="1979"/>
      <c r="P16" s="1776">
        <f>'TEST_pour PROTOTYPE'!D6</f>
        <v>1</v>
      </c>
    </row>
    <row r="17" spans="1:16" ht="19" customHeight="1" x14ac:dyDescent="0.2">
      <c r="A17" s="1354"/>
      <c r="B17" s="2" t="s">
        <v>1000</v>
      </c>
      <c r="D17" s="1979">
        <v>1</v>
      </c>
      <c r="E17" s="1782">
        <f>IF(P$16=D17,1,"x")</f>
        <v>1</v>
      </c>
    </row>
    <row r="18" spans="1:16" ht="19" customHeight="1" x14ac:dyDescent="0.2">
      <c r="A18" s="1354"/>
      <c r="B18" s="2" t="s">
        <v>501</v>
      </c>
      <c r="D18" s="1979">
        <v>2</v>
      </c>
      <c r="E18" s="1782" t="str">
        <f>IF(P$16=D18,1,"x")</f>
        <v>x</v>
      </c>
    </row>
    <row r="19" spans="1:16" ht="19" customHeight="1" x14ac:dyDescent="0.2">
      <c r="A19" s="1354"/>
      <c r="D19" s="1979"/>
    </row>
    <row r="20" spans="1:16" x14ac:dyDescent="0.2">
      <c r="A20" s="1354"/>
      <c r="D20" s="1979"/>
    </row>
    <row r="21" spans="1:16" x14ac:dyDescent="0.2">
      <c r="A21" s="1354" t="str">
        <f>BIBLE!E23</f>
        <v>B03</v>
      </c>
      <c r="B21" t="str">
        <f>BIBLE!F23</f>
        <v xml:space="preserve">Quelle a été la durée de vie commune avec l'autre parent (coparent) ?
</v>
      </c>
      <c r="D21" s="1979"/>
      <c r="P21" s="1776">
        <f>'TEST_pour PROTOTYPE'!D7</f>
        <v>4</v>
      </c>
    </row>
    <row r="22" spans="1:16" ht="14" customHeight="1" x14ac:dyDescent="0.2">
      <c r="A22" s="1354"/>
      <c r="B22" s="2" t="s">
        <v>1597</v>
      </c>
      <c r="D22" s="1979">
        <v>1</v>
      </c>
      <c r="E22" s="1782" t="str">
        <f>IF(P$21=D22,1,"x")</f>
        <v>x</v>
      </c>
    </row>
    <row r="23" spans="1:16" ht="14" customHeight="1" x14ac:dyDescent="0.2">
      <c r="A23" s="1354"/>
      <c r="B23" s="2" t="s">
        <v>226</v>
      </c>
      <c r="D23" s="1979">
        <v>2</v>
      </c>
      <c r="E23" s="1782" t="str">
        <f t="shared" ref="E23:E26" si="2">IF(P$21=D23,1,"x")</f>
        <v>x</v>
      </c>
    </row>
    <row r="24" spans="1:16" ht="14" customHeight="1" x14ac:dyDescent="0.2">
      <c r="A24" s="1354"/>
      <c r="B24" s="2" t="s">
        <v>227</v>
      </c>
      <c r="D24" s="1979">
        <v>3</v>
      </c>
      <c r="E24" s="1782" t="str">
        <f t="shared" si="2"/>
        <v>x</v>
      </c>
    </row>
    <row r="25" spans="1:16" ht="14" customHeight="1" x14ac:dyDescent="0.2">
      <c r="A25" s="1354"/>
      <c r="B25" s="2" t="s">
        <v>1821</v>
      </c>
      <c r="D25" s="1979">
        <v>4</v>
      </c>
      <c r="E25" s="1782">
        <f t="shared" si="2"/>
        <v>1</v>
      </c>
    </row>
    <row r="26" spans="1:16" ht="14" customHeight="1" x14ac:dyDescent="0.2">
      <c r="A26" s="1354"/>
      <c r="B26" s="2" t="s">
        <v>224</v>
      </c>
      <c r="D26" s="1979">
        <v>5</v>
      </c>
      <c r="E26" s="1782" t="str">
        <f t="shared" si="2"/>
        <v>x</v>
      </c>
    </row>
    <row r="27" spans="1:16" x14ac:dyDescent="0.2">
      <c r="A27" s="1354" t="str">
        <f>BIBLE!E24</f>
        <v>B04</v>
      </c>
      <c r="B27" t="str">
        <f>BIBLE!F24</f>
        <v xml:space="preserve">Depuis combien de temps êtes vous séparé·e de l'autre parent (coparent) ? </v>
      </c>
      <c r="D27" s="1979"/>
      <c r="P27" s="1776">
        <f>'TEST_pour PROTOTYPE'!D8</f>
        <v>3</v>
      </c>
    </row>
    <row r="28" spans="1:16" ht="14" customHeight="1" x14ac:dyDescent="0.2">
      <c r="A28" s="1354"/>
      <c r="B28" s="2" t="s">
        <v>223</v>
      </c>
      <c r="D28" s="1979">
        <v>1</v>
      </c>
      <c r="E28" s="1782" t="str">
        <f>IF(P$27=D28,1,"x")</f>
        <v>x</v>
      </c>
    </row>
    <row r="29" spans="1:16" ht="14" customHeight="1" x14ac:dyDescent="0.2">
      <c r="A29" s="1354"/>
      <c r="B29" s="2" t="s">
        <v>225</v>
      </c>
      <c r="D29" s="1979">
        <v>2</v>
      </c>
      <c r="E29" s="1782" t="str">
        <f t="shared" ref="E29:E32" si="3">IF(P$27=D29,1,"x")</f>
        <v>x</v>
      </c>
    </row>
    <row r="30" spans="1:16" ht="14" customHeight="1" x14ac:dyDescent="0.2">
      <c r="A30" s="1354"/>
      <c r="B30" s="2" t="s">
        <v>226</v>
      </c>
      <c r="D30" s="1979">
        <v>3</v>
      </c>
      <c r="E30" s="1782">
        <f t="shared" si="3"/>
        <v>1</v>
      </c>
      <c r="G30" s="3"/>
      <c r="I30" s="166"/>
    </row>
    <row r="31" spans="1:16" ht="14" customHeight="1" x14ac:dyDescent="0.2">
      <c r="A31" s="1354"/>
      <c r="B31" s="2" t="s">
        <v>227</v>
      </c>
      <c r="D31" s="1979">
        <v>4</v>
      </c>
      <c r="E31" s="1782" t="str">
        <f t="shared" si="3"/>
        <v>x</v>
      </c>
    </row>
    <row r="32" spans="1:16" ht="14" customHeight="1" x14ac:dyDescent="0.2">
      <c r="A32" s="1354"/>
      <c r="B32" s="2" t="s">
        <v>228</v>
      </c>
      <c r="D32" s="1979">
        <v>5</v>
      </c>
      <c r="E32" s="1782" t="str">
        <f t="shared" si="3"/>
        <v>x</v>
      </c>
    </row>
    <row r="33" spans="1:18" ht="14" customHeight="1" x14ac:dyDescent="0.2">
      <c r="A33" s="1354"/>
      <c r="B33" s="2"/>
      <c r="D33" s="1979"/>
    </row>
    <row r="34" spans="1:18" ht="14" customHeight="1" x14ac:dyDescent="0.2">
      <c r="A34" s="1354" t="str">
        <f>BIBLE!E25</f>
        <v>B05</v>
      </c>
      <c r="B34" s="319" t="str">
        <f>BIBLE!F25</f>
        <v>Combien d'enfants compte la fratrie ?</v>
      </c>
      <c r="D34" s="1979"/>
      <c r="P34" s="1776">
        <f>'TEST_pour PROTOTYPE'!D9</f>
        <v>2</v>
      </c>
    </row>
    <row r="35" spans="1:18" ht="14" customHeight="1" x14ac:dyDescent="0.2">
      <c r="A35" s="1354"/>
      <c r="B35" s="2" t="s">
        <v>1005</v>
      </c>
      <c r="D35" s="1979">
        <v>1</v>
      </c>
      <c r="E35" s="1782" t="str">
        <f>IF(P$34=D35,1,"x")</f>
        <v>x</v>
      </c>
    </row>
    <row r="36" spans="1:18" ht="14" customHeight="1" x14ac:dyDescent="0.2">
      <c r="A36" s="1354"/>
      <c r="B36" s="2" t="s">
        <v>1006</v>
      </c>
      <c r="D36" s="1979">
        <v>2</v>
      </c>
      <c r="E36" s="1782">
        <f t="shared" ref="E36:E38" si="4">IF(P$34=D36,1,"x")</f>
        <v>1</v>
      </c>
    </row>
    <row r="37" spans="1:18" ht="14" customHeight="1" x14ac:dyDescent="0.2">
      <c r="A37" s="1354"/>
      <c r="B37" s="2" t="s">
        <v>1007</v>
      </c>
      <c r="D37" s="1979">
        <v>3</v>
      </c>
      <c r="E37" s="1782" t="str">
        <f t="shared" si="4"/>
        <v>x</v>
      </c>
    </row>
    <row r="38" spans="1:18" ht="14" customHeight="1" x14ac:dyDescent="0.2">
      <c r="A38" s="1354"/>
      <c r="B38" s="2" t="s">
        <v>1008</v>
      </c>
      <c r="D38" s="1979">
        <v>4</v>
      </c>
      <c r="E38" s="1782" t="str">
        <f t="shared" si="4"/>
        <v>x</v>
      </c>
    </row>
    <row r="39" spans="1:18" ht="14" customHeight="1" thickBot="1" x14ac:dyDescent="0.25">
      <c r="A39" s="1354"/>
      <c r="B39" s="2"/>
      <c r="D39" s="1979"/>
    </row>
    <row r="40" spans="1:18" ht="17" thickBot="1" x14ac:dyDescent="0.25">
      <c r="A40" s="1354" t="str">
        <f>BIBLE!E26</f>
        <v>B06</v>
      </c>
      <c r="B40" t="str">
        <f>BIBLE!F26</f>
        <v>Quel âge a l'enfant qui fait l'objet de l'analyse ?</v>
      </c>
      <c r="D40" s="1979"/>
      <c r="E40" s="44">
        <f>P$40</f>
        <v>10</v>
      </c>
      <c r="P40" s="1776">
        <f>'TEST_pour PROTOTYPE'!D10</f>
        <v>10</v>
      </c>
    </row>
    <row r="41" spans="1:18" ht="15" customHeight="1" x14ac:dyDescent="0.2">
      <c r="A41" s="1354"/>
      <c r="D41" s="1979"/>
    </row>
    <row r="42" spans="1:18" x14ac:dyDescent="0.2">
      <c r="A42" s="1354" t="str">
        <f>BIBLE!E27</f>
        <v>B07</v>
      </c>
      <c r="B42" t="str">
        <f>BIBLE!F27</f>
        <v xml:space="preserve">Quelle est votre situation familiale actuelle ? </v>
      </c>
      <c r="D42" s="1979"/>
      <c r="P42" s="1776">
        <f>'TEST_pour PROTOTYPE'!D11</f>
        <v>2</v>
      </c>
    </row>
    <row r="43" spans="1:18" ht="15" customHeight="1" x14ac:dyDescent="0.2">
      <c r="A43" s="1354"/>
      <c r="B43" s="2" t="s">
        <v>229</v>
      </c>
      <c r="D43" s="1979">
        <v>1</v>
      </c>
      <c r="E43" s="1782" t="str">
        <f>IF(P$42=D43,1,"x")</f>
        <v>x</v>
      </c>
    </row>
    <row r="44" spans="1:18" ht="15" customHeight="1" x14ac:dyDescent="0.2">
      <c r="A44" s="1354"/>
      <c r="B44" s="2" t="s">
        <v>1591</v>
      </c>
      <c r="D44" s="1979">
        <v>2</v>
      </c>
      <c r="E44" s="1782">
        <f t="shared" ref="E44:E45" si="5">IF(P$42=D44,1,"x")</f>
        <v>1</v>
      </c>
    </row>
    <row r="45" spans="1:18" ht="15" customHeight="1" x14ac:dyDescent="0.2">
      <c r="A45" s="1354"/>
      <c r="B45" s="2" t="s">
        <v>1592</v>
      </c>
      <c r="D45" s="1979">
        <v>3</v>
      </c>
      <c r="E45" s="1782" t="str">
        <f t="shared" si="5"/>
        <v>x</v>
      </c>
      <c r="F45" s="500"/>
      <c r="G45" s="500"/>
      <c r="H45" s="500"/>
      <c r="I45" s="500"/>
      <c r="J45" s="500"/>
      <c r="K45" s="500"/>
      <c r="L45" s="500"/>
      <c r="M45" s="500"/>
      <c r="N45" s="500"/>
      <c r="O45" s="500"/>
      <c r="P45" s="500"/>
      <c r="Q45" s="500"/>
      <c r="R45" s="500"/>
    </row>
    <row r="46" spans="1:18" x14ac:dyDescent="0.2">
      <c r="A46" s="1354" t="str">
        <f>BIBLE!E28</f>
        <v>B08</v>
      </c>
      <c r="B46" t="str">
        <f>BIBLE!F28</f>
        <v xml:space="preserve">Quelle est la situation familiale actuelle de l'autre parent (coparent) ?
</v>
      </c>
      <c r="D46" s="1979"/>
      <c r="P46" s="1776">
        <f>'TEST_pour PROTOTYPE'!D12</f>
        <v>2</v>
      </c>
    </row>
    <row r="47" spans="1:18" ht="16" customHeight="1" x14ac:dyDescent="0.2">
      <c r="A47" s="1354"/>
      <c r="B47" s="2" t="s">
        <v>229</v>
      </c>
      <c r="D47" s="1979">
        <v>1</v>
      </c>
      <c r="E47" s="1782" t="str">
        <f>IF(P$46=D47,1,"x")</f>
        <v>x</v>
      </c>
    </row>
    <row r="48" spans="1:18" ht="14" customHeight="1" x14ac:dyDescent="0.2">
      <c r="A48" s="1354"/>
      <c r="B48" s="2" t="s">
        <v>1591</v>
      </c>
      <c r="D48" s="1979">
        <v>2</v>
      </c>
      <c r="E48" s="1782">
        <f>IF(P$46=D48,1,"x")</f>
        <v>1</v>
      </c>
    </row>
    <row r="49" spans="1:29" ht="14" customHeight="1" x14ac:dyDescent="0.2">
      <c r="A49" s="1354"/>
      <c r="B49" s="2" t="s">
        <v>1592</v>
      </c>
      <c r="D49" s="1979">
        <v>3</v>
      </c>
      <c r="E49" s="1782" t="str">
        <f t="shared" ref="E49" si="6">IF(P$46=D49,1,"x")</f>
        <v>x</v>
      </c>
    </row>
    <row r="50" spans="1:29" ht="18" customHeight="1" x14ac:dyDescent="0.2">
      <c r="A50" s="1354"/>
      <c r="C50" s="280" t="s">
        <v>230</v>
      </c>
      <c r="D50" s="289" t="s">
        <v>22</v>
      </c>
      <c r="E50" s="2224" t="s">
        <v>231</v>
      </c>
      <c r="F50" s="2224"/>
      <c r="G50" s="2224"/>
      <c r="H50" s="2224"/>
      <c r="I50" s="2224"/>
      <c r="J50" s="2224"/>
      <c r="K50" s="2224"/>
      <c r="L50" s="2224"/>
      <c r="M50" s="2224"/>
      <c r="N50" s="2224"/>
      <c r="O50" s="2224"/>
    </row>
    <row r="51" spans="1:29" ht="18" customHeight="1" x14ac:dyDescent="0.2">
      <c r="A51" s="1354"/>
      <c r="C51" s="280"/>
      <c r="D51" s="289"/>
      <c r="E51" s="505" t="s">
        <v>411</v>
      </c>
      <c r="F51" s="318"/>
      <c r="G51" s="318"/>
      <c r="H51" s="318"/>
      <c r="I51" s="318"/>
      <c r="J51" s="318"/>
      <c r="K51" s="318"/>
      <c r="L51" s="318"/>
      <c r="M51" s="318"/>
      <c r="N51" s="318"/>
      <c r="O51" s="318"/>
    </row>
    <row r="52" spans="1:29" s="7" customFormat="1" ht="33" customHeight="1" thickBot="1" x14ac:dyDescent="0.25">
      <c r="A52" s="1354"/>
      <c r="C52" s="281"/>
      <c r="D52" s="290"/>
      <c r="E52" s="76">
        <v>0</v>
      </c>
      <c r="F52" s="76">
        <v>0</v>
      </c>
      <c r="G52" s="76">
        <v>1</v>
      </c>
      <c r="H52" s="76">
        <v>2</v>
      </c>
      <c r="I52" s="76">
        <v>4</v>
      </c>
      <c r="J52" s="76">
        <v>7</v>
      </c>
      <c r="K52" s="76">
        <v>10</v>
      </c>
      <c r="L52" s="1753">
        <v>7</v>
      </c>
      <c r="M52" s="1753">
        <v>8</v>
      </c>
      <c r="N52" s="1753">
        <v>9</v>
      </c>
      <c r="O52" s="1753">
        <v>10</v>
      </c>
      <c r="P52" s="77" t="s">
        <v>232</v>
      </c>
      <c r="Q52" s="77" t="s">
        <v>233</v>
      </c>
      <c r="R52" s="77" t="s">
        <v>234</v>
      </c>
      <c r="S52" s="156"/>
      <c r="U52" s="156"/>
      <c r="V52" s="156"/>
      <c r="W52" s="156"/>
      <c r="X52" s="8"/>
      <c r="Y52" s="8"/>
      <c r="Z52" s="8"/>
      <c r="AA52" s="8"/>
      <c r="AB52" s="8"/>
      <c r="AC52" s="8"/>
    </row>
    <row r="53" spans="1:29" s="7" customFormat="1" ht="46" customHeight="1" thickTop="1" x14ac:dyDescent="0.2">
      <c r="A53" s="1355" t="str">
        <f>BIBLE!E29</f>
        <v>B11</v>
      </c>
      <c r="B53" s="26" t="str">
        <f>BIBLE!F29</f>
        <v>Dans quelle mesure l'entente de garde et/ou les droits d'accès sont-ils respectés ?</v>
      </c>
      <c r="C53" s="1752" t="str">
        <f>BIBLE!O29</f>
        <v>En tout temps / Presque toujours / Régulièrement / Parfois / Rarement / S.O.</v>
      </c>
      <c r="D53" s="292">
        <f>BIBLE!L29</f>
        <v>3</v>
      </c>
      <c r="E53" s="19"/>
      <c r="F53" s="19"/>
      <c r="G53" s="19"/>
      <c r="H53" s="19"/>
      <c r="I53" s="19"/>
      <c r="J53" s="19">
        <v>1</v>
      </c>
      <c r="K53" s="19"/>
      <c r="L53" s="19"/>
      <c r="M53" s="19"/>
      <c r="N53" s="19"/>
      <c r="O53" s="19"/>
      <c r="P53" s="1877">
        <f>'TEST_pour PROTOTYPE'!D13</f>
        <v>2</v>
      </c>
      <c r="Q53" s="6">
        <f>P53*D53</f>
        <v>6</v>
      </c>
      <c r="R53" s="8">
        <f>BIBLE!K29</f>
        <v>4</v>
      </c>
      <c r="T53" s="541" t="s">
        <v>24</v>
      </c>
      <c r="U53" s="7" t="s">
        <v>500</v>
      </c>
      <c r="V53" s="8"/>
      <c r="X53" s="8"/>
      <c r="Y53" s="8"/>
      <c r="Z53" s="8"/>
      <c r="AA53" s="8"/>
      <c r="AB53" s="8"/>
      <c r="AC53" s="8"/>
    </row>
    <row r="54" spans="1:29" s="7" customFormat="1" ht="17" x14ac:dyDescent="0.2">
      <c r="A54" s="1354" t="str">
        <f>BIBLE!E30</f>
        <v>B11a</v>
      </c>
      <c r="B54" s="1829" t="str">
        <f>IF(P53&gt;=$R$53,BIBLE!F30," ")</f>
        <v xml:space="preserve"> </v>
      </c>
      <c r="C54" s="282" t="s">
        <v>235</v>
      </c>
      <c r="D54" s="1978">
        <v>1</v>
      </c>
      <c r="E54" s="1782" t="str">
        <f>IF(P$54=D54,1,"x")</f>
        <v>x</v>
      </c>
      <c r="F54" s="19"/>
      <c r="G54" s="19"/>
      <c r="H54" s="19"/>
      <c r="I54" s="19"/>
      <c r="J54" s="19"/>
      <c r="K54" s="19"/>
      <c r="L54" s="19"/>
      <c r="M54" s="19"/>
      <c r="N54" s="19"/>
      <c r="O54" s="19"/>
      <c r="P54" s="1880">
        <f>'TEST_pour PROTOTYPE'!D14</f>
        <v>0</v>
      </c>
      <c r="Q54" s="154"/>
      <c r="V54" s="8"/>
      <c r="X54" s="8"/>
      <c r="Y54" s="8"/>
      <c r="Z54" s="8"/>
      <c r="AA54" s="8"/>
      <c r="AB54" s="8"/>
      <c r="AC54" s="8"/>
    </row>
    <row r="55" spans="1:29" s="7" customFormat="1" ht="19.5" customHeight="1" outlineLevel="1" x14ac:dyDescent="0.2">
      <c r="A55" s="1354"/>
      <c r="B55" s="155"/>
      <c r="C55" s="282" t="s">
        <v>236</v>
      </c>
      <c r="D55" s="1978">
        <v>0</v>
      </c>
      <c r="E55" s="1782">
        <f>IF(P$54=D55,1,"x")</f>
        <v>1</v>
      </c>
      <c r="F55" s="19"/>
      <c r="G55" s="19"/>
      <c r="H55" s="19"/>
      <c r="I55" s="19"/>
      <c r="J55" s="19"/>
      <c r="K55" s="19"/>
      <c r="L55" s="19"/>
      <c r="M55" s="19"/>
      <c r="N55" s="19"/>
      <c r="O55" s="19"/>
      <c r="P55" s="153"/>
      <c r="Q55" s="154"/>
      <c r="V55" s="8"/>
      <c r="X55" s="8"/>
      <c r="Y55" s="8"/>
      <c r="Z55" s="8"/>
      <c r="AA55" s="8"/>
      <c r="AB55" s="8"/>
      <c r="AC55" s="8"/>
    </row>
    <row r="56" spans="1:29" s="7" customFormat="1" ht="43" customHeight="1" x14ac:dyDescent="0.2">
      <c r="A56" s="1354" t="str">
        <f>BIBLE!E31</f>
        <v>B11a1</v>
      </c>
      <c r="B56" s="127" t="str">
        <f>IF(P54=1,BIBLE!F31," ")</f>
        <v xml:space="preserve"> </v>
      </c>
      <c r="C56" s="293" t="str">
        <f>IF(BIBLE!H31=0,"",BIBLE!H31)</f>
        <v/>
      </c>
      <c r="D56" s="1978">
        <f>BIBLE!L31</f>
        <v>2</v>
      </c>
      <c r="E56" s="19"/>
      <c r="F56" s="19"/>
      <c r="G56" s="19">
        <v>1</v>
      </c>
      <c r="H56" s="19"/>
      <c r="I56" s="19"/>
      <c r="J56" s="19"/>
      <c r="K56" s="19"/>
      <c r="L56" s="19"/>
      <c r="M56" s="19"/>
      <c r="N56" s="19"/>
      <c r="O56" s="19"/>
      <c r="P56" s="1877">
        <f>'TEST_pour PROTOTYPE'!D15</f>
        <v>0</v>
      </c>
      <c r="Q56" s="25">
        <f>P56*D56</f>
        <v>0</v>
      </c>
      <c r="R56" s="1494"/>
      <c r="S56" s="1494"/>
      <c r="T56" s="1494"/>
      <c r="U56" s="1494"/>
      <c r="V56" s="1495"/>
      <c r="W56" s="1494"/>
      <c r="X56" s="1495"/>
      <c r="Y56" s="8"/>
      <c r="Z56" s="8"/>
      <c r="AA56" s="8"/>
      <c r="AB56" s="8"/>
      <c r="AC56" s="8"/>
    </row>
    <row r="57" spans="1:29" s="7" customFormat="1" ht="43" customHeight="1" x14ac:dyDescent="0.2">
      <c r="A57" s="1354" t="str">
        <f>BIBLE!E32</f>
        <v>B11b</v>
      </c>
      <c r="B57" s="1829" t="str">
        <f>IF(P53&gt;=$R$53,BIBLE!F32," ")</f>
        <v xml:space="preserve"> </v>
      </c>
      <c r="C57" s="293" t="str">
        <f>IF(BIBLE!H32=0,"",BIBLE!H32)</f>
        <v/>
      </c>
      <c r="D57" s="1978">
        <f>BIBLE!L32</f>
        <v>2</v>
      </c>
      <c r="E57" s="19"/>
      <c r="F57" s="19"/>
      <c r="G57" s="19"/>
      <c r="H57" s="19">
        <v>2</v>
      </c>
      <c r="I57" s="19"/>
      <c r="J57" s="19"/>
      <c r="K57" s="19"/>
      <c r="L57" s="19"/>
      <c r="M57" s="19"/>
      <c r="N57" s="19"/>
      <c r="O57" s="19"/>
      <c r="P57" s="1877">
        <f>'TEST_pour PROTOTYPE'!D16</f>
        <v>0</v>
      </c>
      <c r="Q57" s="25">
        <f>P57*D57</f>
        <v>0</v>
      </c>
      <c r="R57" s="1494"/>
      <c r="S57" s="1494"/>
      <c r="T57" s="1494"/>
      <c r="U57" s="1494"/>
      <c r="V57" s="1495"/>
      <c r="W57" s="1494"/>
      <c r="X57" s="1495"/>
      <c r="Y57" s="8"/>
      <c r="Z57" s="8"/>
      <c r="AA57" s="8"/>
      <c r="AB57" s="8"/>
      <c r="AC57" s="8"/>
    </row>
    <row r="58" spans="1:29" ht="31" customHeight="1" x14ac:dyDescent="0.2">
      <c r="A58" s="1354" t="str">
        <f>BIBLE!E33</f>
        <v>B12</v>
      </c>
      <c r="B58" s="155" t="str">
        <f>BIBLE!F33</f>
        <v xml:space="preserve">Comment qualifieriez-vous votre relation avec votre enfant ? 
</v>
      </c>
      <c r="C58" s="282"/>
      <c r="D58" s="1978"/>
      <c r="T58" s="541" t="s">
        <v>24</v>
      </c>
      <c r="U58" s="7" t="s">
        <v>495</v>
      </c>
    </row>
    <row r="59" spans="1:29" x14ac:dyDescent="0.2">
      <c r="A59" s="1354" t="str">
        <f>A58</f>
        <v>B12</v>
      </c>
      <c r="C59" s="1794"/>
      <c r="D59" s="1775"/>
      <c r="E59" s="1"/>
      <c r="O59" t="s">
        <v>1323</v>
      </c>
      <c r="P59" s="1777">
        <f>MAX(P60:P65)</f>
        <v>5</v>
      </c>
      <c r="U59" s="7"/>
    </row>
    <row r="60" spans="1:29" ht="17" customHeight="1" x14ac:dyDescent="0.2">
      <c r="A60" s="1354" t="str">
        <f t="shared" ref="A60:A65" si="7">A59</f>
        <v>B12</v>
      </c>
      <c r="B60" s="1795"/>
      <c r="C60" s="1796" t="s">
        <v>1462</v>
      </c>
      <c r="D60" s="1775">
        <v>1</v>
      </c>
      <c r="E60" s="1793">
        <f>'TEST_pour PROTOTYPE'!D17</f>
        <v>1</v>
      </c>
      <c r="P60" s="1792">
        <f>D60*E60</f>
        <v>1</v>
      </c>
      <c r="U60" s="7"/>
    </row>
    <row r="61" spans="1:29" ht="17" customHeight="1" x14ac:dyDescent="0.2">
      <c r="A61" s="1354" t="str">
        <f t="shared" si="7"/>
        <v>B12</v>
      </c>
      <c r="C61" s="1796" t="s">
        <v>1463</v>
      </c>
      <c r="D61" s="1775">
        <v>2</v>
      </c>
      <c r="E61" s="1793">
        <f>'TEST_pour PROTOTYPE'!D18</f>
        <v>0</v>
      </c>
      <c r="F61" s="19"/>
      <c r="G61" s="19"/>
      <c r="H61" s="19"/>
      <c r="I61" s="19"/>
      <c r="J61" s="19"/>
      <c r="K61" s="19"/>
      <c r="L61" s="19"/>
      <c r="M61" s="19"/>
      <c r="N61" s="19"/>
      <c r="O61" s="19"/>
      <c r="P61" s="1792">
        <f t="shared" ref="P61:P65" si="8">D61*E61</f>
        <v>0</v>
      </c>
      <c r="Q61" s="6"/>
      <c r="U61" s="7"/>
    </row>
    <row r="62" spans="1:29" ht="17" customHeight="1" x14ac:dyDescent="0.2">
      <c r="A62" s="1354" t="str">
        <f t="shared" si="7"/>
        <v>B12</v>
      </c>
      <c r="C62" s="1796" t="s">
        <v>1466</v>
      </c>
      <c r="D62" s="1775">
        <v>3</v>
      </c>
      <c r="E62" s="1793">
        <f>'TEST_pour PROTOTYPE'!D19</f>
        <v>0</v>
      </c>
      <c r="F62" s="8"/>
      <c r="G62" s="8"/>
      <c r="H62" s="8"/>
      <c r="I62" s="8"/>
      <c r="J62" s="8"/>
      <c r="K62" s="8"/>
      <c r="L62" s="8"/>
      <c r="M62" s="8"/>
      <c r="N62" s="8"/>
      <c r="O62" s="8"/>
      <c r="P62" s="1792">
        <f t="shared" si="8"/>
        <v>0</v>
      </c>
      <c r="Q62" s="6"/>
      <c r="U62" s="7"/>
    </row>
    <row r="63" spans="1:29" ht="17" customHeight="1" x14ac:dyDescent="0.2">
      <c r="A63" s="1354" t="str">
        <f t="shared" si="7"/>
        <v>B12</v>
      </c>
      <c r="B63" s="1796"/>
      <c r="C63" s="1796" t="s">
        <v>1611</v>
      </c>
      <c r="D63" s="1775">
        <v>4</v>
      </c>
      <c r="E63" s="1793">
        <f>'TEST_pour PROTOTYPE'!D20</f>
        <v>0</v>
      </c>
      <c r="F63" s="8"/>
      <c r="G63" s="8"/>
      <c r="H63" s="8"/>
      <c r="I63" s="8"/>
      <c r="J63" s="8"/>
      <c r="K63" s="8"/>
      <c r="L63" s="8"/>
      <c r="M63" s="8"/>
      <c r="N63" s="8"/>
      <c r="O63" s="8"/>
      <c r="P63" s="1792">
        <f t="shared" si="8"/>
        <v>0</v>
      </c>
      <c r="Q63" s="6"/>
      <c r="U63" s="7"/>
    </row>
    <row r="64" spans="1:29" ht="17" customHeight="1" x14ac:dyDescent="0.2">
      <c r="A64" s="1354" t="str">
        <f t="shared" si="7"/>
        <v>B12</v>
      </c>
      <c r="C64" s="1796" t="s">
        <v>1475</v>
      </c>
      <c r="D64" s="1775">
        <v>5</v>
      </c>
      <c r="E64" s="1793">
        <f>'TEST_pour PROTOTYPE'!D21</f>
        <v>1</v>
      </c>
      <c r="G64" s="8"/>
      <c r="H64" s="8"/>
      <c r="P64" s="1792">
        <f t="shared" si="8"/>
        <v>5</v>
      </c>
      <c r="T64" s="541" t="s">
        <v>24</v>
      </c>
      <c r="U64" s="7" t="s">
        <v>495</v>
      </c>
    </row>
    <row r="65" spans="1:21" ht="17" customHeight="1" x14ac:dyDescent="0.2">
      <c r="A65" s="1354" t="str">
        <f t="shared" si="7"/>
        <v>B12</v>
      </c>
      <c r="C65" s="1796" t="s">
        <v>1467</v>
      </c>
      <c r="D65" s="1775">
        <v>6</v>
      </c>
      <c r="E65" s="1793">
        <f>'TEST_pour PROTOTYPE'!D22</f>
        <v>0</v>
      </c>
      <c r="F65" s="1780"/>
      <c r="G65" s="8"/>
      <c r="H65" s="8"/>
      <c r="P65" s="1792">
        <f t="shared" si="8"/>
        <v>0</v>
      </c>
      <c r="T65" s="541"/>
    </row>
    <row r="66" spans="1:21" ht="17" customHeight="1" x14ac:dyDescent="0.2">
      <c r="A66" s="1354"/>
      <c r="C66" s="1796"/>
      <c r="D66" s="1775"/>
      <c r="E66" s="8"/>
      <c r="F66" s="932"/>
      <c r="G66" s="8"/>
      <c r="H66" s="8"/>
      <c r="I66" s="8"/>
      <c r="J66" s="8"/>
      <c r="K66" s="8"/>
      <c r="L66" s="8"/>
      <c r="M66" s="8"/>
      <c r="N66" s="8"/>
    </row>
    <row r="67" spans="1:21" ht="17" customHeight="1" x14ac:dyDescent="0.2">
      <c r="A67" s="1354"/>
      <c r="C67" s="1796"/>
      <c r="D67" s="1775"/>
      <c r="E67" s="8"/>
      <c r="F67" s="1781"/>
      <c r="G67" s="8"/>
      <c r="H67" s="15"/>
    </row>
    <row r="68" spans="1:21" ht="17" customHeight="1" x14ac:dyDescent="0.2">
      <c r="A68" s="1354" t="str">
        <f>BIBLE!E34</f>
        <v>B12a</v>
      </c>
      <c r="B68" s="1998" t="str">
        <f>IF(P59&gt;=3,BIBLE!F34," ")</f>
        <v>Quels types de difficultés relationnelles rencontrez-vous ?</v>
      </c>
      <c r="C68" s="1796"/>
      <c r="D68" s="1775"/>
      <c r="E68" s="8"/>
      <c r="F68" s="8"/>
      <c r="G68" s="8"/>
      <c r="H68" s="15"/>
      <c r="M68" s="8"/>
      <c r="N68" s="8"/>
      <c r="O68" t="s">
        <v>1323</v>
      </c>
      <c r="P68" s="1777">
        <f>MAX(P69:P75)</f>
        <v>0</v>
      </c>
      <c r="Q68" s="6"/>
    </row>
    <row r="69" spans="1:21" ht="17" customHeight="1" x14ac:dyDescent="0.2">
      <c r="A69" s="1354" t="str">
        <f>A68</f>
        <v>B12a</v>
      </c>
      <c r="C69" s="1973" t="s">
        <v>1468</v>
      </c>
      <c r="D69" s="1775">
        <v>1</v>
      </c>
      <c r="E69" s="1793">
        <f>'TEST_pour PROTOTYPE'!D23</f>
        <v>0</v>
      </c>
      <c r="F69" s="8"/>
      <c r="G69" s="8"/>
      <c r="H69" s="15"/>
      <c r="M69" s="8"/>
      <c r="N69" s="8"/>
      <c r="O69" s="8"/>
      <c r="P69" s="1792">
        <f>D69*E69</f>
        <v>0</v>
      </c>
      <c r="Q69" s="6"/>
    </row>
    <row r="70" spans="1:21" ht="17" customHeight="1" x14ac:dyDescent="0.2">
      <c r="A70" s="1354" t="str">
        <f t="shared" ref="A70:A75" si="9">A69</f>
        <v>B12a</v>
      </c>
      <c r="C70" s="1973" t="s">
        <v>1469</v>
      </c>
      <c r="D70" s="1775">
        <v>2</v>
      </c>
      <c r="E70" s="1793">
        <f>'TEST_pour PROTOTYPE'!D24</f>
        <v>0</v>
      </c>
      <c r="F70" s="8"/>
      <c r="G70" s="8"/>
      <c r="H70" s="15"/>
      <c r="M70" s="8"/>
      <c r="N70" s="8"/>
      <c r="O70" s="8"/>
      <c r="P70" s="1792">
        <f t="shared" ref="P70:P74" si="10">D70*E70</f>
        <v>0</v>
      </c>
      <c r="Q70" s="6"/>
    </row>
    <row r="71" spans="1:21" ht="17" customHeight="1" x14ac:dyDescent="0.2">
      <c r="A71" s="1354" t="str">
        <f t="shared" si="9"/>
        <v>B12a</v>
      </c>
      <c r="C71" s="1973" t="s">
        <v>1470</v>
      </c>
      <c r="D71" s="1775">
        <v>3</v>
      </c>
      <c r="E71" s="1793">
        <f>'TEST_pour PROTOTYPE'!D25</f>
        <v>0</v>
      </c>
      <c r="F71" s="8"/>
      <c r="G71" s="8"/>
      <c r="H71" s="15"/>
      <c r="M71" s="8"/>
      <c r="N71" s="8"/>
      <c r="O71" s="8"/>
      <c r="P71" s="1792">
        <f t="shared" si="10"/>
        <v>0</v>
      </c>
      <c r="Q71" s="6"/>
    </row>
    <row r="72" spans="1:21" ht="17" customHeight="1" x14ac:dyDescent="0.2">
      <c r="A72" s="1354" t="str">
        <f t="shared" si="9"/>
        <v>B12a</v>
      </c>
      <c r="C72" s="1973" t="s">
        <v>1819</v>
      </c>
      <c r="D72" s="1775">
        <v>4</v>
      </c>
      <c r="E72" s="1793">
        <f>'TEST_pour PROTOTYPE'!D26</f>
        <v>0</v>
      </c>
      <c r="F72" s="8"/>
      <c r="G72" s="8"/>
      <c r="H72" s="15"/>
      <c r="M72" s="8"/>
      <c r="N72" s="8"/>
      <c r="O72" s="8"/>
      <c r="P72" s="1792">
        <f t="shared" si="10"/>
        <v>0</v>
      </c>
      <c r="Q72" s="6"/>
    </row>
    <row r="73" spans="1:21" ht="17" customHeight="1" x14ac:dyDescent="0.2">
      <c r="A73" s="1354" t="str">
        <f t="shared" si="9"/>
        <v>B12a</v>
      </c>
      <c r="B73" s="2"/>
      <c r="C73" s="1973" t="s">
        <v>1820</v>
      </c>
      <c r="D73" s="1775">
        <v>5</v>
      </c>
      <c r="E73" s="1793">
        <f>'TEST_pour PROTOTYPE'!D27</f>
        <v>0</v>
      </c>
      <c r="F73" s="8"/>
      <c r="G73" s="8"/>
      <c r="H73" s="15"/>
      <c r="M73" s="8"/>
      <c r="N73" s="8"/>
      <c r="O73" s="8"/>
      <c r="P73" s="1792">
        <f t="shared" si="10"/>
        <v>0</v>
      </c>
      <c r="Q73" s="6"/>
      <c r="T73" s="541"/>
      <c r="U73" t="s">
        <v>1472</v>
      </c>
    </row>
    <row r="74" spans="1:21" ht="17" customHeight="1" x14ac:dyDescent="0.2">
      <c r="A74" s="1354" t="str">
        <f t="shared" si="9"/>
        <v>B12a</v>
      </c>
      <c r="C74" s="1973" t="s">
        <v>1471</v>
      </c>
      <c r="D74" s="1775">
        <v>6</v>
      </c>
      <c r="E74" s="1793">
        <f>'TEST_pour PROTOTYPE'!D28</f>
        <v>0</v>
      </c>
      <c r="F74" s="8"/>
      <c r="G74" s="8"/>
      <c r="H74" s="8"/>
      <c r="I74" s="8"/>
      <c r="J74" s="8"/>
      <c r="K74" s="8"/>
      <c r="L74" s="8"/>
      <c r="M74" s="8"/>
      <c r="N74" s="8"/>
      <c r="O74" s="8"/>
      <c r="P74" s="1792">
        <f t="shared" si="10"/>
        <v>0</v>
      </c>
      <c r="Q74" s="6"/>
    </row>
    <row r="75" spans="1:21" ht="17" customHeight="1" x14ac:dyDescent="0.2">
      <c r="A75" s="1354" t="str">
        <f t="shared" si="9"/>
        <v>B12a</v>
      </c>
      <c r="C75" s="1797" t="s">
        <v>1478</v>
      </c>
      <c r="D75" s="1775">
        <v>0</v>
      </c>
      <c r="E75" s="1793"/>
      <c r="F75" s="8"/>
      <c r="G75" s="8"/>
      <c r="H75" s="8"/>
      <c r="I75" s="8"/>
      <c r="J75" s="8"/>
      <c r="K75" s="8"/>
      <c r="L75" s="8"/>
      <c r="M75" s="8"/>
      <c r="N75" s="8"/>
      <c r="O75" s="8"/>
      <c r="P75" s="1792"/>
      <c r="Q75" s="6"/>
    </row>
    <row r="76" spans="1:21" ht="17" customHeight="1" x14ac:dyDescent="0.2">
      <c r="A76" s="1354"/>
      <c r="C76" s="1796"/>
      <c r="D76" s="1976"/>
      <c r="E76" s="8"/>
      <c r="F76" s="1781"/>
      <c r="G76" s="8"/>
      <c r="H76" s="15"/>
    </row>
    <row r="77" spans="1:21" ht="17" customHeight="1" x14ac:dyDescent="0.2">
      <c r="A77" s="1354" t="str">
        <f>BIBLE!E35</f>
        <v>B12b</v>
      </c>
      <c r="B77" s="1998" t="str">
        <f>IF(P59&gt;=3,BIBLE!F35," ")</f>
        <v xml:space="preserve">Ces difficultés relationnelles sont-elles récentes ? </v>
      </c>
      <c r="C77" s="1711"/>
      <c r="D77" s="1976"/>
      <c r="E77" s="8"/>
      <c r="F77" s="1781"/>
      <c r="G77" s="8"/>
      <c r="H77" s="15"/>
      <c r="P77" s="1776">
        <f>'TEST_pour PROTOTYPE'!D29</f>
        <v>0</v>
      </c>
    </row>
    <row r="78" spans="1:21" ht="17" customHeight="1" x14ac:dyDescent="0.2">
      <c r="A78" s="1354"/>
      <c r="B78" s="2"/>
      <c r="C78" s="1711" t="s">
        <v>566</v>
      </c>
      <c r="D78" s="1976">
        <v>1</v>
      </c>
      <c r="E78" s="1782" t="str">
        <f>IF(P$77=D78,1,"x")</f>
        <v>x</v>
      </c>
      <c r="F78" s="1781"/>
      <c r="G78" s="8"/>
      <c r="H78" s="15"/>
    </row>
    <row r="79" spans="1:21" ht="17" customHeight="1" x14ac:dyDescent="0.2">
      <c r="A79" s="1354"/>
      <c r="B79" s="2"/>
      <c r="C79" s="1711" t="s">
        <v>567</v>
      </c>
      <c r="D79" s="1976">
        <v>2</v>
      </c>
      <c r="E79" s="1782" t="str">
        <f t="shared" ref="E79:E82" si="11">IF(P$77=D79,1,"x")</f>
        <v>x</v>
      </c>
      <c r="F79" s="1781"/>
      <c r="G79" s="8"/>
      <c r="H79" s="15"/>
    </row>
    <row r="80" spans="1:21" ht="17" customHeight="1" x14ac:dyDescent="0.2">
      <c r="A80" s="1354"/>
      <c r="B80" s="2"/>
      <c r="C80" s="1711" t="s">
        <v>237</v>
      </c>
      <c r="D80" s="1976">
        <v>3</v>
      </c>
      <c r="E80" s="1782" t="str">
        <f t="shared" si="11"/>
        <v>x</v>
      </c>
      <c r="F80" s="1781"/>
      <c r="G80" s="8"/>
      <c r="H80" s="15"/>
    </row>
    <row r="81" spans="1:44" ht="17" customHeight="1" x14ac:dyDescent="0.2">
      <c r="A81" s="1354"/>
      <c r="B81" s="2"/>
      <c r="C81" s="1711" t="s">
        <v>238</v>
      </c>
      <c r="D81" s="1976">
        <v>4</v>
      </c>
      <c r="E81" s="1782" t="str">
        <f t="shared" si="11"/>
        <v>x</v>
      </c>
      <c r="F81" s="1781"/>
      <c r="G81" s="8"/>
      <c r="H81" s="15"/>
    </row>
    <row r="82" spans="1:44" ht="17" customHeight="1" x14ac:dyDescent="0.2">
      <c r="A82" s="1354"/>
      <c r="B82" s="2"/>
      <c r="C82" s="1711" t="s">
        <v>239</v>
      </c>
      <c r="D82" s="1976">
        <v>5</v>
      </c>
      <c r="E82" s="1782" t="str">
        <f t="shared" si="11"/>
        <v>x</v>
      </c>
      <c r="F82" s="1781"/>
      <c r="G82" s="8"/>
      <c r="H82" s="15"/>
    </row>
    <row r="83" spans="1:44" ht="17" customHeight="1" x14ac:dyDescent="0.2">
      <c r="A83" s="1354"/>
      <c r="C83" s="1796"/>
      <c r="D83" s="1976"/>
      <c r="E83" s="8"/>
      <c r="F83" s="1781"/>
      <c r="G83" s="8"/>
      <c r="H83" s="15"/>
    </row>
    <row r="84" spans="1:44" ht="17" customHeight="1" x14ac:dyDescent="0.2">
      <c r="A84" s="1354" t="str">
        <f>BIBLE!E36</f>
        <v>B12c</v>
      </c>
      <c r="B84" s="1998" t="str">
        <f>IF(P59&gt;=5,BIBLE!F36," ")</f>
        <v>Est-ce qu'il y a d'autres enfants en rupture de lien ou de contact?</v>
      </c>
      <c r="C84" s="1798" t="s">
        <v>235</v>
      </c>
      <c r="D84" s="1976">
        <v>1</v>
      </c>
      <c r="E84" s="1782" t="str">
        <f>IF(P$84=D84,1,"x")</f>
        <v>x</v>
      </c>
      <c r="F84" s="1781"/>
      <c r="G84" s="8"/>
      <c r="H84" s="15"/>
      <c r="P84" s="1776">
        <f>'TEST_pour PROTOTYPE'!D30</f>
        <v>0</v>
      </c>
    </row>
    <row r="85" spans="1:44" ht="17" customHeight="1" x14ac:dyDescent="0.2">
      <c r="A85" s="1354"/>
      <c r="C85" s="1798" t="s">
        <v>236</v>
      </c>
      <c r="D85" s="1976">
        <v>0</v>
      </c>
      <c r="E85" s="1782">
        <f>IF(P$84=D85,1,"x")</f>
        <v>1</v>
      </c>
      <c r="F85" s="1781"/>
      <c r="G85" s="8"/>
      <c r="H85" s="15"/>
    </row>
    <row r="86" spans="1:44" ht="17" customHeight="1" x14ac:dyDescent="0.2">
      <c r="A86" s="1354"/>
      <c r="C86" s="1798"/>
      <c r="D86" s="1976"/>
      <c r="E86" s="283"/>
      <c r="F86" s="1781"/>
      <c r="G86" s="8"/>
      <c r="H86" s="15"/>
    </row>
    <row r="87" spans="1:44" ht="17" customHeight="1" x14ac:dyDescent="0.2">
      <c r="A87" s="1354" t="str">
        <f>BIBLE!E37</f>
        <v>B12d</v>
      </c>
      <c r="B87" s="1998" t="str">
        <f>IF(P59&gt;=5,BIBLE!F37," ")</f>
        <v>Un traumatisme vécu par vous, le coparent ou l'enfant pourrait-il expliquer la rupture de contact ou de lien avec votre enfant ? Choix multiples</v>
      </c>
      <c r="C87" s="1711"/>
      <c r="D87" s="1976"/>
      <c r="E87" s="8"/>
      <c r="F87" s="1781"/>
      <c r="G87" s="8"/>
      <c r="H87" s="15"/>
      <c r="O87" s="2" t="s">
        <v>1617</v>
      </c>
      <c r="P87" s="1776">
        <f>SUM(P88:P92)</f>
        <v>0</v>
      </c>
    </row>
    <row r="88" spans="1:44" ht="35" customHeight="1" x14ac:dyDescent="0.3">
      <c r="A88" s="1354" t="str">
        <f>A93</f>
        <v>B12d</v>
      </c>
      <c r="C88" s="1799" t="s">
        <v>1493</v>
      </c>
      <c r="D88" s="1775">
        <v>1</v>
      </c>
      <c r="E88" s="51">
        <f>'TEST_pour PROTOTYPE'!D31</f>
        <v>0</v>
      </c>
      <c r="F88" s="1781"/>
      <c r="G88" s="8"/>
      <c r="H88" s="15"/>
      <c r="P88" s="1792">
        <f>D88*E88</f>
        <v>0</v>
      </c>
      <c r="AE88" s="2211" t="s">
        <v>1261</v>
      </c>
      <c r="AF88" s="2221" t="s">
        <v>2103</v>
      </c>
      <c r="AG88" s="2057"/>
      <c r="AH88" s="2218" t="s">
        <v>1262</v>
      </c>
      <c r="AI88" s="2219"/>
      <c r="AJ88" s="2220"/>
      <c r="AK88" s="2206" t="s">
        <v>1263</v>
      </c>
      <c r="AL88" s="2207"/>
      <c r="AM88" s="2207"/>
      <c r="AN88" s="2207"/>
      <c r="AO88" s="2207"/>
      <c r="AP88" s="2207"/>
      <c r="AQ88" s="2207"/>
      <c r="AR88" s="2208"/>
    </row>
    <row r="89" spans="1:44" ht="35" customHeight="1" x14ac:dyDescent="0.2">
      <c r="A89" s="1354" t="str">
        <f t="shared" ref="A89:A92" si="12">A88</f>
        <v>B12d</v>
      </c>
      <c r="C89" s="1799" t="s">
        <v>1494</v>
      </c>
      <c r="D89" s="1775">
        <v>2</v>
      </c>
      <c r="E89" s="51">
        <f>'TEST_pour PROTOTYPE'!D32</f>
        <v>0</v>
      </c>
      <c r="F89" s="1781"/>
      <c r="G89" s="8"/>
      <c r="H89" s="15"/>
      <c r="P89" s="1792">
        <f t="shared" ref="P89:P92" si="13">D89*E89</f>
        <v>0</v>
      </c>
      <c r="AE89" s="2212"/>
      <c r="AF89" s="2222"/>
      <c r="AG89" s="2048"/>
      <c r="AH89" s="2209" t="s">
        <v>1258</v>
      </c>
      <c r="AI89" s="2216" t="s">
        <v>1259</v>
      </c>
      <c r="AJ89" s="2214" t="s">
        <v>1260</v>
      </c>
      <c r="AK89" s="2209" t="s">
        <v>55</v>
      </c>
      <c r="AL89" s="2202" t="s">
        <v>97</v>
      </c>
      <c r="AM89" s="2202" t="s">
        <v>69</v>
      </c>
      <c r="AN89" s="2202" t="s">
        <v>62</v>
      </c>
      <c r="AO89" s="2202" t="s">
        <v>44</v>
      </c>
      <c r="AP89" s="2202" t="s">
        <v>65</v>
      </c>
      <c r="AQ89" s="2202" t="s">
        <v>84</v>
      </c>
      <c r="AR89" s="2204" t="s">
        <v>149</v>
      </c>
    </row>
    <row r="90" spans="1:44" ht="35" customHeight="1" x14ac:dyDescent="0.2">
      <c r="A90" s="1354" t="str">
        <f t="shared" si="12"/>
        <v>B12d</v>
      </c>
      <c r="C90" s="1799" t="s">
        <v>1495</v>
      </c>
      <c r="D90" s="1775">
        <v>3</v>
      </c>
      <c r="E90" s="51">
        <f>'TEST_pour PROTOTYPE'!D33</f>
        <v>0</v>
      </c>
      <c r="F90" s="1781"/>
      <c r="G90" s="8"/>
      <c r="H90" s="15"/>
      <c r="P90" s="1792">
        <f t="shared" si="13"/>
        <v>0</v>
      </c>
      <c r="AE90" s="2212"/>
      <c r="AF90" s="2222"/>
      <c r="AG90" s="2048"/>
      <c r="AH90" s="2209"/>
      <c r="AI90" s="2216"/>
      <c r="AJ90" s="2214"/>
      <c r="AK90" s="2209"/>
      <c r="AL90" s="2202"/>
      <c r="AM90" s="2202"/>
      <c r="AN90" s="2202"/>
      <c r="AO90" s="2202"/>
      <c r="AP90" s="2202"/>
      <c r="AQ90" s="2202"/>
      <c r="AR90" s="2204"/>
    </row>
    <row r="91" spans="1:44" ht="35" customHeight="1" x14ac:dyDescent="0.2">
      <c r="A91" s="1354" t="str">
        <f t="shared" si="12"/>
        <v>B12d</v>
      </c>
      <c r="C91" s="1799" t="s">
        <v>1496</v>
      </c>
      <c r="D91" s="1775">
        <v>4</v>
      </c>
      <c r="E91" s="51">
        <f>'TEST_pour PROTOTYPE'!D34</f>
        <v>0</v>
      </c>
      <c r="F91" s="1781"/>
      <c r="G91" s="8"/>
      <c r="H91" s="15"/>
      <c r="P91" s="1792">
        <f t="shared" si="13"/>
        <v>0</v>
      </c>
      <c r="AE91" s="2212"/>
      <c r="AF91" s="2222"/>
      <c r="AG91" s="2048"/>
      <c r="AH91" s="2209"/>
      <c r="AI91" s="2216"/>
      <c r="AJ91" s="2214"/>
      <c r="AK91" s="2209"/>
      <c r="AL91" s="2202"/>
      <c r="AM91" s="2202"/>
      <c r="AN91" s="2202"/>
      <c r="AO91" s="2202"/>
      <c r="AP91" s="2202"/>
      <c r="AQ91" s="2202"/>
      <c r="AR91" s="2204"/>
    </row>
    <row r="92" spans="1:44" ht="33" customHeight="1" x14ac:dyDescent="0.2">
      <c r="A92" s="1354" t="str">
        <f t="shared" si="12"/>
        <v>B12d</v>
      </c>
      <c r="C92" s="1799" t="s">
        <v>1577</v>
      </c>
      <c r="D92" s="1775">
        <v>5</v>
      </c>
      <c r="E92" s="51">
        <f>'TEST_pour PROTOTYPE'!D35</f>
        <v>0</v>
      </c>
      <c r="F92" s="1781"/>
      <c r="G92" s="8"/>
      <c r="H92" s="15"/>
      <c r="P92" s="1792">
        <f t="shared" si="13"/>
        <v>0</v>
      </c>
      <c r="AE92" s="2212"/>
      <c r="AF92" s="2222"/>
      <c r="AG92" s="2048"/>
      <c r="AH92" s="2209"/>
      <c r="AI92" s="2216"/>
      <c r="AJ92" s="2214"/>
      <c r="AK92" s="2209"/>
      <c r="AL92" s="2202"/>
      <c r="AM92" s="2202"/>
      <c r="AN92" s="2202"/>
      <c r="AO92" s="2202"/>
      <c r="AP92" s="2202"/>
      <c r="AQ92" s="2202"/>
      <c r="AR92" s="2204"/>
    </row>
    <row r="93" spans="1:44" ht="33" customHeight="1" x14ac:dyDescent="0.2">
      <c r="A93" s="1354" t="str">
        <f>A87</f>
        <v>B12d</v>
      </c>
      <c r="B93" s="1997"/>
      <c r="C93" s="1800" t="s">
        <v>1859</v>
      </c>
      <c r="D93" s="1775">
        <v>0</v>
      </c>
      <c r="E93" s="51">
        <f>'TEST_pour PROTOTYPE'!D36</f>
        <v>0</v>
      </c>
      <c r="F93" s="1781"/>
      <c r="G93" s="8"/>
      <c r="H93" s="15"/>
      <c r="P93" s="1792">
        <f>D93*E93</f>
        <v>0</v>
      </c>
      <c r="AE93" s="2212"/>
      <c r="AF93" s="2222"/>
      <c r="AG93" s="2048"/>
      <c r="AH93" s="2209"/>
      <c r="AI93" s="2216"/>
      <c r="AJ93" s="2214"/>
      <c r="AK93" s="2209"/>
      <c r="AL93" s="2202"/>
      <c r="AM93" s="2202"/>
      <c r="AN93" s="2202"/>
      <c r="AO93" s="2202"/>
      <c r="AP93" s="2202"/>
      <c r="AQ93" s="2202"/>
      <c r="AR93" s="2204"/>
    </row>
    <row r="94" spans="1:44" ht="25" customHeight="1" x14ac:dyDescent="0.2">
      <c r="A94" s="1354" t="str">
        <f>A92</f>
        <v>B12d</v>
      </c>
      <c r="C94" s="1872" t="s">
        <v>252</v>
      </c>
      <c r="D94" s="1873" t="s">
        <v>1492</v>
      </c>
      <c r="E94" s="51"/>
      <c r="F94" s="8"/>
      <c r="G94" s="8"/>
      <c r="H94" s="1781"/>
      <c r="I94" s="8"/>
      <c r="J94" s="15"/>
      <c r="P94" s="1792"/>
      <c r="AE94" s="2213"/>
      <c r="AF94" s="2223"/>
      <c r="AG94" s="2049"/>
      <c r="AH94" s="2210"/>
      <c r="AI94" s="2217"/>
      <c r="AJ94" s="2215"/>
      <c r="AK94" s="2210"/>
      <c r="AL94" s="2203"/>
      <c r="AM94" s="2203"/>
      <c r="AN94" s="2203"/>
      <c r="AO94" s="2203"/>
      <c r="AP94" s="2203"/>
      <c r="AQ94" s="2203"/>
      <c r="AR94" s="2205"/>
    </row>
    <row r="95" spans="1:44" ht="25" customHeight="1" x14ac:dyDescent="0.2">
      <c r="A95" s="74"/>
      <c r="AE95" s="511"/>
      <c r="AF95" s="2050"/>
      <c r="AG95" s="2050"/>
      <c r="AH95" s="23"/>
      <c r="AI95" s="23"/>
      <c r="AJ95" s="23"/>
      <c r="AK95" s="1458"/>
      <c r="AL95" s="1458"/>
      <c r="AM95" s="1458"/>
      <c r="AN95" s="1458"/>
      <c r="AO95" s="1458"/>
      <c r="AP95" s="1458"/>
      <c r="AQ95" s="1458"/>
      <c r="AR95" s="1458"/>
    </row>
    <row r="96" spans="1:44" x14ac:dyDescent="0.2">
      <c r="A96" s="74"/>
      <c r="C96" s="17"/>
      <c r="E96" s="2226" t="s">
        <v>240</v>
      </c>
      <c r="F96" s="2226"/>
      <c r="G96" s="2226"/>
      <c r="H96" s="2226"/>
      <c r="I96" s="2226"/>
      <c r="J96" s="2226"/>
      <c r="K96" s="2226"/>
      <c r="AE96" s="512"/>
      <c r="AF96" s="52"/>
      <c r="AG96" s="52"/>
      <c r="AH96" s="92"/>
      <c r="AI96" s="92"/>
      <c r="AJ96" s="92"/>
      <c r="AK96" s="743"/>
      <c r="AL96" s="743"/>
      <c r="AM96" s="743"/>
      <c r="AN96" s="743"/>
      <c r="AO96" s="743"/>
      <c r="AP96" s="743"/>
      <c r="AQ96" s="743"/>
      <c r="AR96" s="743"/>
    </row>
    <row r="97" spans="1:61" s="7" customFormat="1" ht="26" customHeight="1" thickBot="1" x14ac:dyDescent="0.25">
      <c r="A97" s="301" t="s">
        <v>241</v>
      </c>
      <c r="C97" s="92"/>
      <c r="D97" s="289" t="s">
        <v>22</v>
      </c>
      <c r="E97" s="76">
        <v>0</v>
      </c>
      <c r="F97" s="76">
        <v>1</v>
      </c>
      <c r="G97" s="76">
        <v>2</v>
      </c>
      <c r="H97" s="76">
        <v>3</v>
      </c>
      <c r="I97" s="76">
        <v>4</v>
      </c>
      <c r="J97" s="76">
        <v>5</v>
      </c>
      <c r="K97" s="76">
        <v>6</v>
      </c>
      <c r="L97" s="76">
        <v>7</v>
      </c>
      <c r="M97" s="76">
        <v>8</v>
      </c>
      <c r="N97" s="76">
        <v>9</v>
      </c>
      <c r="O97" s="76">
        <v>10</v>
      </c>
      <c r="P97" s="77" t="s">
        <v>232</v>
      </c>
      <c r="Q97" s="77" t="s">
        <v>233</v>
      </c>
      <c r="R97" s="77" t="s">
        <v>242</v>
      </c>
      <c r="S97" s="156"/>
      <c r="T97" s="156"/>
      <c r="U97" s="156"/>
      <c r="V97" s="17" t="s">
        <v>521</v>
      </c>
      <c r="W97" s="156"/>
      <c r="X97" s="8"/>
      <c r="Y97" s="8"/>
      <c r="Z97" s="8"/>
      <c r="AA97" s="8"/>
      <c r="AB97" s="8"/>
      <c r="AC97" s="8"/>
      <c r="AE97" s="513"/>
      <c r="AF97" s="2051"/>
      <c r="AG97" s="2051"/>
      <c r="AH97" s="499"/>
      <c r="AI97" s="499"/>
      <c r="AJ97" s="499"/>
      <c r="AK97" s="1459"/>
      <c r="AL97" s="1459"/>
      <c r="AM97" s="1459"/>
      <c r="AN97" s="1459"/>
      <c r="AO97" s="1459"/>
      <c r="AP97" s="1459"/>
      <c r="AQ97" s="1459"/>
      <c r="AR97" s="1459"/>
    </row>
    <row r="98" spans="1:61" s="7" customFormat="1" ht="18" thickTop="1" x14ac:dyDescent="0.2">
      <c r="A98" s="1355" t="str">
        <f>BIBLE!E40</f>
        <v>H01</v>
      </c>
      <c r="B98" s="285" t="str">
        <f>BIBLE!F40</f>
        <v xml:space="preserve">Quel était le degré de complicité entre vous et votre enfant ? </v>
      </c>
      <c r="C98" s="498" t="str">
        <f>BIBLE!O40</f>
        <v>Aucune (1) à Excellente (10)</v>
      </c>
      <c r="D98" s="1978">
        <f>BIBLE!L40</f>
        <v>1</v>
      </c>
      <c r="E98" s="19"/>
      <c r="F98" s="19"/>
      <c r="G98" s="19"/>
      <c r="H98" s="19"/>
      <c r="I98" s="19"/>
      <c r="J98" s="19"/>
      <c r="K98" s="19"/>
      <c r="L98" s="19"/>
      <c r="M98" s="19"/>
      <c r="N98" s="19"/>
      <c r="O98" s="19">
        <v>1</v>
      </c>
      <c r="P98" s="1779">
        <f>'TEST_pour PROTOTYPE'!D49</f>
        <v>9</v>
      </c>
      <c r="Q98" s="25">
        <f>P98*D98</f>
        <v>9</v>
      </c>
      <c r="R98" s="8" t="str">
        <f>IF(BIBLE!K40=0,"",BIBLE!K40)</f>
        <v/>
      </c>
      <c r="V98" s="17" t="s">
        <v>524</v>
      </c>
      <c r="X98" s="8"/>
      <c r="Y98" s="8"/>
      <c r="Z98" s="8"/>
      <c r="AA98" s="8"/>
      <c r="AB98" s="8"/>
      <c r="AC98" s="8"/>
      <c r="AE98" s="513"/>
      <c r="AF98" s="2051"/>
      <c r="AG98" s="2051"/>
      <c r="AH98" s="499"/>
      <c r="AI98" s="499"/>
      <c r="AJ98" s="499"/>
      <c r="AK98" s="1459"/>
      <c r="AL98" s="1459"/>
      <c r="AM98" s="1459"/>
      <c r="AN98" s="1459"/>
      <c r="AO98" s="1459"/>
      <c r="AP98" s="1459"/>
      <c r="AQ98" s="1459"/>
      <c r="AR98" s="1459"/>
    </row>
    <row r="99" spans="1:61" s="7" customFormat="1" ht="34" x14ac:dyDescent="0.2">
      <c r="A99" s="1355" t="str">
        <f>BIBLE!E41</f>
        <v>H02</v>
      </c>
      <c r="B99" s="286" t="str">
        <f>BIBLE!F41</f>
        <v>Dans quelle mesure diriez-vous que votre enfant vous confiait ses joies, ses peines ou questionnements divers ?</v>
      </c>
      <c r="C99" s="498" t="str">
        <f>BIBLE!O41</f>
        <v>Aucune (1) à Excellente (10)</v>
      </c>
      <c r="D99" s="1978">
        <f>BIBLE!L41</f>
        <v>1</v>
      </c>
      <c r="E99" s="20"/>
      <c r="F99" s="20"/>
      <c r="G99" s="20"/>
      <c r="H99" s="20"/>
      <c r="I99" s="20"/>
      <c r="J99" s="20"/>
      <c r="K99" s="20"/>
      <c r="L99" s="20"/>
      <c r="M99" s="20"/>
      <c r="N99" s="20"/>
      <c r="O99" s="20">
        <v>1</v>
      </c>
      <c r="P99" s="1779">
        <f>'TEST_pour PROTOTYPE'!D50</f>
        <v>7</v>
      </c>
      <c r="Q99" s="25">
        <f>P99*D99</f>
        <v>7</v>
      </c>
      <c r="R99" s="8" t="str">
        <f>IF(BIBLE!K41=0,"",BIBLE!K41)</f>
        <v/>
      </c>
      <c r="V99" s="17" t="s">
        <v>525</v>
      </c>
      <c r="X99" s="8"/>
      <c r="Y99" s="8"/>
      <c r="Z99" s="8"/>
      <c r="AA99" s="8"/>
      <c r="AB99" s="8"/>
      <c r="AC99" s="8"/>
      <c r="AE99" s="513"/>
      <c r="AF99" s="2051"/>
      <c r="AG99" s="2051"/>
      <c r="AH99" s="499"/>
      <c r="AI99" s="499"/>
      <c r="AJ99" s="499"/>
      <c r="AK99" s="1459"/>
      <c r="AL99" s="1459"/>
      <c r="AM99" s="1459"/>
      <c r="AN99" s="1459"/>
      <c r="AO99" s="1459"/>
      <c r="AP99" s="1459"/>
      <c r="AQ99" s="1459"/>
      <c r="AR99" s="1459"/>
    </row>
    <row r="100" spans="1:61" s="7" customFormat="1" ht="34" x14ac:dyDescent="0.2">
      <c r="A100" s="1355" t="str">
        <f>BIBLE!E42</f>
        <v>H04</v>
      </c>
      <c r="B100" s="286" t="str">
        <f>BIBLE!F42</f>
        <v>Quel était le degré de complicité entre votre enfant et l'autre parent ?</v>
      </c>
      <c r="C100" s="498" t="str">
        <f>BIBLE!O42</f>
        <v>Aucune (1) à Excellente (10)</v>
      </c>
      <c r="D100" s="1978">
        <f>BIBLE!L42</f>
        <v>1</v>
      </c>
      <c r="E100" s="53"/>
      <c r="F100" s="53"/>
      <c r="G100" s="53"/>
      <c r="H100" s="53"/>
      <c r="I100" s="53"/>
      <c r="J100" s="53"/>
      <c r="K100" s="19"/>
      <c r="L100" s="53"/>
      <c r="M100" s="53"/>
      <c r="N100" s="53"/>
      <c r="O100" s="53"/>
      <c r="P100" s="1779">
        <f>'TEST_pour PROTOTYPE'!D51</f>
        <v>4</v>
      </c>
      <c r="Q100" s="25">
        <f>P100*D100</f>
        <v>4</v>
      </c>
      <c r="R100" s="8">
        <f>IF(BIBLE!K42=0,"",BIBLE!K42)</f>
        <v>6</v>
      </c>
      <c r="S100" s="1482"/>
      <c r="V100" s="17"/>
      <c r="X100" s="8"/>
      <c r="Y100" s="8"/>
      <c r="Z100" s="8"/>
      <c r="AA100" s="8"/>
      <c r="AB100" s="8"/>
      <c r="AC100" s="8"/>
      <c r="AE100" s="513"/>
      <c r="AF100" s="2051"/>
      <c r="AG100" s="2051"/>
      <c r="AH100" s="499"/>
      <c r="AI100" s="499"/>
      <c r="AJ100" s="499"/>
      <c r="AK100" s="1459"/>
      <c r="AL100" s="1459"/>
      <c r="AM100" s="1459"/>
      <c r="AN100" s="1459"/>
      <c r="AO100" s="1459"/>
      <c r="AP100" s="1459"/>
      <c r="AQ100" s="1459"/>
      <c r="AR100" s="1459"/>
    </row>
    <row r="101" spans="1:61" s="7" customFormat="1" ht="17" x14ac:dyDescent="0.2">
      <c r="A101" s="1355" t="str">
        <f>BIBLE!E43</f>
        <v>H04a</v>
      </c>
      <c r="B101" s="127" t="str">
        <f>IF(P100&gt;=$R$100,BIBLE!F43," ")</f>
        <v xml:space="preserve"> </v>
      </c>
      <c r="C101" s="498" t="str">
        <f>BIBLE!O43</f>
        <v>Aucune (1) à Excellente (10)</v>
      </c>
      <c r="D101" s="1978">
        <f>BIBLE!L43</f>
        <v>1</v>
      </c>
      <c r="E101" s="8"/>
      <c r="F101" s="8"/>
      <c r="G101" s="8"/>
      <c r="H101" s="8"/>
      <c r="I101" s="8"/>
      <c r="J101" s="8"/>
      <c r="K101" s="8"/>
      <c r="P101" s="1779">
        <f>'TEST_pour PROTOTYPE'!D52</f>
        <v>0</v>
      </c>
      <c r="Q101" s="25">
        <f>P101*D101</f>
        <v>0</v>
      </c>
      <c r="R101" s="8">
        <f>IF(BIBLE!K43=0,"",BIBLE!K43)</f>
        <v>5</v>
      </c>
      <c r="S101" s="1482"/>
      <c r="X101" s="8"/>
      <c r="Y101" s="8"/>
      <c r="Z101" s="8"/>
      <c r="AA101" s="8"/>
      <c r="AB101" s="8"/>
      <c r="AC101" s="8"/>
      <c r="AE101" s="513"/>
      <c r="AF101" s="2051"/>
      <c r="AG101" s="2051"/>
      <c r="AH101" s="499"/>
      <c r="AI101" s="499"/>
      <c r="AJ101" s="499"/>
      <c r="AK101" s="1459"/>
      <c r="AL101" s="1459"/>
      <c r="AM101" s="1459"/>
      <c r="AN101" s="1459"/>
      <c r="AO101" s="1459"/>
      <c r="AP101" s="1459"/>
      <c r="AQ101" s="1459"/>
      <c r="AR101" s="1459"/>
    </row>
    <row r="102" spans="1:61" s="7" customFormat="1" ht="30" customHeight="1" x14ac:dyDescent="0.2">
      <c r="A102" s="1355" t="str">
        <f>BIBLE!E44</f>
        <v>H04a1</v>
      </c>
      <c r="B102" s="127" t="str">
        <f>IF(P101&gt;=$R$101,BIBLE!F44," ")</f>
        <v xml:space="preserve"> </v>
      </c>
      <c r="C102" s="498" t="str">
        <f>BIBLE!O44</f>
        <v>Aucune (1) à Excellente (10)</v>
      </c>
      <c r="D102" s="1978">
        <f>BIBLE!L44</f>
        <v>1</v>
      </c>
      <c r="E102" s="19"/>
      <c r="F102" s="19"/>
      <c r="G102" s="19"/>
      <c r="H102" s="19"/>
      <c r="I102" s="19"/>
      <c r="J102" s="19"/>
      <c r="K102" s="19"/>
      <c r="L102" s="19"/>
      <c r="M102" s="19"/>
      <c r="N102" s="19"/>
      <c r="O102" s="19"/>
      <c r="P102" s="1779">
        <f>'TEST_pour PROTOTYPE'!D53</f>
        <v>0</v>
      </c>
      <c r="Q102" s="25">
        <f>P102*D102</f>
        <v>0</v>
      </c>
      <c r="R102" s="8" t="str">
        <f>IF(BIBLE!K44=0,"",BIBLE!K44)</f>
        <v/>
      </c>
      <c r="V102" s="17" t="s">
        <v>522</v>
      </c>
      <c r="X102" s="8"/>
      <c r="Y102" s="8"/>
      <c r="Z102" s="8"/>
      <c r="AA102" s="8"/>
      <c r="AB102" s="8"/>
      <c r="AC102" s="8"/>
      <c r="AE102" s="513"/>
      <c r="AF102" s="2051"/>
      <c r="AG102" s="2051"/>
      <c r="AH102" s="499"/>
      <c r="AI102" s="499"/>
      <c r="AJ102" s="499"/>
      <c r="AK102" s="1459"/>
      <c r="AL102" s="1459"/>
      <c r="AM102" s="1459"/>
      <c r="AN102" s="1459"/>
      <c r="AO102" s="1459"/>
      <c r="AP102" s="1459"/>
      <c r="AQ102" s="1459"/>
      <c r="AR102" s="1459"/>
    </row>
    <row r="103" spans="1:61" s="7" customFormat="1" ht="17" thickBot="1" x14ac:dyDescent="0.25">
      <c r="A103" s="1355"/>
      <c r="B103" s="297"/>
      <c r="C103" s="499"/>
      <c r="D103" s="1978"/>
      <c r="E103" s="507">
        <f>$E$52</f>
        <v>0</v>
      </c>
      <c r="F103" s="300">
        <f>$F$52</f>
        <v>0</v>
      </c>
      <c r="G103" s="300">
        <f>$G$52</f>
        <v>1</v>
      </c>
      <c r="H103" s="300">
        <f>$H$52</f>
        <v>2</v>
      </c>
      <c r="I103" s="300">
        <f>$I$52</f>
        <v>4</v>
      </c>
      <c r="J103" s="300">
        <f>$J$52</f>
        <v>7</v>
      </c>
      <c r="K103" s="300">
        <f>$K$52</f>
        <v>10</v>
      </c>
      <c r="L103" s="156"/>
      <c r="M103" s="156"/>
      <c r="N103" s="156"/>
      <c r="P103" s="1779"/>
      <c r="Q103" s="25"/>
      <c r="S103" s="1482"/>
      <c r="X103" s="8"/>
      <c r="Y103" s="8"/>
      <c r="Z103" s="8"/>
      <c r="AA103" s="8"/>
      <c r="AB103" s="8"/>
      <c r="AC103" s="8"/>
      <c r="AE103" s="513"/>
      <c r="AF103" s="2051"/>
      <c r="AG103" s="2051"/>
      <c r="AH103" s="499"/>
      <c r="AI103" s="499"/>
      <c r="AJ103" s="499"/>
      <c r="AK103" s="1459"/>
      <c r="AL103" s="1459"/>
      <c r="AM103" s="1459"/>
      <c r="AN103" s="1459"/>
      <c r="AO103" s="1459"/>
      <c r="AP103" s="1459"/>
      <c r="AQ103" s="1459"/>
      <c r="AR103" s="1459"/>
    </row>
    <row r="104" spans="1:61" s="7" customFormat="1" ht="61" thickTop="1" x14ac:dyDescent="0.2">
      <c r="A104" s="1355" t="str">
        <f>BIBLE!E45</f>
        <v>H05</v>
      </c>
      <c r="B104" s="26" t="str">
        <f>BIBLE!F45</f>
        <v>Arrivait-il que l'autre parent vous critique ou vous dénigre devant votre enfant ?</v>
      </c>
      <c r="C104" s="498" t="str">
        <f>BIBLE!O45</f>
        <v xml:space="preserve">Jamais / Rarement / Occasionnellement / Régulièrement / Souvent / Toujours / S.O. </v>
      </c>
      <c r="D104" s="1978">
        <f>BIBLE!L45</f>
        <v>2</v>
      </c>
      <c r="E104" s="20"/>
      <c r="F104" s="20"/>
      <c r="G104" s="20">
        <v>1</v>
      </c>
      <c r="H104" s="20"/>
      <c r="I104" s="20"/>
      <c r="J104" s="20"/>
      <c r="K104" s="20"/>
      <c r="L104" s="20"/>
      <c r="M104" s="20"/>
      <c r="N104" s="20"/>
      <c r="O104" s="20"/>
      <c r="P104" s="1779">
        <f>'TEST_pour PROTOTYPE'!D54</f>
        <v>1</v>
      </c>
      <c r="Q104" s="25">
        <f>P104*D104</f>
        <v>2</v>
      </c>
      <c r="R104" s="8">
        <f>IF(BIBLE!K45=0,"",BIBLE!K45)</f>
        <v>2</v>
      </c>
      <c r="S104" s="1482"/>
      <c r="X104" s="8"/>
      <c r="Y104" s="8"/>
      <c r="Z104" s="8"/>
      <c r="AA104" s="8"/>
      <c r="AB104" s="8"/>
      <c r="AC104" s="8"/>
      <c r="AE104" s="513"/>
      <c r="AF104" s="2051"/>
      <c r="AG104" s="2051"/>
      <c r="AH104" s="499"/>
      <c r="AI104" s="499"/>
      <c r="AJ104" s="499"/>
      <c r="AK104" s="1459"/>
      <c r="AL104" s="1459"/>
      <c r="AM104" s="1459"/>
      <c r="AN104" s="1459"/>
      <c r="AO104" s="1459"/>
      <c r="AP104" s="1459"/>
      <c r="AQ104" s="1459"/>
      <c r="AR104" s="1459"/>
    </row>
    <row r="105" spans="1:61" s="7" customFormat="1" ht="60" x14ac:dyDescent="0.2">
      <c r="A105" s="1355" t="str">
        <f>BIBLE!E46</f>
        <v>H05a</v>
      </c>
      <c r="B105" s="1373" t="str">
        <f>IF(P104&gt;=R104,BIBLE!F46," ")</f>
        <v xml:space="preserve"> </v>
      </c>
      <c r="C105" s="498" t="str">
        <f>BIBLE!O46</f>
        <v xml:space="preserve">Jamais / Rarement / Occasionnellement / Régulièrement / Souvent / Toujours / S.O. </v>
      </c>
      <c r="D105" s="1978">
        <f>BIBLE!L46</f>
        <v>3</v>
      </c>
      <c r="E105" s="20"/>
      <c r="F105" s="69"/>
      <c r="G105" s="20">
        <v>1</v>
      </c>
      <c r="H105" s="69"/>
      <c r="I105" s="20"/>
      <c r="J105" s="20"/>
      <c r="K105" s="20"/>
      <c r="L105" s="89"/>
      <c r="M105" s="6"/>
      <c r="N105" s="8"/>
      <c r="P105" s="1779">
        <f>'TEST_pour PROTOTYPE'!D55</f>
        <v>0</v>
      </c>
      <c r="Q105" s="25">
        <f>P105*D105</f>
        <v>0</v>
      </c>
      <c r="R105" s="8"/>
      <c r="X105" s="8"/>
      <c r="Y105" s="8"/>
      <c r="Z105" s="8"/>
      <c r="AA105" s="8"/>
      <c r="AB105" s="8"/>
      <c r="AC105" s="8"/>
      <c r="AE105" s="484">
        <f>Q105</f>
        <v>0</v>
      </c>
      <c r="AF105" s="2052"/>
      <c r="AG105" s="2052"/>
      <c r="AH105" s="25"/>
      <c r="AI105" s="25"/>
      <c r="AJ105" s="25"/>
      <c r="AK105" s="1460"/>
      <c r="AL105" s="1460"/>
      <c r="AM105" s="1460"/>
      <c r="AN105" s="1460"/>
      <c r="AO105" s="1460"/>
      <c r="AP105" s="1460"/>
      <c r="AQ105" s="1460"/>
      <c r="AR105" s="1460"/>
    </row>
    <row r="106" spans="1:61" s="7" customFormat="1" ht="58" customHeight="1" x14ac:dyDescent="0.2">
      <c r="A106" s="1355" t="str">
        <f>BIBLE!E47</f>
        <v>H06</v>
      </c>
      <c r="B106" s="285" t="str">
        <f>BIBLE!F47</f>
        <v xml:space="preserve">Dans quelle mesure diriez-vous que l'autre parent percevait votre rôle parental aussi important que le sien ? </v>
      </c>
      <c r="C106" s="498" t="str">
        <f>BIBLE!O47</f>
        <v>Très élevée / Élevée / Moyenne / Faible / Très faible / Nulle / S.O.</v>
      </c>
      <c r="D106" s="1978">
        <f>BIBLE!L47</f>
        <v>1</v>
      </c>
      <c r="E106" s="20"/>
      <c r="F106" s="69">
        <v>1</v>
      </c>
      <c r="G106" s="20"/>
      <c r="H106" s="69"/>
      <c r="I106" s="20"/>
      <c r="J106" s="20"/>
      <c r="K106" s="20"/>
      <c r="L106" s="20"/>
      <c r="M106" s="20"/>
      <c r="N106" s="20"/>
      <c r="O106" s="20"/>
      <c r="P106" s="1779">
        <f>'TEST_pour PROTOTYPE'!D56</f>
        <v>2</v>
      </c>
      <c r="Q106" s="25">
        <f>P106*D106</f>
        <v>2</v>
      </c>
      <c r="R106" s="8">
        <f>IF(BIBLE!K47=0,"",BIBLE!K47)</f>
        <v>4</v>
      </c>
      <c r="V106" s="8"/>
      <c r="X106" s="8"/>
      <c r="Y106" s="8"/>
      <c r="Z106" s="8"/>
      <c r="AA106" s="8"/>
      <c r="AB106" s="8"/>
      <c r="AC106" s="8"/>
      <c r="AE106" s="513"/>
      <c r="AF106" s="2051"/>
      <c r="AG106" s="2051"/>
      <c r="AH106" s="499"/>
      <c r="AI106" s="499"/>
      <c r="AJ106" s="499"/>
      <c r="AK106" s="1459"/>
      <c r="AL106" s="1459"/>
      <c r="AM106" s="1459"/>
      <c r="AN106" s="1459"/>
      <c r="AO106" s="1459"/>
      <c r="AP106" s="1459"/>
      <c r="AQ106" s="1459"/>
      <c r="AR106" s="1459"/>
    </row>
    <row r="107" spans="1:61" s="7" customFormat="1" ht="44" customHeight="1" x14ac:dyDescent="0.2">
      <c r="A107" s="1355" t="str">
        <f>BIBLE!E48</f>
        <v>H06a</v>
      </c>
      <c r="B107" s="1373" t="str">
        <f>IF(P106&gt;=R106,BIBLE!F48," ")</f>
        <v xml:space="preserve"> </v>
      </c>
      <c r="C107" s="498" t="str">
        <f>BIBLE!O48</f>
        <v xml:space="preserve">Jamais / Rarement / Occasionnellement / Régulièrement / Souvent / Toujours / S.O. </v>
      </c>
      <c r="D107" s="1978">
        <f>BIBLE!L48</f>
        <v>3</v>
      </c>
      <c r="E107" s="8"/>
      <c r="F107" s="8"/>
      <c r="G107" s="8"/>
      <c r="H107" s="8"/>
      <c r="I107" s="8"/>
      <c r="J107" s="8"/>
      <c r="K107" s="8"/>
      <c r="L107" s="8"/>
      <c r="M107" s="8"/>
      <c r="N107" s="8"/>
      <c r="O107" s="8"/>
      <c r="P107" s="1779">
        <f>'TEST_pour PROTOTYPE'!D57</f>
        <v>0</v>
      </c>
      <c r="Q107" s="25">
        <f>P107*D107</f>
        <v>0</v>
      </c>
      <c r="R107" s="8"/>
      <c r="V107" s="8"/>
      <c r="X107" s="8"/>
      <c r="Y107" s="8"/>
      <c r="Z107" s="8"/>
      <c r="AA107" s="8"/>
      <c r="AB107" s="8"/>
      <c r="AC107" s="8"/>
      <c r="AE107" s="484">
        <f>Q107</f>
        <v>0</v>
      </c>
      <c r="AF107" s="2052"/>
      <c r="AG107" s="2052"/>
      <c r="AH107" s="25"/>
      <c r="AI107" s="25"/>
      <c r="AJ107" s="25"/>
      <c r="AK107" s="1460"/>
      <c r="AL107" s="1460"/>
      <c r="AM107" s="1460"/>
      <c r="AN107" s="1460"/>
      <c r="AO107" s="1460"/>
      <c r="AP107" s="1460"/>
      <c r="AQ107" s="1460"/>
      <c r="AR107" s="1460"/>
    </row>
    <row r="108" spans="1:61" s="8" customFormat="1" ht="27" customHeight="1" x14ac:dyDescent="0.2">
      <c r="A108" s="284"/>
      <c r="B108" s="71"/>
      <c r="C108" s="302"/>
      <c r="D108" s="292"/>
      <c r="E108" s="2226" t="s">
        <v>240</v>
      </c>
      <c r="F108" s="2226"/>
      <c r="G108" s="2226"/>
      <c r="H108" s="2226"/>
      <c r="I108" s="2226"/>
      <c r="J108" s="2226"/>
      <c r="K108" s="2226"/>
      <c r="L108"/>
      <c r="M108"/>
      <c r="N108"/>
      <c r="O108"/>
      <c r="P108"/>
      <c r="Q108"/>
      <c r="R108"/>
      <c r="X108" s="2199" t="s">
        <v>405</v>
      </c>
      <c r="Y108" s="2199"/>
      <c r="Z108" s="2199"/>
      <c r="AA108" s="2199"/>
      <c r="AB108" s="2199"/>
      <c r="AC108" s="2199"/>
      <c r="AE108" s="511"/>
      <c r="AF108" s="2050"/>
      <c r="AG108" s="2050"/>
      <c r="AH108" s="23"/>
      <c r="AI108" s="23"/>
      <c r="AJ108" s="23"/>
      <c r="AK108" s="1458"/>
      <c r="AL108" s="1458"/>
      <c r="AM108" s="1458"/>
      <c r="AN108" s="1458"/>
      <c r="AO108" s="1458"/>
      <c r="AP108" s="1458"/>
      <c r="AQ108" s="1458"/>
      <c r="AR108" s="1458"/>
    </row>
    <row r="109" spans="1:61" s="7" customFormat="1" ht="34" customHeight="1" thickBot="1" x14ac:dyDescent="0.25">
      <c r="A109" s="303" t="s">
        <v>488</v>
      </c>
      <c r="B109" s="26"/>
      <c r="C109" s="92"/>
      <c r="D109" s="289" t="s">
        <v>22</v>
      </c>
      <c r="E109" s="76">
        <v>0</v>
      </c>
      <c r="F109" s="76">
        <v>1</v>
      </c>
      <c r="G109" s="76">
        <v>2</v>
      </c>
      <c r="H109" s="76">
        <v>3</v>
      </c>
      <c r="I109" s="76">
        <v>4</v>
      </c>
      <c r="J109" s="76">
        <v>5</v>
      </c>
      <c r="K109" s="76">
        <v>6</v>
      </c>
      <c r="L109" s="76">
        <v>7</v>
      </c>
      <c r="M109" s="76">
        <v>8</v>
      </c>
      <c r="N109" s="76">
        <v>9</v>
      </c>
      <c r="O109" s="76">
        <v>10</v>
      </c>
      <c r="P109" s="77" t="s">
        <v>232</v>
      </c>
      <c r="Q109" s="77" t="s">
        <v>233</v>
      </c>
      <c r="R109" s="77" t="s">
        <v>242</v>
      </c>
      <c r="V109" s="15" t="s">
        <v>523</v>
      </c>
      <c r="X109" s="483">
        <v>0</v>
      </c>
      <c r="Y109" s="483">
        <f>G111</f>
        <v>1</v>
      </c>
      <c r="Z109" s="483">
        <f>H111</f>
        <v>2</v>
      </c>
      <c r="AA109" s="483">
        <f>I111</f>
        <v>4</v>
      </c>
      <c r="AB109" s="483">
        <f>J111</f>
        <v>7</v>
      </c>
      <c r="AC109" s="483">
        <f>K111</f>
        <v>10</v>
      </c>
      <c r="AE109" s="512"/>
      <c r="AF109" s="52"/>
      <c r="AG109" s="52"/>
      <c r="AH109" s="92"/>
      <c r="AI109" s="92"/>
      <c r="AJ109" s="92"/>
      <c r="AK109" s="743"/>
      <c r="AL109" s="743"/>
      <c r="AM109" s="743"/>
      <c r="AN109" s="743"/>
      <c r="AO109" s="743"/>
      <c r="AP109" s="743"/>
      <c r="AQ109" s="743"/>
      <c r="AR109" s="743"/>
      <c r="AS109" s="7" t="s">
        <v>1256</v>
      </c>
      <c r="BB109" s="17" t="s">
        <v>1265</v>
      </c>
    </row>
    <row r="110" spans="1:61" s="7" customFormat="1" ht="34" customHeight="1" thickTop="1" x14ac:dyDescent="0.2">
      <c r="A110" s="1356" t="str">
        <f>BIBLE!E50</f>
        <v>PCR00</v>
      </c>
      <c r="B110" s="26" t="str">
        <f>BIBLE!F50</f>
        <v>Quelle est le degré de complicité entre vous et l'autre parent (coparent), aujourd'hui ?</v>
      </c>
      <c r="C110" s="1938" t="str">
        <f>BIBLE!O50</f>
        <v>Aucune (1) à Excellente (10)</v>
      </c>
      <c r="D110" s="1978">
        <f>BIBLE!L50</f>
        <v>1</v>
      </c>
      <c r="E110" s="473"/>
      <c r="F110" s="473"/>
      <c r="G110" s="473"/>
      <c r="H110" s="473"/>
      <c r="I110" s="473"/>
      <c r="J110" s="473"/>
      <c r="K110" s="473"/>
      <c r="P110" s="1779">
        <f>'TEST_pour PROTOTYPE'!D83</f>
        <v>6</v>
      </c>
      <c r="Q110" s="25">
        <f>P110*D110</f>
        <v>6</v>
      </c>
      <c r="R110" s="945">
        <f>BIBLE!K50</f>
        <v>6</v>
      </c>
      <c r="V110" s="15"/>
      <c r="X110" s="483"/>
      <c r="Y110" s="483"/>
      <c r="Z110" s="483"/>
      <c r="AA110" s="483"/>
      <c r="AB110" s="483"/>
      <c r="AC110" s="483"/>
      <c r="AE110" s="512"/>
      <c r="AF110" s="52"/>
      <c r="AG110" s="52"/>
      <c r="AH110" s="92"/>
      <c r="AI110" s="92"/>
      <c r="AJ110" s="92"/>
      <c r="AK110" s="743"/>
      <c r="AL110" s="743"/>
      <c r="AM110" s="743"/>
      <c r="AN110" s="743"/>
      <c r="AO110" s="743"/>
      <c r="AP110" s="743"/>
      <c r="AQ110" s="743"/>
      <c r="AR110" s="743"/>
      <c r="BB110" s="17"/>
    </row>
    <row r="111" spans="1:61" s="7" customFormat="1" ht="34" customHeight="1" thickBot="1" x14ac:dyDescent="0.25">
      <c r="A111" s="303"/>
      <c r="B111" s="26"/>
      <c r="C111" s="92"/>
      <c r="D111" s="1978" t="s">
        <v>244</v>
      </c>
      <c r="E111" s="507">
        <f>$E$52</f>
        <v>0</v>
      </c>
      <c r="F111" s="300">
        <f>$F$52</f>
        <v>0</v>
      </c>
      <c r="G111" s="300">
        <f>$G$52</f>
        <v>1</v>
      </c>
      <c r="H111" s="300">
        <f>$H$52</f>
        <v>2</v>
      </c>
      <c r="I111" s="300">
        <f>$I$52</f>
        <v>4</v>
      </c>
      <c r="J111" s="300">
        <f>$J$52</f>
        <v>7</v>
      </c>
      <c r="K111" s="300">
        <f>$K$52</f>
        <v>10</v>
      </c>
      <c r="P111" s="1289"/>
      <c r="Q111" s="1289"/>
      <c r="R111" s="1289"/>
      <c r="V111" s="15"/>
      <c r="X111" s="483"/>
      <c r="Y111" s="483"/>
      <c r="Z111" s="483"/>
      <c r="AA111" s="483"/>
      <c r="AB111" s="483"/>
      <c r="AC111" s="483"/>
      <c r="AE111" s="512"/>
      <c r="AF111" s="52"/>
      <c r="AG111" s="52"/>
      <c r="AH111" s="92"/>
      <c r="AI111" s="92"/>
      <c r="AJ111" s="92"/>
      <c r="AK111" s="743"/>
      <c r="AL111" s="743"/>
      <c r="AM111" s="743"/>
      <c r="AN111" s="743"/>
      <c r="AO111" s="743"/>
      <c r="AP111" s="743"/>
      <c r="AQ111" s="743"/>
      <c r="AR111" s="743"/>
      <c r="BB111" s="17"/>
    </row>
    <row r="112" spans="1:61" s="17" customFormat="1" ht="56" customHeight="1" thickTop="1" x14ac:dyDescent="0.2">
      <c r="A112" s="1356" t="str">
        <f>BIBLE!E51</f>
        <v>PCR01</v>
      </c>
      <c r="B112" s="1939" t="str">
        <f>IF(P110&gt;=R110,BIBLE!F51," ")</f>
        <v>Vous êtes à l'aise en présence de l'autre parent (coparent).</v>
      </c>
      <c r="C112" s="1002" t="str">
        <f>BIBLE!O51</f>
        <v xml:space="preserve">Tout à fait d’accord / D'accord / Partiellement d'accord / Partiellement en désaccord / En désaccord / Tout à fait en désaccord / S.O. </v>
      </c>
      <c r="D112" s="1978">
        <f>IF(P112&lt;=2,BIBLE!M51,BIBLE!L51)</f>
        <v>1</v>
      </c>
      <c r="E112" s="20"/>
      <c r="F112" s="1003"/>
      <c r="G112" s="1003"/>
      <c r="H112" s="1003"/>
      <c r="I112" s="1003">
        <v>1</v>
      </c>
      <c r="J112" s="1003"/>
      <c r="K112" s="1003"/>
      <c r="L112" s="1003"/>
      <c r="M112" s="20"/>
      <c r="N112" s="20"/>
      <c r="O112" s="20"/>
      <c r="P112" s="1779">
        <f>'TEST_pour PROTOTYPE'!D84</f>
        <v>4</v>
      </c>
      <c r="Q112" s="25">
        <f t="shared" ref="Q112:Q114" si="14">P112*D112</f>
        <v>4</v>
      </c>
      <c r="R112" s="8">
        <f>BIBLE!K51</f>
        <v>2</v>
      </c>
      <c r="S112" s="16"/>
      <c r="T112" s="16"/>
      <c r="U112" s="16"/>
      <c r="V112" s="6">
        <f>MAX(AS112:AS114)</f>
        <v>8</v>
      </c>
      <c r="W112" s="8"/>
      <c r="X112" s="6">
        <f>MAX(AU112:AU114)</f>
        <v>0</v>
      </c>
      <c r="Y112" s="6">
        <f t="shared" ref="Y112" si="15">MAX(AV112:AV114)</f>
        <v>3</v>
      </c>
      <c r="Z112" s="6">
        <f t="shared" ref="Z112" si="16">MAX(AW112:AW114)</f>
        <v>6</v>
      </c>
      <c r="AA112" s="6">
        <f t="shared" ref="AA112" si="17">MAX(AX112:AX114)</f>
        <v>12</v>
      </c>
      <c r="AB112" s="6">
        <f t="shared" ref="AB112" si="18">MAX(AY112:AY114)</f>
        <v>21</v>
      </c>
      <c r="AC112" s="6">
        <f t="shared" ref="AC112" si="19">MAX(AZ112:AZ114)</f>
        <v>30</v>
      </c>
      <c r="AD112" s="8"/>
      <c r="AE112" s="511"/>
      <c r="AF112" s="2050"/>
      <c r="AG112" s="2050"/>
      <c r="AH112" s="23">
        <f>IF($Q112=$V112,$Q112*BIBLE!S51,IF(Test_Bible!$Q113=Test_Bible!$V112,Test_Bible!$Q113*BIBLE!S52,Test_Bible!$Q114*BIBLE!S53))</f>
        <v>2.64</v>
      </c>
      <c r="AI112" s="23">
        <f>IF($Q112=$V112,$Q112*BIBLE!T51,IF(Test_Bible!$Q113=Test_Bible!$V112,Test_Bible!$Q113*BIBLE!T52,Test_Bible!$Q114*BIBLE!T53))</f>
        <v>2.72</v>
      </c>
      <c r="AJ112" s="23">
        <f>IF($Q112=$V112,$Q112*BIBLE!U51,IF(Test_Bible!$Q113=Test_Bible!$V112,Test_Bible!$Q113*BIBLE!U52,Test_Bible!$Q114*BIBLE!U254))</f>
        <v>2.64</v>
      </c>
      <c r="AK112" s="1458">
        <f>IF($Q112=$V112,$Q112*BIBLE!W27,IF(Test_Bible!$Q113=Test_Bible!$V112,Test_Bible!$Q113*BIBLE!W28,Test_Bible!$Q114*BIBLE!W29))</f>
        <v>0</v>
      </c>
      <c r="AL112" s="1458">
        <f>IF($Q112=$V112,$Q112*BIBLE!X27,IF(Test_Bible!$Q113=Test_Bible!$V112,Test_Bible!$Q113*BIBLE!X28,Test_Bible!$Q114*BIBLE!X29))</f>
        <v>0</v>
      </c>
      <c r="AM112" s="1458">
        <f>IF($Q112=$V112,$Q112*BIBLE!Y27,IF(Test_Bible!$Q113=Test_Bible!$V112,Test_Bible!$Q113*BIBLE!Y28,Test_Bible!$Q114*BIBLE!Y29))</f>
        <v>0</v>
      </c>
      <c r="AN112" s="1458">
        <f>IF($Q112=$V112,$Q112*BIBLE!Z27,IF(Test_Bible!$Q113=Test_Bible!$V112,Test_Bible!$Q113*BIBLE!Z28,Test_Bible!$Q114*BIBLE!Z29))</f>
        <v>0</v>
      </c>
      <c r="AO112" s="1458">
        <f>IF($Q112=$V112,$Q112*BIBLE!AA27,IF(Test_Bible!$Q113=Test_Bible!$V112,Test_Bible!$Q113*BIBLE!AA28,Test_Bible!$Q114*BIBLE!AA29))</f>
        <v>0</v>
      </c>
      <c r="AP112" s="1458">
        <f>IF($Q112=$V112,$Q112*BIBLE!AB27,IF(Test_Bible!$Q113=Test_Bible!$V112,Test_Bible!$Q113*BIBLE!AB28,Test_Bible!$Q114*BIBLE!AB29))</f>
        <v>0</v>
      </c>
      <c r="AQ112" s="1458">
        <f>IF($Q112=$V112,$Q112*BIBLE!AC27,IF(Test_Bible!$Q113=Test_Bible!$V112,Test_Bible!$Q113*BIBLE!AC28,Test_Bible!$Q114*BIBLE!AC29))</f>
        <v>0</v>
      </c>
      <c r="AR112" s="1458">
        <f>IF($Q112=$V112,$Q112*BIBLE!AD27,IF(Test_Bible!$Q113=Test_Bible!$V112,Test_Bible!$Q113*BIBLE!AD28,Test_Bible!$Q114*BIBLE!AD29))</f>
        <v>0</v>
      </c>
      <c r="AS112" s="6">
        <f>Q112</f>
        <v>4</v>
      </c>
      <c r="AT112" s="16"/>
      <c r="AU112" s="6">
        <f>IF($Q112&gt;0,X$109*$D112,0)</f>
        <v>0</v>
      </c>
      <c r="AV112" s="6">
        <f t="shared" ref="AV112:AV114" si="20">IF($Q112&gt;0,Y$109*$D112,0)</f>
        <v>1</v>
      </c>
      <c r="AW112" s="6">
        <f t="shared" ref="AW112:AW114" si="21">IF($Q112&gt;0,Z$109*$D112,0)</f>
        <v>2</v>
      </c>
      <c r="AX112" s="6">
        <f t="shared" ref="AX112:AX114" si="22">IF($Q112&gt;0,AA$109*$D112,0)</f>
        <v>4</v>
      </c>
      <c r="AY112" s="6">
        <f t="shared" ref="AY112:AY114" si="23">IF($Q112&gt;0,AB$109*$D112,0)</f>
        <v>7</v>
      </c>
      <c r="AZ112" s="6">
        <f t="shared" ref="AZ112:AZ114" si="24">IF($Q112&gt;0,AC$109*$D112,0)</f>
        <v>10</v>
      </c>
      <c r="BA112" s="8"/>
      <c r="BB112" s="6" t="s">
        <v>527</v>
      </c>
      <c r="BC112" s="8"/>
      <c r="BD112" s="477">
        <f t="shared" ref="BD112:BI112" si="25">AU112</f>
        <v>0</v>
      </c>
      <c r="BE112" s="477">
        <f t="shared" si="25"/>
        <v>1</v>
      </c>
      <c r="BF112" s="477">
        <f t="shared" si="25"/>
        <v>2</v>
      </c>
      <c r="BG112" s="477">
        <f t="shared" si="25"/>
        <v>4</v>
      </c>
      <c r="BH112" s="477">
        <f t="shared" si="25"/>
        <v>7</v>
      </c>
      <c r="BI112" s="477">
        <f t="shared" si="25"/>
        <v>10</v>
      </c>
    </row>
    <row r="113" spans="1:61" s="17" customFormat="1" ht="60" x14ac:dyDescent="0.2">
      <c r="A113" s="1356" t="str">
        <f>BIBLE!E52</f>
        <v>PCR01a</v>
      </c>
      <c r="B113" s="1829" t="str">
        <f>IF(P112&gt;=R112,BIBLE!F52," ")</f>
        <v>Vous devez marcher sur des œufs afin d'éviter les conflits.</v>
      </c>
      <c r="C113" s="1002" t="str">
        <f>BIBLE!O52</f>
        <v xml:space="preserve">Jamais / Rarement / Occasionnellement / Régulièrement / Souvent / Toujours / S.O. </v>
      </c>
      <c r="D113" s="1978">
        <f>BIBLE!L52</f>
        <v>2</v>
      </c>
      <c r="E113" s="20"/>
      <c r="F113" s="1003"/>
      <c r="G113" s="1003"/>
      <c r="H113" s="1003"/>
      <c r="I113" s="1003">
        <v>1</v>
      </c>
      <c r="J113" s="1003"/>
      <c r="K113" s="1003"/>
      <c r="L113" s="1003"/>
      <c r="M113" s="20"/>
      <c r="N113" s="20"/>
      <c r="O113" s="20"/>
      <c r="P113" s="1779">
        <f>'TEST_pour PROTOTYPE'!D85</f>
        <v>4</v>
      </c>
      <c r="Q113" s="25">
        <f t="shared" si="14"/>
        <v>8</v>
      </c>
      <c r="R113" s="8">
        <f>BIBLE!K52</f>
        <v>4</v>
      </c>
      <c r="S113" s="16"/>
      <c r="T113" s="16"/>
      <c r="U113" s="16"/>
      <c r="V113" s="8"/>
      <c r="W113" s="8"/>
      <c r="X113" s="8"/>
      <c r="Y113" s="8"/>
      <c r="Z113" s="8"/>
      <c r="AA113" s="8"/>
      <c r="AB113" s="8"/>
      <c r="AC113" s="8"/>
      <c r="AD113" s="8"/>
      <c r="AE113" s="511"/>
      <c r="AF113" s="2050"/>
      <c r="AG113" s="2050"/>
      <c r="AH113" s="23"/>
      <c r="AI113" s="23"/>
      <c r="AJ113" s="23"/>
      <c r="AK113" s="1458"/>
      <c r="AL113" s="1458"/>
      <c r="AM113" s="1458"/>
      <c r="AN113" s="1458"/>
      <c r="AO113" s="1458"/>
      <c r="AP113" s="1458"/>
      <c r="AQ113" s="1458"/>
      <c r="AR113" s="1458"/>
      <c r="AS113" s="6">
        <f>Q113</f>
        <v>8</v>
      </c>
      <c r="AT113" s="16"/>
      <c r="AU113" s="6">
        <f t="shared" ref="AU113:AU114" si="26">IF($Q113&gt;0,X$109*$D113,0)</f>
        <v>0</v>
      </c>
      <c r="AV113" s="6">
        <f t="shared" si="20"/>
        <v>2</v>
      </c>
      <c r="AW113" s="6">
        <f t="shared" si="21"/>
        <v>4</v>
      </c>
      <c r="AX113" s="6">
        <f t="shared" si="22"/>
        <v>8</v>
      </c>
      <c r="AY113" s="6">
        <f t="shared" si="23"/>
        <v>14</v>
      </c>
      <c r="AZ113" s="6">
        <f t="shared" si="24"/>
        <v>20</v>
      </c>
      <c r="BA113" s="8"/>
      <c r="BB113" s="6"/>
      <c r="BC113" s="8"/>
      <c r="BD113" s="477">
        <f t="shared" ref="BD113:BI113" si="27">AU113+AU114</f>
        <v>0</v>
      </c>
      <c r="BE113" s="477">
        <f t="shared" si="27"/>
        <v>5</v>
      </c>
      <c r="BF113" s="477">
        <f t="shared" si="27"/>
        <v>10</v>
      </c>
      <c r="BG113" s="477">
        <f t="shared" si="27"/>
        <v>20</v>
      </c>
      <c r="BH113" s="477">
        <f t="shared" si="27"/>
        <v>35</v>
      </c>
      <c r="BI113" s="477">
        <f t="shared" si="27"/>
        <v>50</v>
      </c>
    </row>
    <row r="114" spans="1:61" s="17" customFormat="1" ht="60" x14ac:dyDescent="0.2">
      <c r="A114" s="1356" t="str">
        <f>BIBLE!E53</f>
        <v>PCR01a1</v>
      </c>
      <c r="B114" s="1526" t="str">
        <f>IF(P113&gt;=R113,BIBLE!F53," ")</f>
        <v xml:space="preserve"> Arrive-t-il que l'autre parent hausse la voix ou utilise des jurons pour imposer sa vision des choses ?</v>
      </c>
      <c r="C114" s="1002" t="str">
        <f>BIBLE!O53</f>
        <v xml:space="preserve">Jamais / Rarement / Occasionnellement / Régulièrement / Souvent / Toujours / S.O. </v>
      </c>
      <c r="D114" s="1978">
        <f>BIBLE!L53</f>
        <v>3</v>
      </c>
      <c r="E114" s="304"/>
      <c r="F114" s="1003"/>
      <c r="G114" s="1003">
        <v>1</v>
      </c>
      <c r="H114" s="1003"/>
      <c r="I114" s="1003"/>
      <c r="J114" s="1003"/>
      <c r="K114" s="1003"/>
      <c r="L114" s="1003"/>
      <c r="M114" s="304"/>
      <c r="N114" s="304"/>
      <c r="O114" s="304"/>
      <c r="P114" s="1779">
        <f>'TEST_pour PROTOTYPE'!D86</f>
        <v>2</v>
      </c>
      <c r="Q114" s="25">
        <f t="shared" si="14"/>
        <v>6</v>
      </c>
      <c r="R114" s="8"/>
      <c r="S114" s="16"/>
      <c r="T114" s="16"/>
      <c r="U114" s="16"/>
      <c r="V114" s="8"/>
      <c r="W114" s="8"/>
      <c r="X114" s="8"/>
      <c r="Y114" s="8"/>
      <c r="Z114" s="8"/>
      <c r="AA114" s="8"/>
      <c r="AB114" s="8"/>
      <c r="AC114" s="8"/>
      <c r="AD114" s="8"/>
      <c r="AE114" s="484"/>
      <c r="AF114" s="2052"/>
      <c r="AG114" s="2052"/>
      <c r="AH114" s="23"/>
      <c r="AI114" s="23"/>
      <c r="AJ114" s="23"/>
      <c r="AK114" s="1460"/>
      <c r="AL114" s="1460"/>
      <c r="AM114" s="1460"/>
      <c r="AN114" s="1460"/>
      <c r="AO114" s="1460"/>
      <c r="AP114" s="1460"/>
      <c r="AQ114" s="1460"/>
      <c r="AR114" s="1460"/>
      <c r="AS114" s="6">
        <f>Q114</f>
        <v>6</v>
      </c>
      <c r="AT114" s="16"/>
      <c r="AU114" s="6">
        <f t="shared" si="26"/>
        <v>0</v>
      </c>
      <c r="AV114" s="6">
        <f t="shared" si="20"/>
        <v>3</v>
      </c>
      <c r="AW114" s="6">
        <f t="shared" si="21"/>
        <v>6</v>
      </c>
      <c r="AX114" s="6">
        <f t="shared" si="22"/>
        <v>12</v>
      </c>
      <c r="AY114" s="6">
        <f t="shared" si="23"/>
        <v>21</v>
      </c>
      <c r="AZ114" s="6">
        <f t="shared" si="24"/>
        <v>30</v>
      </c>
      <c r="BA114" s="8"/>
      <c r="BB114" s="8"/>
      <c r="BC114" s="8"/>
    </row>
    <row r="115" spans="1:61" s="7" customFormat="1" ht="17" x14ac:dyDescent="0.2">
      <c r="A115" s="1356" t="str">
        <f>BIBLE!E54</f>
        <v>PCR01b</v>
      </c>
      <c r="B115" s="127" t="str">
        <f>IF(P$112&gt;=R$112,BIBLE!F54," ")</f>
        <v>Quels sont les sujets délicats entre vous et l'autre parent ?</v>
      </c>
      <c r="C115" s="92"/>
      <c r="D115" s="1978"/>
      <c r="E115" s="20"/>
      <c r="F115" s="20"/>
      <c r="G115" s="20"/>
      <c r="H115" s="20"/>
      <c r="I115" s="20"/>
      <c r="J115" s="20"/>
      <c r="K115" s="20"/>
      <c r="L115" s="20"/>
      <c r="M115" s="20"/>
      <c r="N115" s="20"/>
      <c r="O115" s="1875" t="s">
        <v>1618</v>
      </c>
      <c r="P115" s="25">
        <f>SUM(P116:P121)</f>
        <v>14</v>
      </c>
      <c r="Q115" s="25"/>
      <c r="R115" s="8"/>
      <c r="V115" s="8"/>
      <c r="X115" s="8"/>
      <c r="Y115" s="8"/>
      <c r="Z115" s="8"/>
      <c r="AA115" s="8"/>
      <c r="AB115" s="8"/>
      <c r="AC115" s="8"/>
      <c r="AE115" s="512"/>
      <c r="AF115" s="52"/>
      <c r="AG115" s="52"/>
      <c r="AH115" s="23"/>
      <c r="AI115" s="23"/>
      <c r="AJ115" s="23"/>
      <c r="AK115" s="743"/>
      <c r="AL115" s="743"/>
      <c r="AM115" s="743"/>
      <c r="AN115" s="743"/>
      <c r="AO115" s="743"/>
      <c r="AP115" s="743"/>
      <c r="AQ115" s="743"/>
      <c r="AR115" s="743"/>
    </row>
    <row r="116" spans="1:61" s="7" customFormat="1" ht="15" customHeight="1" x14ac:dyDescent="0.2">
      <c r="A116" s="1874"/>
      <c r="B116" s="307" t="str">
        <f>IF(P$112&gt;=R$112,"Nutrition"," ")</f>
        <v>Nutrition</v>
      </c>
      <c r="C116" s="92"/>
      <c r="D116" s="1775">
        <v>1</v>
      </c>
      <c r="E116" s="1791">
        <f>'TEST_pour PROTOTYPE'!D87</f>
        <v>0</v>
      </c>
      <c r="F116" s="20"/>
      <c r="G116" s="20"/>
      <c r="H116" s="20"/>
      <c r="I116" s="20"/>
      <c r="J116" s="20"/>
      <c r="K116" s="20"/>
      <c r="L116" s="20"/>
      <c r="M116" s="20"/>
      <c r="N116" s="20"/>
      <c r="O116" s="20"/>
      <c r="P116" s="1788">
        <f>D116*E116</f>
        <v>0</v>
      </c>
      <c r="Q116" s="25"/>
      <c r="R116" s="8"/>
      <c r="V116" s="8"/>
      <c r="X116" s="8"/>
      <c r="Y116" s="8"/>
      <c r="Z116" s="8"/>
      <c r="AA116" s="8"/>
      <c r="AB116" s="8"/>
      <c r="AC116" s="8"/>
      <c r="AE116" s="512"/>
      <c r="AF116" s="52"/>
      <c r="AG116" s="52"/>
      <c r="AH116" s="23"/>
      <c r="AI116" s="23"/>
      <c r="AJ116" s="23"/>
      <c r="AK116" s="743"/>
      <c r="AL116" s="743"/>
      <c r="AM116" s="743"/>
      <c r="AN116" s="743"/>
      <c r="AO116" s="743"/>
      <c r="AP116" s="743"/>
      <c r="AQ116" s="743"/>
      <c r="AR116" s="743"/>
    </row>
    <row r="117" spans="1:61" s="7" customFormat="1" ht="15" customHeight="1" x14ac:dyDescent="0.2">
      <c r="A117" s="2233"/>
      <c r="B117" s="307" t="str">
        <f>IF(P$112&gt;=R$112,"Gestion du temps de garde"," ")</f>
        <v>Gestion du temps de garde</v>
      </c>
      <c r="C117" s="92"/>
      <c r="D117" s="1775">
        <v>2</v>
      </c>
      <c r="E117" s="1791">
        <f>'TEST_pour PROTOTYPE'!D88</f>
        <v>0</v>
      </c>
      <c r="F117" s="20"/>
      <c r="G117" s="20"/>
      <c r="H117" s="20"/>
      <c r="I117" s="20"/>
      <c r="J117" s="20"/>
      <c r="K117" s="20"/>
      <c r="L117" s="20"/>
      <c r="M117" s="20"/>
      <c r="N117" s="20"/>
      <c r="O117" s="20"/>
      <c r="P117" s="1788">
        <f t="shared" ref="P117:P121" si="28">D117*E117</f>
        <v>0</v>
      </c>
      <c r="Q117" s="25"/>
      <c r="R117" s="8"/>
      <c r="V117" s="8"/>
      <c r="X117" s="8"/>
      <c r="Y117" s="8"/>
      <c r="Z117" s="8"/>
      <c r="AA117" s="8"/>
      <c r="AB117" s="8"/>
      <c r="AC117" s="8"/>
      <c r="AE117" s="512"/>
      <c r="AF117" s="52"/>
      <c r="AG117" s="52"/>
      <c r="AH117" s="23"/>
      <c r="AI117" s="23"/>
      <c r="AJ117" s="23"/>
      <c r="AK117" s="743"/>
      <c r="AL117" s="743"/>
      <c r="AM117" s="743"/>
      <c r="AN117" s="743"/>
      <c r="AO117" s="743"/>
      <c r="AP117" s="743"/>
      <c r="AQ117" s="743"/>
      <c r="AR117" s="743"/>
    </row>
    <row r="118" spans="1:61" s="7" customFormat="1" ht="15" customHeight="1" x14ac:dyDescent="0.2">
      <c r="A118" s="2233"/>
      <c r="B118" s="307" t="str">
        <f>IF(P$112&gt;=R$112,"Questions d'argent"," ")</f>
        <v>Questions d'argent</v>
      </c>
      <c r="C118" s="92"/>
      <c r="D118" s="1775">
        <v>3</v>
      </c>
      <c r="E118" s="1791">
        <f>'TEST_pour PROTOTYPE'!D89</f>
        <v>1</v>
      </c>
      <c r="F118" s="20"/>
      <c r="G118" s="20"/>
      <c r="H118" s="20"/>
      <c r="I118" s="20"/>
      <c r="J118" s="20"/>
      <c r="K118" s="20"/>
      <c r="L118" s="20"/>
      <c r="M118" s="20"/>
      <c r="N118" s="20"/>
      <c r="O118" s="20"/>
      <c r="P118" s="1788">
        <f t="shared" si="28"/>
        <v>3</v>
      </c>
      <c r="Q118" s="25"/>
      <c r="R118" s="8"/>
      <c r="V118" s="8"/>
      <c r="X118" s="8"/>
      <c r="Y118" s="8"/>
      <c r="Z118" s="8"/>
      <c r="AA118" s="8"/>
      <c r="AB118" s="8"/>
      <c r="AC118" s="8"/>
      <c r="AE118" s="512"/>
      <c r="AF118" s="52"/>
      <c r="AG118" s="52"/>
      <c r="AH118" s="23"/>
      <c r="AI118" s="23"/>
      <c r="AJ118" s="23"/>
      <c r="AK118" s="743"/>
      <c r="AL118" s="743"/>
      <c r="AM118" s="743"/>
      <c r="AN118" s="743"/>
      <c r="AO118" s="743"/>
      <c r="AP118" s="743"/>
      <c r="AQ118" s="743"/>
      <c r="AR118" s="743"/>
    </row>
    <row r="119" spans="1:61" s="7" customFormat="1" ht="15" customHeight="1" x14ac:dyDescent="0.2">
      <c r="A119" s="1874"/>
      <c r="B119" s="308" t="str">
        <f>IF(P112&gt;=R112,"Accompagnement des devoirs","")</f>
        <v>Accompagnement des devoirs</v>
      </c>
      <c r="C119" s="92"/>
      <c r="D119" s="1775">
        <v>4</v>
      </c>
      <c r="E119" s="1791">
        <f>'TEST_pour PROTOTYPE'!D90</f>
        <v>0</v>
      </c>
      <c r="F119" s="20"/>
      <c r="G119" s="20"/>
      <c r="H119" s="20"/>
      <c r="I119" s="20"/>
      <c r="J119" s="20"/>
      <c r="K119" s="20"/>
      <c r="L119" s="20"/>
      <c r="M119" s="20"/>
      <c r="N119" s="20"/>
      <c r="O119" s="20"/>
      <c r="P119" s="1788">
        <f t="shared" si="28"/>
        <v>0</v>
      </c>
      <c r="Q119" s="25"/>
      <c r="R119" s="8"/>
      <c r="V119" s="8"/>
      <c r="X119" s="8"/>
      <c r="Y119" s="8"/>
      <c r="Z119" s="8"/>
      <c r="AA119" s="8"/>
      <c r="AB119" s="8"/>
      <c r="AC119" s="8"/>
      <c r="AE119" s="512"/>
      <c r="AF119" s="52"/>
      <c r="AG119" s="52"/>
      <c r="AH119" s="92"/>
      <c r="AI119" s="92"/>
      <c r="AJ119" s="92"/>
      <c r="AK119" s="743"/>
      <c r="AL119" s="743"/>
      <c r="AM119" s="743"/>
      <c r="AN119" s="743"/>
      <c r="AO119" s="743"/>
      <c r="AP119" s="743"/>
      <c r="AQ119" s="743"/>
      <c r="AR119" s="743"/>
    </row>
    <row r="120" spans="1:61" s="7" customFormat="1" ht="15" customHeight="1" x14ac:dyDescent="0.2">
      <c r="A120" s="2234"/>
      <c r="B120" s="308" t="str">
        <f>IF(P112&gt;=R112,"Gestion des vêtements","")</f>
        <v>Gestion des vêtements</v>
      </c>
      <c r="C120" s="92"/>
      <c r="D120" s="1775">
        <v>5</v>
      </c>
      <c r="E120" s="1791">
        <f>'TEST_pour PROTOTYPE'!D91</f>
        <v>1</v>
      </c>
      <c r="F120" s="20"/>
      <c r="G120" s="20"/>
      <c r="H120" s="20"/>
      <c r="I120" s="20"/>
      <c r="J120" s="20"/>
      <c r="K120" s="20"/>
      <c r="L120" s="20"/>
      <c r="M120" s="20"/>
      <c r="N120" s="20"/>
      <c r="O120" s="20"/>
      <c r="P120" s="1788">
        <f t="shared" si="28"/>
        <v>5</v>
      </c>
      <c r="Q120" s="25"/>
      <c r="R120" s="8"/>
      <c r="V120" s="8"/>
      <c r="X120" s="8"/>
      <c r="Y120" s="8"/>
      <c r="Z120" s="8"/>
      <c r="AA120" s="8"/>
      <c r="AB120" s="8"/>
      <c r="AC120" s="8"/>
      <c r="AE120" s="512"/>
      <c r="AF120" s="52"/>
      <c r="AG120" s="52"/>
      <c r="AH120" s="92"/>
      <c r="AI120" s="92"/>
      <c r="AJ120" s="92"/>
      <c r="AK120" s="743"/>
      <c r="AL120" s="743"/>
      <c r="AM120" s="743"/>
      <c r="AN120" s="743"/>
      <c r="AO120" s="743"/>
      <c r="AP120" s="743"/>
      <c r="AQ120" s="743"/>
      <c r="AR120" s="743"/>
    </row>
    <row r="121" spans="1:61" s="7" customFormat="1" ht="15" customHeight="1" x14ac:dyDescent="0.2">
      <c r="A121" s="2234"/>
      <c r="B121" s="308" t="str">
        <f>IF(P112&gt;=R112,"Choix des activités culturelles ou sportives","")</f>
        <v>Choix des activités culturelles ou sportives</v>
      </c>
      <c r="C121" s="92"/>
      <c r="D121" s="1775">
        <v>6</v>
      </c>
      <c r="E121" s="1791">
        <f>'TEST_pour PROTOTYPE'!D92</f>
        <v>1</v>
      </c>
      <c r="F121" s="20"/>
      <c r="G121" s="20"/>
      <c r="H121" s="20"/>
      <c r="I121" s="20"/>
      <c r="J121" s="20"/>
      <c r="K121" s="20"/>
      <c r="L121" s="20"/>
      <c r="M121" s="20"/>
      <c r="N121" s="20"/>
      <c r="O121" s="20"/>
      <c r="P121" s="1788">
        <f t="shared" si="28"/>
        <v>6</v>
      </c>
      <c r="Q121" s="25"/>
      <c r="R121" s="8"/>
      <c r="V121" s="8"/>
      <c r="X121" s="8"/>
      <c r="Y121" s="8"/>
      <c r="Z121" s="8"/>
      <c r="AA121" s="8"/>
      <c r="AB121" s="8"/>
      <c r="AC121" s="8"/>
      <c r="AE121" s="512"/>
      <c r="AF121" s="52"/>
      <c r="AG121" s="52"/>
      <c r="AH121" s="92"/>
      <c r="AI121" s="92"/>
      <c r="AJ121" s="92"/>
      <c r="AK121" s="743"/>
      <c r="AL121" s="743"/>
      <c r="AM121" s="743"/>
      <c r="AN121" s="743"/>
      <c r="AO121" s="743"/>
      <c r="AP121" s="743"/>
      <c r="AQ121" s="743"/>
      <c r="AR121" s="743"/>
    </row>
    <row r="122" spans="1:61" s="7" customFormat="1" ht="15" customHeight="1" x14ac:dyDescent="0.2">
      <c r="A122" s="2234"/>
      <c r="B122" s="308" t="str">
        <f>IF(P112&gt;=R112,"Autre (spécifiez)","")</f>
        <v>Autre (spécifiez)</v>
      </c>
      <c r="C122" s="92"/>
      <c r="D122" s="1775" t="s">
        <v>1492</v>
      </c>
      <c r="E122" s="1791"/>
      <c r="F122" s="20"/>
      <c r="G122" s="20"/>
      <c r="H122" s="20"/>
      <c r="I122" s="20"/>
      <c r="J122" s="20"/>
      <c r="K122" s="20"/>
      <c r="L122" s="20"/>
      <c r="M122" s="20"/>
      <c r="N122" s="20"/>
      <c r="O122" s="20"/>
      <c r="P122" s="1788"/>
      <c r="Q122" s="25"/>
      <c r="R122" s="8"/>
      <c r="V122" s="8"/>
      <c r="X122" s="8"/>
      <c r="Y122" s="8"/>
      <c r="Z122" s="8"/>
      <c r="AA122" s="8"/>
      <c r="AB122" s="8"/>
      <c r="AC122" s="8"/>
      <c r="AE122" s="512"/>
      <c r="AF122" s="52"/>
      <c r="AG122" s="52"/>
      <c r="AH122" s="92"/>
      <c r="AI122" s="92"/>
      <c r="AJ122" s="92"/>
      <c r="AK122" s="743"/>
      <c r="AL122" s="743"/>
      <c r="AM122" s="743"/>
      <c r="AN122" s="743"/>
      <c r="AO122" s="743"/>
      <c r="AP122" s="743"/>
      <c r="AQ122" s="743"/>
      <c r="AR122" s="743"/>
    </row>
    <row r="123" spans="1:61" s="17" customFormat="1" ht="42" customHeight="1" x14ac:dyDescent="0.2">
      <c r="A123" s="1356" t="str">
        <f>BIBLE!E55</f>
        <v>PCR02</v>
      </c>
      <c r="B123" s="155" t="str">
        <f>IF(P53&lt;=2,BIBLE!F55," ")</f>
        <v>Vous devez faire des compromis afin d'assurer une bonne entente de garde.</v>
      </c>
      <c r="C123" s="1002" t="str">
        <f>BIBLE!O55</f>
        <v xml:space="preserve">Jamais / Rarement / Occasionnellement / Régulièrement / Souvent / Toujours / S.O. </v>
      </c>
      <c r="D123" s="1978">
        <f>BIBLE!L55</f>
        <v>2</v>
      </c>
      <c r="E123" s="20"/>
      <c r="F123" s="1003"/>
      <c r="G123" s="1003"/>
      <c r="H123" s="1003"/>
      <c r="I123" s="1003"/>
      <c r="J123" s="1003"/>
      <c r="K123" s="1003">
        <v>1</v>
      </c>
      <c r="L123" s="1003"/>
      <c r="M123" s="20"/>
      <c r="N123" s="20"/>
      <c r="O123" s="20"/>
      <c r="P123" s="1779">
        <f>'TEST_pour PROTOTYPE'!D93</f>
        <v>7</v>
      </c>
      <c r="Q123" s="25">
        <f t="shared" ref="Q123:Q126" si="29">P123*D123</f>
        <v>14</v>
      </c>
      <c r="R123" s="8" t="str">
        <f>IF(BIBLE!K55=0,"",BIBLE!K55)</f>
        <v/>
      </c>
      <c r="V123" s="6">
        <f>Q123</f>
        <v>14</v>
      </c>
      <c r="X123" s="6">
        <f>IF($Q123&gt;0,X$109*$D123,0)</f>
        <v>0</v>
      </c>
      <c r="Y123" s="6">
        <f t="shared" ref="Y123:AC126" si="30">IF($Q123&gt;0,Y$109*$D123,0)</f>
        <v>2</v>
      </c>
      <c r="Z123" s="6">
        <f t="shared" si="30"/>
        <v>4</v>
      </c>
      <c r="AA123" s="6">
        <f t="shared" si="30"/>
        <v>8</v>
      </c>
      <c r="AB123" s="6">
        <f t="shared" si="30"/>
        <v>14</v>
      </c>
      <c r="AC123" s="6">
        <f t="shared" si="30"/>
        <v>20</v>
      </c>
      <c r="AE123" s="513"/>
      <c r="AF123" s="2051"/>
      <c r="AG123" s="2051"/>
      <c r="AH123" s="23">
        <f>$V123*BIBLE!S55</f>
        <v>14</v>
      </c>
      <c r="AI123" s="23">
        <f>$V123*BIBLE!T55</f>
        <v>0</v>
      </c>
      <c r="AJ123" s="23">
        <f>$V123*BIBLE!U55</f>
        <v>0</v>
      </c>
      <c r="AK123" s="1458">
        <f>$V123*BIBLE!W55</f>
        <v>0</v>
      </c>
      <c r="AL123" s="1458">
        <f>$V123*BIBLE!X55</f>
        <v>0</v>
      </c>
      <c r="AM123" s="1458">
        <f>$V123*BIBLE!Y55</f>
        <v>14</v>
      </c>
      <c r="AN123" s="1458">
        <f>$V123*BIBLE!Z55</f>
        <v>0</v>
      </c>
      <c r="AO123" s="1458">
        <f>$V123*BIBLE!AA55</f>
        <v>0</v>
      </c>
      <c r="AP123" s="1458">
        <f>$V123*BIBLE!AB55</f>
        <v>0</v>
      </c>
      <c r="AQ123" s="1458">
        <f>$V123*BIBLE!AC55</f>
        <v>0</v>
      </c>
      <c r="AR123" s="1458">
        <f>$V123*BIBLE!AD55</f>
        <v>0</v>
      </c>
    </row>
    <row r="124" spans="1:61" s="17" customFormat="1" ht="59" customHeight="1" x14ac:dyDescent="0.2">
      <c r="A124" s="1356" t="str">
        <f>BIBLE!E56</f>
        <v>PCR03</v>
      </c>
      <c r="B124" s="297" t="str">
        <f>BIBLE!F56</f>
        <v xml:space="preserve">Vous saluez ou allez vers l'autre parent lors de changements de garde, à l'école ou lors d'événements culturels ou sportifs. </v>
      </c>
      <c r="C124" s="498" t="str">
        <f>BIBLE!O56</f>
        <v>Toujours / Souvent / Régulièrement / Occasionnellement / Rarement / Jamais / S.O.</v>
      </c>
      <c r="D124" s="1978">
        <f>BIBLE!L56</f>
        <v>1</v>
      </c>
      <c r="E124" s="304"/>
      <c r="F124" s="304"/>
      <c r="G124" s="304">
        <v>1</v>
      </c>
      <c r="H124" s="304"/>
      <c r="I124" s="304"/>
      <c r="J124" s="304"/>
      <c r="K124" s="304"/>
      <c r="L124" s="304"/>
      <c r="M124" s="304"/>
      <c r="N124" s="304"/>
      <c r="O124" s="304"/>
      <c r="P124" s="1779">
        <f>'TEST_pour PROTOTYPE'!D94</f>
        <v>2</v>
      </c>
      <c r="Q124" s="25">
        <f t="shared" si="29"/>
        <v>2</v>
      </c>
      <c r="R124" s="8" t="str">
        <f>IF(BIBLE!K56=0,"",BIBLE!K56)</f>
        <v/>
      </c>
      <c r="V124" s="6">
        <f>Q124</f>
        <v>2</v>
      </c>
      <c r="X124" s="6">
        <f>IF($Q124&gt;0,X$109*$D124,0)</f>
        <v>0</v>
      </c>
      <c r="Y124" s="6">
        <f t="shared" si="30"/>
        <v>1</v>
      </c>
      <c r="Z124" s="6">
        <f t="shared" si="30"/>
        <v>2</v>
      </c>
      <c r="AA124" s="6">
        <f t="shared" si="30"/>
        <v>4</v>
      </c>
      <c r="AB124" s="6">
        <f t="shared" si="30"/>
        <v>7</v>
      </c>
      <c r="AC124" s="6">
        <f t="shared" si="30"/>
        <v>10</v>
      </c>
      <c r="AE124" s="513"/>
      <c r="AF124" s="2051"/>
      <c r="AG124" s="2051"/>
      <c r="AH124" s="23">
        <f>$V124*BIBLE!S56</f>
        <v>2</v>
      </c>
      <c r="AI124" s="23">
        <f>$V124*BIBLE!T56</f>
        <v>0</v>
      </c>
      <c r="AJ124" s="23">
        <f>$V124*BIBLE!U56</f>
        <v>0</v>
      </c>
      <c r="AK124" s="1458">
        <f>$V124*BIBLE!W56</f>
        <v>0</v>
      </c>
      <c r="AL124" s="1458">
        <f>$V124*BIBLE!X56</f>
        <v>0</v>
      </c>
      <c r="AM124" s="1458">
        <f>$V124*BIBLE!Y56</f>
        <v>2</v>
      </c>
      <c r="AN124" s="1458">
        <f>$V124*BIBLE!Z56</f>
        <v>0</v>
      </c>
      <c r="AO124" s="1458">
        <f>$V124*BIBLE!AA56</f>
        <v>0</v>
      </c>
      <c r="AP124" s="1458">
        <f>$V124*BIBLE!AB56</f>
        <v>0</v>
      </c>
      <c r="AQ124" s="1458">
        <f>$V124*BIBLE!AC56</f>
        <v>0</v>
      </c>
      <c r="AR124" s="1458">
        <f>$V124*BIBLE!AD56</f>
        <v>0</v>
      </c>
    </row>
    <row r="125" spans="1:61" s="17" customFormat="1" ht="67" customHeight="1" x14ac:dyDescent="0.2">
      <c r="A125" s="1356" t="str">
        <f>BIBLE!E57</f>
        <v>PCR04</v>
      </c>
      <c r="B125" s="297" t="str">
        <f>BIBLE!F57</f>
        <v>Vous questionnez votre enfant à son retour de garde afin de connaître la routine (repas, dodo, activités, etc.) chez l'autre parent.</v>
      </c>
      <c r="C125" s="498" t="str">
        <f>BIBLE!O57</f>
        <v xml:space="preserve">Jamais / Rarement / Occasionnellement / Régulièrement / Souvent / Toujours / S.O. </v>
      </c>
      <c r="D125" s="1978">
        <f>BIBLE!L57</f>
        <v>2</v>
      </c>
      <c r="E125" s="304"/>
      <c r="F125" s="304"/>
      <c r="G125" s="304"/>
      <c r="H125" s="304"/>
      <c r="I125" s="304">
        <v>1</v>
      </c>
      <c r="J125" s="304"/>
      <c r="K125" s="304"/>
      <c r="L125" s="304"/>
      <c r="M125" s="304"/>
      <c r="N125" s="304"/>
      <c r="O125" s="304"/>
      <c r="P125" s="1779">
        <f>'TEST_pour PROTOTYPE'!D95</f>
        <v>1</v>
      </c>
      <c r="Q125" s="25">
        <f t="shared" si="29"/>
        <v>2</v>
      </c>
      <c r="R125" s="8" t="str">
        <f>IF(BIBLE!K57=0,"",BIBLE!K57)</f>
        <v/>
      </c>
      <c r="V125" s="6">
        <f>Q125</f>
        <v>2</v>
      </c>
      <c r="X125" s="6">
        <f>IF($Q125&gt;0,X$109*$D125,0)</f>
        <v>0</v>
      </c>
      <c r="Y125" s="6">
        <f t="shared" si="30"/>
        <v>2</v>
      </c>
      <c r="Z125" s="6">
        <f t="shared" si="30"/>
        <v>4</v>
      </c>
      <c r="AA125" s="6">
        <f t="shared" si="30"/>
        <v>8</v>
      </c>
      <c r="AB125" s="6">
        <f t="shared" si="30"/>
        <v>14</v>
      </c>
      <c r="AC125" s="6">
        <f>IF($Q125&gt;0,AC$109*$D125,0)</f>
        <v>20</v>
      </c>
      <c r="AE125" s="513"/>
      <c r="AF125" s="2051"/>
      <c r="AG125" s="2051"/>
      <c r="AH125" s="23">
        <f>$V125*BIBLE!S57</f>
        <v>0</v>
      </c>
      <c r="AI125" s="23">
        <f>$V125*BIBLE!T57</f>
        <v>0</v>
      </c>
      <c r="AJ125" s="23">
        <f>$V125*BIBLE!U57</f>
        <v>2</v>
      </c>
      <c r="AK125" s="1458">
        <f>$V125*BIBLE!W57</f>
        <v>0</v>
      </c>
      <c r="AL125" s="1458">
        <f>$V125*BIBLE!X57</f>
        <v>0</v>
      </c>
      <c r="AM125" s="1458">
        <f>$V125*BIBLE!Y57</f>
        <v>2</v>
      </c>
      <c r="AN125" s="1458">
        <f>$V125*BIBLE!Z57</f>
        <v>0</v>
      </c>
      <c r="AO125" s="1458">
        <f>$V125*BIBLE!AA57</f>
        <v>0</v>
      </c>
      <c r="AP125" s="1458">
        <f>$V125*BIBLE!AB57</f>
        <v>0</v>
      </c>
      <c r="AQ125" s="1458">
        <f>$V125*BIBLE!AC57</f>
        <v>0</v>
      </c>
      <c r="AR125" s="1458">
        <f>$V125*BIBLE!AD57</f>
        <v>0</v>
      </c>
    </row>
    <row r="126" spans="1:61" s="17" customFormat="1" ht="74" customHeight="1" x14ac:dyDescent="0.2">
      <c r="A126" s="1356" t="str">
        <f>BIBLE!E58</f>
        <v>PCR06</v>
      </c>
      <c r="B126" s="297" t="str">
        <f>BIBLE!F58</f>
        <v xml:space="preserve">Vous faites un retour sur les interventions de l'autre parent (nutrition, hygiène, logistique, etc.) au retour des enfants, par courriel ou message texte. </v>
      </c>
      <c r="C126" s="498" t="str">
        <f>BIBLE!O58</f>
        <v xml:space="preserve">Jamais / Rarement / Occasionnellement / Régulièrement / Souvent / Toujours / S.O. </v>
      </c>
      <c r="D126" s="1978">
        <f>BIBLE!L58</f>
        <v>2</v>
      </c>
      <c r="E126" s="304"/>
      <c r="F126" s="304"/>
      <c r="G126" s="304"/>
      <c r="H126" s="304">
        <v>1</v>
      </c>
      <c r="I126" s="304"/>
      <c r="J126" s="304"/>
      <c r="K126" s="304"/>
      <c r="L126" s="304"/>
      <c r="M126" s="304"/>
      <c r="N126" s="304"/>
      <c r="O126" s="304"/>
      <c r="P126" s="1779">
        <f>'TEST_pour PROTOTYPE'!D96</f>
        <v>4</v>
      </c>
      <c r="Q126" s="25">
        <f t="shared" si="29"/>
        <v>8</v>
      </c>
      <c r="R126" s="8">
        <f>IF(BIBLE!K58=0,"",BIBLE!K58)</f>
        <v>2</v>
      </c>
      <c r="V126" s="6">
        <f>Q126</f>
        <v>8</v>
      </c>
      <c r="X126" s="6">
        <f>IF($Q126&gt;0,X$109*$D126,0)</f>
        <v>0</v>
      </c>
      <c r="Y126" s="6">
        <f t="shared" si="30"/>
        <v>2</v>
      </c>
      <c r="Z126" s="6">
        <f t="shared" si="30"/>
        <v>4</v>
      </c>
      <c r="AA126" s="6">
        <f t="shared" si="30"/>
        <v>8</v>
      </c>
      <c r="AB126" s="6">
        <f t="shared" si="30"/>
        <v>14</v>
      </c>
      <c r="AC126" s="6">
        <f t="shared" si="30"/>
        <v>20</v>
      </c>
      <c r="AE126" s="513"/>
      <c r="AF126" s="2051"/>
      <c r="AG126" s="2051"/>
      <c r="AH126" s="23">
        <f>$V126*BIBLE!S58</f>
        <v>8</v>
      </c>
      <c r="AI126" s="23">
        <f>$V126*BIBLE!T58</f>
        <v>0</v>
      </c>
      <c r="AJ126" s="23">
        <f>$V126*BIBLE!U58</f>
        <v>0</v>
      </c>
      <c r="AK126" s="1458">
        <f>$V126*BIBLE!W58</f>
        <v>0</v>
      </c>
      <c r="AL126" s="1458">
        <f>$V126*BIBLE!X58</f>
        <v>0</v>
      </c>
      <c r="AM126" s="1458">
        <f>$V126*BIBLE!Y58</f>
        <v>0</v>
      </c>
      <c r="AN126" s="1458">
        <f>$V126*BIBLE!Z58</f>
        <v>8</v>
      </c>
      <c r="AO126" s="1458">
        <f>$V126*BIBLE!AA58</f>
        <v>0</v>
      </c>
      <c r="AP126" s="1458">
        <f>$V126*BIBLE!AB58</f>
        <v>0</v>
      </c>
      <c r="AQ126" s="1458">
        <f>$V126*BIBLE!AC58</f>
        <v>0</v>
      </c>
      <c r="AR126" s="1458">
        <f>$V126*BIBLE!AD58</f>
        <v>0</v>
      </c>
    </row>
    <row r="127" spans="1:61" s="7" customFormat="1" ht="45" customHeight="1" x14ac:dyDescent="0.2">
      <c r="A127" s="1356" t="str">
        <f>BIBLE!E59</f>
        <v>PCR06a</v>
      </c>
      <c r="B127" s="127" t="str">
        <f>IF(AND(P112&lt;R112,P126&gt;=R126),BIBLE!F59,"")</f>
        <v/>
      </c>
      <c r="C127" s="92"/>
      <c r="D127" s="1978"/>
      <c r="E127" s="20"/>
      <c r="F127" s="20"/>
      <c r="G127" s="20"/>
      <c r="H127" s="20"/>
      <c r="I127" s="20"/>
      <c r="J127" s="20"/>
      <c r="K127" s="20"/>
      <c r="L127" s="20"/>
      <c r="M127" s="20"/>
      <c r="N127" s="20"/>
      <c r="O127" s="1875" t="s">
        <v>1618</v>
      </c>
      <c r="P127" s="25">
        <f>SUM(P128:P132)</f>
        <v>0</v>
      </c>
      <c r="Q127" s="25"/>
      <c r="R127" s="8"/>
      <c r="V127" s="8"/>
      <c r="X127" s="8"/>
      <c r="Y127" s="8"/>
      <c r="Z127" s="8"/>
      <c r="AA127" s="8"/>
      <c r="AB127" s="8"/>
      <c r="AC127" s="8"/>
      <c r="AE127" s="512"/>
      <c r="AF127" s="52"/>
      <c r="AG127" s="52"/>
      <c r="AH127" s="23"/>
      <c r="AI127" s="23"/>
      <c r="AJ127" s="23"/>
      <c r="AK127" s="743"/>
      <c r="AL127" s="743"/>
      <c r="AM127" s="743"/>
      <c r="AN127" s="743"/>
      <c r="AO127" s="743"/>
      <c r="AP127" s="743"/>
      <c r="AQ127" s="743"/>
      <c r="AR127" s="743"/>
    </row>
    <row r="128" spans="1:61" s="7" customFormat="1" ht="15" customHeight="1" x14ac:dyDescent="0.2">
      <c r="A128" s="1874"/>
      <c r="B128" s="307" t="str">
        <f>IF(AND(P$112&lt;R$112,P$126&gt;=R$126),"Préparation des repas ou boîte à lunch des enfants"," ")</f>
        <v xml:space="preserve"> </v>
      </c>
      <c r="C128" s="92"/>
      <c r="D128" s="1775">
        <v>1</v>
      </c>
      <c r="E128" s="1791">
        <f>'TEST_pour PROTOTYPE'!D97</f>
        <v>0</v>
      </c>
      <c r="F128" s="20"/>
      <c r="G128" s="20"/>
      <c r="H128" s="20"/>
      <c r="I128" s="20"/>
      <c r="J128" s="20"/>
      <c r="K128" s="20"/>
      <c r="L128" s="20"/>
      <c r="M128" s="20"/>
      <c r="N128" s="20"/>
      <c r="O128" s="20"/>
      <c r="P128" s="1789">
        <f>D128*E128</f>
        <v>0</v>
      </c>
      <c r="Q128" s="25"/>
      <c r="R128" s="8"/>
      <c r="V128" s="8"/>
      <c r="X128" s="8"/>
      <c r="Y128" s="8"/>
      <c r="Z128" s="8"/>
      <c r="AA128" s="8"/>
      <c r="AB128" s="8"/>
      <c r="AC128" s="8"/>
      <c r="AE128" s="512"/>
      <c r="AF128" s="52"/>
      <c r="AG128" s="52"/>
      <c r="AH128" s="23"/>
      <c r="AI128" s="23"/>
      <c r="AJ128" s="23"/>
      <c r="AK128" s="743"/>
      <c r="AL128" s="743"/>
      <c r="AM128" s="743"/>
      <c r="AN128" s="743"/>
      <c r="AO128" s="743"/>
      <c r="AP128" s="743"/>
      <c r="AQ128" s="743"/>
      <c r="AR128" s="743"/>
    </row>
    <row r="129" spans="1:45" s="7" customFormat="1" ht="15" customHeight="1" x14ac:dyDescent="0.2">
      <c r="A129" s="1874"/>
      <c r="B129" s="308" t="str">
        <f>IF(AND(P$112&lt;R$112,P$126&gt;=R$126),"Accompagnement des devoirs","")</f>
        <v/>
      </c>
      <c r="C129" s="92"/>
      <c r="D129" s="1775">
        <v>2</v>
      </c>
      <c r="E129" s="1791">
        <f>'TEST_pour PROTOTYPE'!D98</f>
        <v>0</v>
      </c>
      <c r="F129" s="20"/>
      <c r="G129" s="20"/>
      <c r="H129" s="20"/>
      <c r="I129" s="20"/>
      <c r="J129" s="20"/>
      <c r="K129" s="20"/>
      <c r="L129" s="20"/>
      <c r="M129" s="20"/>
      <c r="N129" s="20"/>
      <c r="O129" s="20"/>
      <c r="P129" s="1789">
        <f t="shared" ref="P129:P132" si="31">D129*E129</f>
        <v>0</v>
      </c>
      <c r="Q129" s="25"/>
      <c r="R129" s="8"/>
      <c r="V129" s="8"/>
      <c r="X129" s="8"/>
      <c r="Y129" s="8"/>
      <c r="Z129" s="8"/>
      <c r="AA129" s="8"/>
      <c r="AB129" s="8"/>
      <c r="AC129" s="8"/>
      <c r="AE129" s="512"/>
      <c r="AF129" s="52"/>
      <c r="AG129" s="52"/>
      <c r="AH129" s="92"/>
      <c r="AI129" s="92"/>
      <c r="AJ129" s="92"/>
      <c r="AK129" s="743"/>
      <c r="AL129" s="743"/>
      <c r="AM129" s="743"/>
      <c r="AN129" s="743"/>
      <c r="AO129" s="743"/>
      <c r="AP129" s="743"/>
      <c r="AQ129" s="743"/>
      <c r="AR129" s="743"/>
    </row>
    <row r="130" spans="1:45" s="7" customFormat="1" ht="15" customHeight="1" x14ac:dyDescent="0.2">
      <c r="A130" s="1874"/>
      <c r="B130" s="308" t="str">
        <f>IF(AND(P$112&lt;R$112,P$126&gt;=R$126),"Gestion des vêtements","")</f>
        <v/>
      </c>
      <c r="C130" s="92"/>
      <c r="D130" s="1775">
        <v>3</v>
      </c>
      <c r="E130" s="1791">
        <f>'TEST_pour PROTOTYPE'!D99</f>
        <v>0</v>
      </c>
      <c r="F130" s="20"/>
      <c r="G130" s="20"/>
      <c r="H130" s="20"/>
      <c r="I130" s="20"/>
      <c r="J130" s="20"/>
      <c r="K130" s="20"/>
      <c r="L130" s="20"/>
      <c r="M130" s="20"/>
      <c r="N130" s="20"/>
      <c r="O130" s="20"/>
      <c r="P130" s="1789">
        <f t="shared" si="31"/>
        <v>0</v>
      </c>
      <c r="Q130" s="25"/>
      <c r="R130" s="8"/>
      <c r="V130" s="8"/>
      <c r="X130" s="8"/>
      <c r="Y130" s="8"/>
      <c r="Z130" s="8"/>
      <c r="AA130" s="8"/>
      <c r="AB130" s="8"/>
      <c r="AC130" s="8"/>
      <c r="AE130" s="512"/>
      <c r="AF130" s="52"/>
      <c r="AG130" s="52"/>
      <c r="AH130" s="92"/>
      <c r="AI130" s="92"/>
      <c r="AJ130" s="92"/>
      <c r="AK130" s="743"/>
      <c r="AL130" s="743"/>
      <c r="AM130" s="743"/>
      <c r="AN130" s="743"/>
      <c r="AO130" s="743"/>
      <c r="AP130" s="743"/>
      <c r="AQ130" s="743"/>
      <c r="AR130" s="743"/>
    </row>
    <row r="131" spans="1:45" s="7" customFormat="1" ht="15" customHeight="1" x14ac:dyDescent="0.2">
      <c r="A131" s="1874"/>
      <c r="B131" s="308" t="str">
        <f>IF(AND(P$112&lt;R$112,P$126&gt;=R$126),"Choix des activités culturelles ou sportives","")</f>
        <v/>
      </c>
      <c r="C131" s="92"/>
      <c r="D131" s="1775">
        <v>4</v>
      </c>
      <c r="E131" s="1791">
        <f>'TEST_pour PROTOTYPE'!D100</f>
        <v>0</v>
      </c>
      <c r="F131" s="20"/>
      <c r="G131" s="20"/>
      <c r="H131" s="20"/>
      <c r="I131" s="20"/>
      <c r="J131" s="20"/>
      <c r="K131" s="20"/>
      <c r="L131" s="20"/>
      <c r="M131" s="20"/>
      <c r="N131" s="20"/>
      <c r="O131" s="20"/>
      <c r="P131" s="1789">
        <f t="shared" si="31"/>
        <v>0</v>
      </c>
      <c r="Q131" s="25"/>
      <c r="R131" s="8"/>
      <c r="V131" s="8"/>
      <c r="X131" s="8"/>
      <c r="Y131" s="8"/>
      <c r="Z131" s="8"/>
      <c r="AA131" s="8"/>
      <c r="AB131" s="8"/>
      <c r="AC131" s="8"/>
      <c r="AE131" s="512"/>
      <c r="AF131" s="52"/>
      <c r="AG131" s="52"/>
      <c r="AH131" s="92"/>
      <c r="AI131" s="92"/>
      <c r="AJ131" s="92"/>
      <c r="AK131" s="743"/>
      <c r="AL131" s="743"/>
      <c r="AM131" s="743"/>
      <c r="AN131" s="743"/>
      <c r="AO131" s="743"/>
      <c r="AP131" s="743"/>
      <c r="AQ131" s="743"/>
      <c r="AR131" s="743"/>
    </row>
    <row r="132" spans="1:45" s="7" customFormat="1" ht="15" customHeight="1" x14ac:dyDescent="0.2">
      <c r="A132" s="1874"/>
      <c r="B132" s="308" t="str">
        <f>IF(AND(P$112&lt;R$112,P$126&gt;=R$126),"Hygiène","")</f>
        <v/>
      </c>
      <c r="C132" s="92"/>
      <c r="D132" s="1775">
        <v>5</v>
      </c>
      <c r="E132" s="1791">
        <f>'TEST_pour PROTOTYPE'!D101</f>
        <v>0</v>
      </c>
      <c r="F132" s="20"/>
      <c r="G132" s="20"/>
      <c r="H132" s="20"/>
      <c r="I132" s="20"/>
      <c r="J132" s="20"/>
      <c r="K132" s="20"/>
      <c r="L132" s="20"/>
      <c r="M132" s="20"/>
      <c r="N132" s="20"/>
      <c r="O132" s="20"/>
      <c r="P132" s="1789">
        <f t="shared" si="31"/>
        <v>0</v>
      </c>
      <c r="Q132" s="25"/>
      <c r="R132" s="8"/>
      <c r="V132" s="8"/>
      <c r="X132" s="8"/>
      <c r="Y132" s="8"/>
      <c r="Z132" s="8"/>
      <c r="AA132" s="8"/>
      <c r="AB132" s="8"/>
      <c r="AC132" s="8"/>
      <c r="AE132" s="512"/>
      <c r="AF132" s="52"/>
      <c r="AG132" s="52"/>
      <c r="AH132" s="92"/>
      <c r="AI132" s="92"/>
      <c r="AJ132" s="92"/>
      <c r="AK132" s="743"/>
      <c r="AL132" s="743"/>
      <c r="AM132" s="743"/>
      <c r="AN132" s="743"/>
      <c r="AO132" s="743"/>
      <c r="AP132" s="743"/>
      <c r="AQ132" s="743"/>
      <c r="AR132" s="743"/>
    </row>
    <row r="133" spans="1:45" s="7" customFormat="1" ht="15" customHeight="1" x14ac:dyDescent="0.2">
      <c r="A133" s="1874"/>
      <c r="B133" s="308" t="str">
        <f>IF(AND(P$112&lt;R$112,P$126&gt;=R$126),"Autre (spécifiez)","")</f>
        <v/>
      </c>
      <c r="C133" s="92"/>
      <c r="D133" s="1775" t="s">
        <v>1492</v>
      </c>
      <c r="E133" s="1791"/>
      <c r="F133" s="20"/>
      <c r="G133" s="20"/>
      <c r="H133" s="20"/>
      <c r="I133" s="20"/>
      <c r="J133" s="20"/>
      <c r="K133" s="20"/>
      <c r="L133" s="20"/>
      <c r="M133" s="20"/>
      <c r="N133" s="20"/>
      <c r="O133" s="20"/>
      <c r="P133" s="24"/>
      <c r="Q133" s="25"/>
      <c r="R133" s="8"/>
      <c r="V133" s="8"/>
      <c r="X133" s="8"/>
      <c r="Y133" s="8"/>
      <c r="Z133" s="8"/>
      <c r="AA133" s="8"/>
      <c r="AB133" s="8"/>
      <c r="AC133" s="8"/>
      <c r="AE133" s="512"/>
      <c r="AF133" s="52"/>
      <c r="AG133" s="52"/>
      <c r="AH133" s="92"/>
      <c r="AI133" s="92"/>
      <c r="AJ133" s="92"/>
      <c r="AK133" s="743"/>
      <c r="AL133" s="743"/>
      <c r="AM133" s="743"/>
      <c r="AN133" s="743"/>
      <c r="AO133" s="743"/>
      <c r="AP133" s="743"/>
      <c r="AQ133" s="743"/>
      <c r="AR133" s="743"/>
    </row>
    <row r="134" spans="1:45" s="7" customFormat="1" ht="55" customHeight="1" x14ac:dyDescent="0.2">
      <c r="A134" s="1356" t="str">
        <f>BIBLE!E60</f>
        <v>PCR07</v>
      </c>
      <c r="B134" s="297" t="str">
        <f>BIBLE!F60</f>
        <v>Il vous arrive de faire des reproches à l'autre parent devant votre enfant.</v>
      </c>
      <c r="C134" s="498" t="str">
        <f>BIBLE!O60</f>
        <v xml:space="preserve">Jamais / Rarement / Occasionnellement / Régulièrement / Souvent / Toujours / S.O. </v>
      </c>
      <c r="D134" s="1978">
        <f>BIBLE!L60</f>
        <v>2</v>
      </c>
      <c r="E134" s="20"/>
      <c r="F134" s="20"/>
      <c r="G134" s="20"/>
      <c r="H134" s="20">
        <v>1</v>
      </c>
      <c r="I134" s="20"/>
      <c r="J134" s="20"/>
      <c r="K134" s="20"/>
      <c r="L134" s="20"/>
      <c r="M134" s="20"/>
      <c r="N134" s="20"/>
      <c r="O134" s="20"/>
      <c r="P134" s="1779">
        <f>'TEST_pour PROTOTYPE'!D102</f>
        <v>2</v>
      </c>
      <c r="Q134" s="25">
        <f t="shared" ref="Q134:Q140" si="32">P134*D134</f>
        <v>4</v>
      </c>
      <c r="R134" s="8" t="str">
        <f>IF(BIBLE!K60=0,"",BIBLE!K60)</f>
        <v/>
      </c>
      <c r="S134" s="55"/>
      <c r="T134" s="55"/>
      <c r="U134" s="55"/>
      <c r="V134" s="6">
        <f>Q134</f>
        <v>4</v>
      </c>
      <c r="W134" s="55"/>
      <c r="X134" s="6">
        <f t="shared" ref="X134:AC136" si="33">IF($Q134&gt;0,X$109*$D134,0)</f>
        <v>0</v>
      </c>
      <c r="Y134" s="6">
        <f t="shared" si="33"/>
        <v>2</v>
      </c>
      <c r="Z134" s="6">
        <f t="shared" si="33"/>
        <v>4</v>
      </c>
      <c r="AA134" s="6">
        <f t="shared" si="33"/>
        <v>8</v>
      </c>
      <c r="AB134" s="6">
        <f t="shared" si="33"/>
        <v>14</v>
      </c>
      <c r="AC134" s="6">
        <f t="shared" si="33"/>
        <v>20</v>
      </c>
      <c r="AE134" s="512"/>
      <c r="AF134" s="52"/>
      <c r="AG134" s="52"/>
      <c r="AH134" s="23">
        <f>$V134*BIBLE!S60</f>
        <v>0</v>
      </c>
      <c r="AI134" s="23">
        <f>$V134*BIBLE!T60</f>
        <v>0</v>
      </c>
      <c r="AJ134" s="23">
        <f>$V134*BIBLE!U60</f>
        <v>4</v>
      </c>
      <c r="AK134" s="1458">
        <f>$V134*BIBLE!W60</f>
        <v>0</v>
      </c>
      <c r="AL134" s="1458">
        <f>$V134*BIBLE!X60</f>
        <v>0</v>
      </c>
      <c r="AM134" s="1458">
        <f>$V134*BIBLE!Y60</f>
        <v>0</v>
      </c>
      <c r="AN134" s="1458">
        <f>$V134*BIBLE!Z60</f>
        <v>4</v>
      </c>
      <c r="AO134" s="1458">
        <f>$V134*BIBLE!AA60</f>
        <v>0</v>
      </c>
      <c r="AP134" s="1458">
        <f>$V134*BIBLE!AB60</f>
        <v>0</v>
      </c>
      <c r="AQ134" s="1458">
        <f>$V134*BIBLE!AC60</f>
        <v>0</v>
      </c>
      <c r="AR134" s="1458">
        <f>$V134*BIBLE!AD60</f>
        <v>0</v>
      </c>
      <c r="AS134" s="8"/>
    </row>
    <row r="135" spans="1:45" s="7" customFormat="1" ht="55" customHeight="1" x14ac:dyDescent="0.2">
      <c r="A135" s="1356" t="str">
        <f>BIBLE!E61</f>
        <v>PCR08</v>
      </c>
      <c r="B135" s="297" t="str">
        <f>BIBLE!F61</f>
        <v>À quelle fréquence communiquez-vous avec votre enfant lorsqu’il ou elle est chez l‘autre parent ?</v>
      </c>
      <c r="C135" s="498" t="str">
        <f>BIBLE!O61</f>
        <v xml:space="preserve">Jamais / Rarement, au besoin seulement / 1 à 2 fois semaine / 3 à 5 fois semaine / Tous les jours / Plusieurs fois par jour / S.O. </v>
      </c>
      <c r="D135" s="1978">
        <f>IF(AND(Test_Bible!P135&gt;=2,OR($P$27&gt;=3,$E$40&gt;8)),BIBLE!M61,BIBLE!L61)</f>
        <v>1</v>
      </c>
      <c r="E135" s="20"/>
      <c r="F135" s="20"/>
      <c r="G135" s="20"/>
      <c r="H135" s="20"/>
      <c r="I135" s="20">
        <v>1</v>
      </c>
      <c r="J135" s="20"/>
      <c r="K135" s="20"/>
      <c r="L135" s="20"/>
      <c r="M135" s="20"/>
      <c r="N135" s="20"/>
      <c r="O135" s="20"/>
      <c r="P135" s="1779">
        <f>'TEST_pour PROTOTYPE'!D103</f>
        <v>1</v>
      </c>
      <c r="Q135" s="25">
        <f t="shared" si="32"/>
        <v>1</v>
      </c>
      <c r="R135" s="8">
        <f>IF(BIBLE!K61=0,"",BIBLE!K61)</f>
        <v>2</v>
      </c>
      <c r="S135" s="54"/>
      <c r="T135" s="54"/>
      <c r="U135" s="54"/>
      <c r="V135" s="6">
        <f>Q135</f>
        <v>1</v>
      </c>
      <c r="W135" s="54"/>
      <c r="X135" s="6">
        <f t="shared" si="33"/>
        <v>0</v>
      </c>
      <c r="Y135" s="6">
        <f t="shared" si="33"/>
        <v>1</v>
      </c>
      <c r="Z135" s="6">
        <f t="shared" si="33"/>
        <v>2</v>
      </c>
      <c r="AA135" s="6">
        <f t="shared" si="33"/>
        <v>4</v>
      </c>
      <c r="AB135" s="6">
        <f t="shared" si="33"/>
        <v>7</v>
      </c>
      <c r="AC135" s="6">
        <f t="shared" si="33"/>
        <v>10</v>
      </c>
      <c r="AE135" s="512"/>
      <c r="AF135" s="52"/>
      <c r="AG135" s="52"/>
      <c r="AH135" s="23">
        <f>$V135*BIBLE!S61</f>
        <v>1</v>
      </c>
      <c r="AI135" s="23">
        <f>$V135*BIBLE!T61</f>
        <v>0</v>
      </c>
      <c r="AJ135" s="23">
        <f>$V135*BIBLE!U61</f>
        <v>0</v>
      </c>
      <c r="AK135" s="1458">
        <f>$V135*BIBLE!W61</f>
        <v>0</v>
      </c>
      <c r="AL135" s="1458">
        <f>$V135*BIBLE!X61</f>
        <v>0</v>
      </c>
      <c r="AM135" s="1458">
        <f>$V135*BIBLE!Y61</f>
        <v>0</v>
      </c>
      <c r="AN135" s="1458">
        <f>$V135*BIBLE!Z61</f>
        <v>0</v>
      </c>
      <c r="AO135" s="1458">
        <f>$V135*BIBLE!AA61</f>
        <v>1</v>
      </c>
      <c r="AP135" s="1458">
        <f>$V135*BIBLE!AB61</f>
        <v>0</v>
      </c>
      <c r="AQ135" s="1458">
        <f>$V135*BIBLE!AC61</f>
        <v>0</v>
      </c>
      <c r="AR135" s="1458">
        <f>$V135*BIBLE!AD61</f>
        <v>0</v>
      </c>
    </row>
    <row r="136" spans="1:45" s="7" customFormat="1" ht="46" customHeight="1" x14ac:dyDescent="0.2">
      <c r="A136" s="1356" t="str">
        <f>BIBLE!E62</f>
        <v>PCR09</v>
      </c>
      <c r="B136" s="297" t="str">
        <f>BIBLE!F62</f>
        <v>Vous laissez à votre enfant le droit de choisir la fréquence des visites et le temps qu'il passe chez l'autre parent.</v>
      </c>
      <c r="C136" s="498" t="str">
        <f>BIBLE!O62</f>
        <v xml:space="preserve">Jamais / Rarement / Occasionnellement / Régulièrement / Souvent / Toujours / S.O. </v>
      </c>
      <c r="D136" s="1978">
        <f>IF($E$40&gt;=10,BIBLE!L62,BIBLE!M62)</f>
        <v>2</v>
      </c>
      <c r="E136" s="20"/>
      <c r="F136" s="20"/>
      <c r="G136" s="20"/>
      <c r="H136" s="20">
        <v>1</v>
      </c>
      <c r="I136" s="20"/>
      <c r="J136" s="20"/>
      <c r="K136" s="20"/>
      <c r="L136" s="20"/>
      <c r="M136" s="20"/>
      <c r="N136" s="20"/>
      <c r="O136" s="20"/>
      <c r="P136" s="1779">
        <f>'TEST_pour PROTOTYPE'!D104</f>
        <v>2</v>
      </c>
      <c r="Q136" s="25">
        <f t="shared" si="32"/>
        <v>4</v>
      </c>
      <c r="R136" s="8" t="str">
        <f>IF(BIBLE!K62=0,"",BIBLE!K62)</f>
        <v/>
      </c>
      <c r="S136" s="55"/>
      <c r="T136" s="55"/>
      <c r="U136" s="55"/>
      <c r="V136" s="6">
        <f>Q136</f>
        <v>4</v>
      </c>
      <c r="W136" s="55"/>
      <c r="X136" s="6">
        <f t="shared" si="33"/>
        <v>0</v>
      </c>
      <c r="Y136" s="6">
        <f t="shared" si="33"/>
        <v>2</v>
      </c>
      <c r="Z136" s="6">
        <f t="shared" si="33"/>
        <v>4</v>
      </c>
      <c r="AA136" s="6">
        <f t="shared" si="33"/>
        <v>8</v>
      </c>
      <c r="AB136" s="6">
        <f t="shared" si="33"/>
        <v>14</v>
      </c>
      <c r="AC136" s="6">
        <f t="shared" si="33"/>
        <v>20</v>
      </c>
      <c r="AE136" s="512"/>
      <c r="AF136" s="52"/>
      <c r="AG136" s="52"/>
      <c r="AH136" s="23">
        <f>$V136*BIBLE!S62</f>
        <v>4</v>
      </c>
      <c r="AI136" s="23">
        <f>$V136*BIBLE!T62</f>
        <v>0</v>
      </c>
      <c r="AJ136" s="23">
        <f>$V136*BIBLE!U62</f>
        <v>0</v>
      </c>
      <c r="AK136" s="1458">
        <f>$V136*BIBLE!W62</f>
        <v>0</v>
      </c>
      <c r="AL136" s="1458">
        <f>$V136*BIBLE!X62</f>
        <v>0</v>
      </c>
      <c r="AM136" s="1458">
        <f>$V136*BIBLE!Y62</f>
        <v>0</v>
      </c>
      <c r="AN136" s="1458">
        <f>$V136*BIBLE!Z62</f>
        <v>0</v>
      </c>
      <c r="AO136" s="1458">
        <f>$V136*BIBLE!AA62</f>
        <v>4</v>
      </c>
      <c r="AP136" s="1458">
        <f>$V136*BIBLE!AB62</f>
        <v>0</v>
      </c>
      <c r="AQ136" s="1458">
        <f>$V136*BIBLE!AC62</f>
        <v>0</v>
      </c>
      <c r="AR136" s="1458">
        <f>$V136*BIBLE!AD62</f>
        <v>0</v>
      </c>
    </row>
    <row r="137" spans="1:45" s="7" customFormat="1" ht="47" customHeight="1" x14ac:dyDescent="0.2">
      <c r="A137" s="1356" t="str">
        <f>BIBLE!E63</f>
        <v>PCR19</v>
      </c>
      <c r="B137" s="297" t="str">
        <f>BIBLE!F63</f>
        <v>Dans quelle mesure considérez-vous l'autre parent comme étant votre égal·e sur le plan parental ?</v>
      </c>
      <c r="C137" s="498" t="str">
        <f>BIBLE!O63</f>
        <v>Totalement / Grandement / Moyennement / Un peu / Très peu / Pas du tout / S.O.</v>
      </c>
      <c r="D137" s="1978">
        <f>BIBLE!L63</f>
        <v>1</v>
      </c>
      <c r="E137" s="20"/>
      <c r="F137" s="20"/>
      <c r="G137" s="20"/>
      <c r="H137" s="20"/>
      <c r="I137" s="20">
        <v>1</v>
      </c>
      <c r="J137" s="20"/>
      <c r="K137" s="20"/>
      <c r="L137" s="20"/>
      <c r="M137" s="20"/>
      <c r="N137" s="20"/>
      <c r="O137" s="20"/>
      <c r="P137" s="1779">
        <f>'TEST_pour PROTOTYPE'!D105</f>
        <v>4</v>
      </c>
      <c r="Q137" s="25">
        <f t="shared" si="32"/>
        <v>4</v>
      </c>
      <c r="R137" s="8" t="str">
        <f>IF(BIBLE!K63=0,"",BIBLE!K63)</f>
        <v/>
      </c>
      <c r="S137" s="54"/>
      <c r="T137" s="54"/>
      <c r="U137" s="54"/>
      <c r="V137" s="298"/>
      <c r="W137" s="54"/>
      <c r="X137" s="6"/>
      <c r="Y137" s="6"/>
      <c r="Z137" s="6"/>
      <c r="AA137" s="6"/>
      <c r="AB137" s="6"/>
      <c r="AC137" s="6"/>
      <c r="AE137" s="512"/>
      <c r="AF137" s="52"/>
      <c r="AG137" s="52"/>
      <c r="AH137" s="23">
        <f>$V137*BIBLE!S63</f>
        <v>0</v>
      </c>
      <c r="AI137" s="23">
        <f>$V137*BIBLE!T63</f>
        <v>0</v>
      </c>
      <c r="AJ137" s="23">
        <f>$V137*BIBLE!U63</f>
        <v>0</v>
      </c>
      <c r="AK137" s="1458">
        <f>$V137*BIBLE!W63</f>
        <v>0</v>
      </c>
      <c r="AL137" s="1458">
        <f>$V137*BIBLE!X63</f>
        <v>0</v>
      </c>
      <c r="AM137" s="1458">
        <f>$V137*BIBLE!Y63</f>
        <v>0</v>
      </c>
      <c r="AN137" s="1458">
        <f>$V137*BIBLE!Z63</f>
        <v>0</v>
      </c>
      <c r="AO137" s="1458">
        <f>$V137*BIBLE!AA63</f>
        <v>0</v>
      </c>
      <c r="AP137" s="1458">
        <f>$V137*BIBLE!AB63</f>
        <v>0</v>
      </c>
      <c r="AQ137" s="1458">
        <f>$V137*BIBLE!AC63</f>
        <v>0</v>
      </c>
      <c r="AR137" s="1458">
        <f>$V137*BIBLE!AD63</f>
        <v>0</v>
      </c>
    </row>
    <row r="138" spans="1:45" s="7" customFormat="1" ht="87" customHeight="1" x14ac:dyDescent="0.2">
      <c r="A138" s="1356" t="str">
        <f>BIBLE!E64</f>
        <v>PCR10</v>
      </c>
      <c r="B138" s="297" t="str">
        <f>BIBLE!F64</f>
        <v>Dans quelle mesure acceptez-vous ou êtes-vous serein·e face aux exigences de la coparentalité (logistique horaire, transport, vacances, etc.) ?</v>
      </c>
      <c r="C138" s="498" t="str">
        <f>BIBLE!O64</f>
        <v>Totalement / Grandement / Moyennement / Un peu / Très peu / Pas du tout / S.O.</v>
      </c>
      <c r="D138" s="1978">
        <f>BIBLE!L64</f>
        <v>1</v>
      </c>
      <c r="E138" s="20"/>
      <c r="F138" s="20">
        <v>1</v>
      </c>
      <c r="G138" s="20"/>
      <c r="H138" s="20"/>
      <c r="I138" s="20"/>
      <c r="J138" s="20"/>
      <c r="K138" s="20"/>
      <c r="L138" s="20"/>
      <c r="M138" s="20"/>
      <c r="N138" s="20"/>
      <c r="O138" s="20"/>
      <c r="P138" s="1779">
        <f>'TEST_pour PROTOTYPE'!D106</f>
        <v>2</v>
      </c>
      <c r="Q138" s="25">
        <f t="shared" si="32"/>
        <v>2</v>
      </c>
      <c r="R138" s="8" t="str">
        <f>IF(BIBLE!K64=0,"",BIBLE!K64)</f>
        <v/>
      </c>
      <c r="S138" s="55"/>
      <c r="T138" s="55"/>
      <c r="U138" s="55"/>
      <c r="V138" s="6">
        <f>Q138</f>
        <v>2</v>
      </c>
      <c r="W138" s="55"/>
      <c r="X138" s="6">
        <f t="shared" ref="X138:AC140" si="34">IF($Q138&gt;0,X$109*$D138,0)</f>
        <v>0</v>
      </c>
      <c r="Y138" s="6">
        <f t="shared" si="34"/>
        <v>1</v>
      </c>
      <c r="Z138" s="6">
        <f t="shared" si="34"/>
        <v>2</v>
      </c>
      <c r="AA138" s="6">
        <f t="shared" si="34"/>
        <v>4</v>
      </c>
      <c r="AB138" s="6">
        <f t="shared" si="34"/>
        <v>7</v>
      </c>
      <c r="AC138" s="6">
        <f t="shared" si="34"/>
        <v>10</v>
      </c>
      <c r="AE138" s="512"/>
      <c r="AF138" s="52"/>
      <c r="AG138" s="52"/>
      <c r="AH138" s="23">
        <f>$V138*BIBLE!S64</f>
        <v>0</v>
      </c>
      <c r="AI138" s="23">
        <f>$V138*BIBLE!T64</f>
        <v>2</v>
      </c>
      <c r="AJ138" s="23">
        <f>$V138*BIBLE!U64</f>
        <v>0</v>
      </c>
      <c r="AK138" s="1458">
        <f>$V138*BIBLE!W64</f>
        <v>0</v>
      </c>
      <c r="AL138" s="1458">
        <f>$V138*BIBLE!X64</f>
        <v>0</v>
      </c>
      <c r="AM138" s="1458">
        <f>$V138*BIBLE!Y64</f>
        <v>0</v>
      </c>
      <c r="AN138" s="1458">
        <f>$V138*BIBLE!Z64</f>
        <v>0</v>
      </c>
      <c r="AO138" s="1458">
        <f>$V138*BIBLE!AA64</f>
        <v>0</v>
      </c>
      <c r="AP138" s="1458">
        <f>$V138*BIBLE!AB64</f>
        <v>2</v>
      </c>
      <c r="AQ138" s="1458">
        <f>$V138*BIBLE!AC64</f>
        <v>0</v>
      </c>
      <c r="AR138" s="1458">
        <f>$V138*BIBLE!AD64</f>
        <v>0</v>
      </c>
    </row>
    <row r="139" spans="1:45" s="7" customFormat="1" ht="87" customHeight="1" x14ac:dyDescent="0.2">
      <c r="A139" s="1356" t="str">
        <f>BIBLE!E65</f>
        <v>PCR11</v>
      </c>
      <c r="B139" s="297" t="str">
        <f>BIBLE!F65</f>
        <v>Vous acceptez que les vêtements et/ou jouets de votre enfant se promènent d’une maison à l’autre.</v>
      </c>
      <c r="C139" s="498" t="str">
        <f>BIBLE!O65</f>
        <v>Toujours / Souvent / Régulièrement / Occasionnellement / Rarement / Jamais / S.O.</v>
      </c>
      <c r="D139" s="1978">
        <f>BIBLE!L65</f>
        <v>2</v>
      </c>
      <c r="E139" s="20"/>
      <c r="F139" s="20"/>
      <c r="G139" s="20">
        <v>1</v>
      </c>
      <c r="H139" s="20"/>
      <c r="I139" s="20"/>
      <c r="J139" s="20"/>
      <c r="K139" s="20"/>
      <c r="L139" s="20"/>
      <c r="M139" s="20"/>
      <c r="N139" s="20"/>
      <c r="O139" s="20"/>
      <c r="P139" s="1779">
        <f>'TEST_pour PROTOTYPE'!D107</f>
        <v>1</v>
      </c>
      <c r="Q139" s="25">
        <f t="shared" si="32"/>
        <v>2</v>
      </c>
      <c r="R139" s="8" t="str">
        <f>IF(BIBLE!K65=0,"",BIBLE!K65)</f>
        <v/>
      </c>
      <c r="S139" s="54"/>
      <c r="T139" s="54"/>
      <c r="U139" s="54"/>
      <c r="V139" s="6">
        <f>Q139</f>
        <v>2</v>
      </c>
      <c r="W139" s="54"/>
      <c r="X139" s="6">
        <f t="shared" si="34"/>
        <v>0</v>
      </c>
      <c r="Y139" s="6">
        <f t="shared" si="34"/>
        <v>2</v>
      </c>
      <c r="Z139" s="6">
        <f t="shared" si="34"/>
        <v>4</v>
      </c>
      <c r="AA139" s="6">
        <f t="shared" si="34"/>
        <v>8</v>
      </c>
      <c r="AB139" s="6">
        <f t="shared" si="34"/>
        <v>14</v>
      </c>
      <c r="AC139" s="6">
        <f t="shared" si="34"/>
        <v>20</v>
      </c>
      <c r="AE139" s="512"/>
      <c r="AF139" s="52"/>
      <c r="AG139" s="52"/>
      <c r="AH139" s="23">
        <f>$V139*BIBLE!S65</f>
        <v>2</v>
      </c>
      <c r="AI139" s="23">
        <f>$V139*BIBLE!T65</f>
        <v>0</v>
      </c>
      <c r="AJ139" s="23">
        <f>$V139*BIBLE!U65</f>
        <v>0</v>
      </c>
      <c r="AK139" s="1458">
        <f>$V139*BIBLE!W65</f>
        <v>0</v>
      </c>
      <c r="AL139" s="1458">
        <f>$V139*BIBLE!X65</f>
        <v>0</v>
      </c>
      <c r="AM139" s="1458">
        <f>$V139*BIBLE!Y65</f>
        <v>0</v>
      </c>
      <c r="AN139" s="1458">
        <f>$V139*BIBLE!Z65</f>
        <v>0</v>
      </c>
      <c r="AO139" s="1458">
        <f>$V139*BIBLE!AA65</f>
        <v>0</v>
      </c>
      <c r="AP139" s="1458">
        <f>$V139*BIBLE!AB65</f>
        <v>2</v>
      </c>
      <c r="AQ139" s="1458">
        <f>$V139*BIBLE!AC65</f>
        <v>0</v>
      </c>
      <c r="AR139" s="1458">
        <f>$V139*BIBLE!AD65</f>
        <v>0</v>
      </c>
    </row>
    <row r="140" spans="1:45" s="7" customFormat="1" ht="87" customHeight="1" x14ac:dyDescent="0.2">
      <c r="A140" s="1356" t="str">
        <f>BIBLE!E66</f>
        <v>PCR12</v>
      </c>
      <c r="B140" s="297" t="str">
        <f>BIBLE!F66</f>
        <v>Il vous arrive de prendre des décisions sans consulter l'autre parent.</v>
      </c>
      <c r="C140" s="498" t="str">
        <f>BIBLE!O66</f>
        <v xml:space="preserve">Jamais / Rarement / Occasionnellement / Régulièrement / Souvent / Toujours / S.O. </v>
      </c>
      <c r="D140" s="1978">
        <f>BIBLE!L66</f>
        <v>2</v>
      </c>
      <c r="E140" s="20"/>
      <c r="F140" s="20"/>
      <c r="G140" s="20"/>
      <c r="H140" s="20"/>
      <c r="I140" s="20"/>
      <c r="J140" s="20"/>
      <c r="K140" s="20">
        <v>1</v>
      </c>
      <c r="L140" s="20"/>
      <c r="M140" s="20"/>
      <c r="N140" s="20"/>
      <c r="O140" s="20"/>
      <c r="P140" s="1779">
        <f>'TEST_pour PROTOTYPE'!D108</f>
        <v>4</v>
      </c>
      <c r="Q140" s="25">
        <f t="shared" si="32"/>
        <v>8</v>
      </c>
      <c r="R140" s="8">
        <f>IF(BIBLE!K66=0,"",BIBLE!K66)</f>
        <v>4</v>
      </c>
      <c r="S140" s="55"/>
      <c r="T140" s="55"/>
      <c r="U140" s="55"/>
      <c r="V140" s="6">
        <f>Q140</f>
        <v>8</v>
      </c>
      <c r="W140" s="55"/>
      <c r="X140" s="6">
        <f t="shared" si="34"/>
        <v>0</v>
      </c>
      <c r="Y140" s="6">
        <f t="shared" si="34"/>
        <v>2</v>
      </c>
      <c r="Z140" s="6">
        <f t="shared" si="34"/>
        <v>4</v>
      </c>
      <c r="AA140" s="6">
        <f t="shared" si="34"/>
        <v>8</v>
      </c>
      <c r="AB140" s="6">
        <f t="shared" si="34"/>
        <v>14</v>
      </c>
      <c r="AC140" s="6">
        <f t="shared" si="34"/>
        <v>20</v>
      </c>
      <c r="AE140" s="512"/>
      <c r="AF140" s="52"/>
      <c r="AG140" s="52"/>
      <c r="AH140" s="23">
        <f>$V140*BIBLE!S66</f>
        <v>8</v>
      </c>
      <c r="AI140" s="23">
        <f>$V140*BIBLE!T66</f>
        <v>0</v>
      </c>
      <c r="AJ140" s="23">
        <f>$V140*BIBLE!U66</f>
        <v>0</v>
      </c>
      <c r="AK140" s="1458">
        <f>$V140*BIBLE!W66</f>
        <v>0</v>
      </c>
      <c r="AL140" s="1458">
        <f>$V140*BIBLE!X66</f>
        <v>0</v>
      </c>
      <c r="AM140" s="1458">
        <f>$V140*BIBLE!Y66</f>
        <v>0</v>
      </c>
      <c r="AN140" s="1458">
        <f>$V140*BIBLE!Z66</f>
        <v>0</v>
      </c>
      <c r="AO140" s="1458">
        <f>$V140*BIBLE!AA66</f>
        <v>0</v>
      </c>
      <c r="AP140" s="1458">
        <f>$V140*BIBLE!AB66</f>
        <v>8</v>
      </c>
      <c r="AQ140" s="1458">
        <f>$V140*BIBLE!AC66</f>
        <v>0</v>
      </c>
      <c r="AR140" s="1458">
        <f>$V140*BIBLE!AD66</f>
        <v>0</v>
      </c>
    </row>
    <row r="141" spans="1:45" s="7" customFormat="1" ht="34" x14ac:dyDescent="0.2">
      <c r="A141" s="1356" t="str">
        <f>BIBLE!E67</f>
        <v>PCR12a</v>
      </c>
      <c r="B141" s="127" t="str">
        <f>IF(P140&gt;=R140,BIBLE!F67," ")</f>
        <v>Quel type de décisions avez-vous pris sans consulter l'autre parent ou sans attendre son approbation ?</v>
      </c>
      <c r="C141" s="498"/>
      <c r="D141" s="1980"/>
      <c r="E141" s="1540">
        <f>(D142*E142)+(D143*E143)+(D144*E144)+(D145*E145)+(D146*E146)</f>
        <v>0</v>
      </c>
      <c r="F141" s="20"/>
      <c r="G141" s="20"/>
      <c r="H141" s="20"/>
      <c r="I141" s="20"/>
      <c r="J141" s="20"/>
      <c r="K141" s="20"/>
      <c r="L141" s="20"/>
      <c r="M141" s="20"/>
      <c r="N141" s="20"/>
      <c r="O141" s="1875" t="s">
        <v>1619</v>
      </c>
      <c r="P141" s="25">
        <f>SUM(P142:P147)</f>
        <v>0</v>
      </c>
      <c r="Q141" s="25"/>
      <c r="R141" s="8" t="str">
        <f>IF(BIBLE!K67=0,"",BIBLE!K67)</f>
        <v/>
      </c>
      <c r="S141" s="55"/>
      <c r="T141" s="55"/>
      <c r="U141" s="55"/>
      <c r="V141" s="534"/>
      <c r="W141" s="55"/>
      <c r="X141" s="8"/>
      <c r="Y141" s="8"/>
      <c r="Z141" s="8"/>
      <c r="AA141" s="8"/>
      <c r="AB141" s="8"/>
      <c r="AC141" s="8"/>
      <c r="AE141" s="512"/>
      <c r="AF141" s="52"/>
      <c r="AG141" s="52"/>
      <c r="AH141" s="92"/>
      <c r="AI141" s="92"/>
      <c r="AJ141" s="92"/>
      <c r="AK141" s="743"/>
      <c r="AL141" s="743"/>
      <c r="AM141" s="743"/>
      <c r="AN141" s="743"/>
      <c r="AO141" s="743"/>
      <c r="AP141" s="743"/>
      <c r="AQ141" s="743"/>
      <c r="AR141" s="743"/>
    </row>
    <row r="142" spans="1:45" s="7" customFormat="1" ht="27" customHeight="1" x14ac:dyDescent="0.2">
      <c r="A142" s="1356"/>
      <c r="B142" s="161" t="str">
        <f>IF(P$140&gt;=R$140,"Choix d'école et/ou inscription (primaire et secondaire)","")</f>
        <v>Choix d'école et/ou inscription (primaire et secondaire)</v>
      </c>
      <c r="C142" s="596" t="str">
        <f>IF(BIBLE!H53=0,"",BIBLE!H53)</f>
        <v/>
      </c>
      <c r="D142" s="1775">
        <v>7</v>
      </c>
      <c r="E142" s="1793">
        <f>'TEST_pour PROTOTYPE'!D109</f>
        <v>0</v>
      </c>
      <c r="F142" s="20"/>
      <c r="G142" s="20"/>
      <c r="H142" s="20"/>
      <c r="I142" s="20"/>
      <c r="J142" s="20"/>
      <c r="K142" s="20"/>
      <c r="L142" s="20"/>
      <c r="M142" s="20"/>
      <c r="N142" s="20"/>
      <c r="O142" s="20"/>
      <c r="P142" s="1790">
        <f>D142*E142</f>
        <v>0</v>
      </c>
      <c r="Q142" s="25"/>
      <c r="R142" s="8"/>
      <c r="S142" s="55"/>
      <c r="T142" s="55"/>
      <c r="U142" s="55"/>
      <c r="V142" s="534"/>
      <c r="W142" s="55"/>
      <c r="X142" s="8"/>
      <c r="Y142" s="8"/>
      <c r="Z142" s="8"/>
      <c r="AA142" s="8"/>
      <c r="AB142" s="8"/>
      <c r="AC142" s="8"/>
      <c r="AE142" s="512"/>
      <c r="AF142" s="52"/>
      <c r="AG142" s="52"/>
      <c r="AH142" s="92"/>
      <c r="AI142" s="92"/>
      <c r="AJ142" s="92"/>
      <c r="AK142" s="743"/>
      <c r="AL142" s="743"/>
      <c r="AM142" s="743"/>
      <c r="AN142" s="743"/>
      <c r="AO142" s="743"/>
      <c r="AP142" s="743"/>
      <c r="AQ142" s="743"/>
      <c r="AR142" s="743"/>
    </row>
    <row r="143" spans="1:45" s="7" customFormat="1" ht="27" customHeight="1" x14ac:dyDescent="0.2">
      <c r="A143" s="1356"/>
      <c r="B143" s="161" t="str">
        <f>IF(P140&gt;=R140,"Choix de club|programme sportif ou calendrier sportif","")</f>
        <v>Choix de club|programme sportif ou calendrier sportif</v>
      </c>
      <c r="C143" s="596" t="str">
        <f>IF(BIBLE!H55=0,"",BIBLE!H55)</f>
        <v/>
      </c>
      <c r="D143" s="1775">
        <v>3</v>
      </c>
      <c r="E143" s="1793">
        <f>'TEST_pour PROTOTYPE'!D110</f>
        <v>0</v>
      </c>
      <c r="F143" s="20"/>
      <c r="G143" s="20"/>
      <c r="H143" s="20"/>
      <c r="I143" s="20"/>
      <c r="J143" s="20"/>
      <c r="K143" s="20"/>
      <c r="L143" s="20"/>
      <c r="M143" s="20"/>
      <c r="N143" s="20"/>
      <c r="O143" s="20"/>
      <c r="P143" s="1790">
        <f t="shared" ref="P143:P147" si="35">D143*E143</f>
        <v>0</v>
      </c>
      <c r="Q143" s="25"/>
      <c r="R143" s="8" t="str">
        <f>IF(BIBLE!K73=0,"",BIBLE!K73)</f>
        <v/>
      </c>
      <c r="S143" s="55"/>
      <c r="T143" s="55"/>
      <c r="U143" s="55"/>
      <c r="V143" s="534"/>
      <c r="W143" s="55"/>
      <c r="X143" s="8"/>
      <c r="Y143" s="8"/>
      <c r="Z143" s="8"/>
      <c r="AA143" s="8"/>
      <c r="AB143" s="8"/>
      <c r="AC143" s="8"/>
      <c r="AE143" s="512"/>
      <c r="AF143" s="52"/>
      <c r="AG143" s="52"/>
      <c r="AH143" s="92"/>
      <c r="AI143" s="92"/>
      <c r="AJ143" s="92"/>
      <c r="AK143" s="743"/>
      <c r="AL143" s="743"/>
      <c r="AM143" s="743"/>
      <c r="AN143" s="743"/>
      <c r="AO143" s="743"/>
      <c r="AP143" s="743"/>
      <c r="AQ143" s="743"/>
      <c r="AR143" s="743"/>
    </row>
    <row r="144" spans="1:45" s="7" customFormat="1" ht="27" customHeight="1" x14ac:dyDescent="0.2">
      <c r="A144" s="1356"/>
      <c r="B144" s="161" t="str">
        <f>IF(P140&gt;=R140,"Soins médicaux ou dentaires","")</f>
        <v>Soins médicaux ou dentaires</v>
      </c>
      <c r="C144" s="596"/>
      <c r="D144" s="1775">
        <v>3</v>
      </c>
      <c r="E144" s="1793">
        <f>'TEST_pour PROTOTYPE'!D111</f>
        <v>0</v>
      </c>
      <c r="F144" s="20"/>
      <c r="G144" s="20"/>
      <c r="H144" s="20"/>
      <c r="I144" s="20"/>
      <c r="J144" s="20"/>
      <c r="K144" s="20"/>
      <c r="L144" s="20"/>
      <c r="M144" s="20"/>
      <c r="N144" s="20"/>
      <c r="O144" s="20"/>
      <c r="P144" s="1790">
        <f t="shared" si="35"/>
        <v>0</v>
      </c>
      <c r="Q144" s="25"/>
      <c r="R144" s="8" t="str">
        <f>IF(BIBLE!K78=0,"",BIBLE!K78)</f>
        <v/>
      </c>
      <c r="S144" s="55"/>
      <c r="T144" s="55"/>
      <c r="U144" s="55"/>
      <c r="V144" s="534"/>
      <c r="W144" s="55"/>
      <c r="X144" s="8"/>
      <c r="Y144" s="8"/>
      <c r="Z144" s="8"/>
      <c r="AA144" s="8"/>
      <c r="AB144" s="8"/>
      <c r="AC144" s="8"/>
      <c r="AE144" s="512"/>
      <c r="AF144" s="52"/>
      <c r="AG144" s="52"/>
      <c r="AH144" s="92"/>
      <c r="AI144" s="92"/>
      <c r="AJ144" s="92"/>
      <c r="AK144" s="743"/>
      <c r="AL144" s="743"/>
      <c r="AM144" s="743"/>
      <c r="AN144" s="743"/>
      <c r="AO144" s="743"/>
      <c r="AP144" s="743"/>
      <c r="AQ144" s="743"/>
      <c r="AR144" s="743"/>
    </row>
    <row r="145" spans="1:44" s="7" customFormat="1" ht="27" customHeight="1" x14ac:dyDescent="0.2">
      <c r="A145" s="1356"/>
      <c r="B145" s="161" t="str">
        <f>IF(P140&gt;=R140,"Déménagement (forçant un changement majeur ou autres)","")</f>
        <v>Déménagement (forçant un changement majeur ou autres)</v>
      </c>
      <c r="C145" s="596"/>
      <c r="D145" s="1775">
        <v>10</v>
      </c>
      <c r="E145" s="1793">
        <f>'TEST_pour PROTOTYPE'!D112</f>
        <v>0</v>
      </c>
      <c r="F145" s="20"/>
      <c r="G145" s="20"/>
      <c r="H145" s="20"/>
      <c r="I145" s="20"/>
      <c r="J145" s="20"/>
      <c r="K145" s="20"/>
      <c r="L145" s="20"/>
      <c r="M145" s="20"/>
      <c r="N145" s="20"/>
      <c r="O145" s="20"/>
      <c r="P145" s="1790">
        <f t="shared" si="35"/>
        <v>0</v>
      </c>
      <c r="Q145" s="25"/>
      <c r="R145" s="8" t="str">
        <f>IF(BIBLE!K81=0,"",BIBLE!K81)</f>
        <v/>
      </c>
      <c r="S145" s="55"/>
      <c r="T145" s="55"/>
      <c r="U145" s="55"/>
      <c r="V145" s="534"/>
      <c r="W145" s="55"/>
      <c r="X145" s="8"/>
      <c r="Y145" s="8"/>
      <c r="Z145" s="8"/>
      <c r="AA145" s="8"/>
      <c r="AB145" s="8"/>
      <c r="AC145" s="8"/>
      <c r="AE145" s="512"/>
      <c r="AF145" s="52"/>
      <c r="AG145" s="52"/>
      <c r="AH145" s="92"/>
      <c r="AI145" s="92"/>
      <c r="AJ145" s="92"/>
      <c r="AK145" s="743"/>
      <c r="AL145" s="743"/>
      <c r="AM145" s="743"/>
      <c r="AN145" s="743"/>
      <c r="AO145" s="743"/>
      <c r="AP145" s="743"/>
      <c r="AQ145" s="743"/>
      <c r="AR145" s="743"/>
    </row>
    <row r="146" spans="1:44" s="7" customFormat="1" ht="27" customHeight="1" x14ac:dyDescent="0.2">
      <c r="A146" s="1356"/>
      <c r="B146" s="161" t="str">
        <f>IF(P140&gt;=R140,"Achat d'une valeur significative (auto, animal,…)","")</f>
        <v>Achat d'une valeur significative (auto, animal,…)</v>
      </c>
      <c r="C146" s="596"/>
      <c r="D146" s="1775">
        <v>5</v>
      </c>
      <c r="E146" s="1793">
        <f>'TEST_pour PROTOTYPE'!D113</f>
        <v>0</v>
      </c>
      <c r="F146" s="20"/>
      <c r="G146" s="20"/>
      <c r="H146" s="20"/>
      <c r="I146" s="20"/>
      <c r="J146" s="20"/>
      <c r="K146" s="20"/>
      <c r="L146" s="20"/>
      <c r="M146" s="20"/>
      <c r="N146" s="20"/>
      <c r="O146" s="20"/>
      <c r="P146" s="1790">
        <f t="shared" si="35"/>
        <v>0</v>
      </c>
      <c r="Q146" s="25"/>
      <c r="R146" s="8"/>
      <c r="S146" s="55"/>
      <c r="T146" s="55"/>
      <c r="U146" s="55"/>
      <c r="V146" s="534"/>
      <c r="W146" s="55"/>
      <c r="X146" s="8"/>
      <c r="Y146" s="8"/>
      <c r="Z146" s="8"/>
      <c r="AA146" s="8"/>
      <c r="AB146" s="8"/>
      <c r="AC146" s="8"/>
      <c r="AE146" s="512"/>
      <c r="AF146" s="52"/>
      <c r="AG146" s="52"/>
      <c r="AH146" s="92"/>
      <c r="AI146" s="92"/>
      <c r="AJ146" s="92"/>
      <c r="AK146" s="743"/>
      <c r="AL146" s="743"/>
      <c r="AM146" s="743"/>
      <c r="AN146" s="743"/>
      <c r="AO146" s="743"/>
      <c r="AP146" s="743"/>
      <c r="AQ146" s="743"/>
      <c r="AR146" s="743"/>
    </row>
    <row r="147" spans="1:44" s="7" customFormat="1" ht="27" customHeight="1" x14ac:dyDescent="0.2">
      <c r="A147" s="1356"/>
      <c r="B147" s="161" t="str">
        <f>IF(P140&gt;=R140,"Décisions engendrant des coûts significatifs sans votre consentement préalable","")</f>
        <v>Décisions engendrant des coûts significatifs sans votre consentement préalable</v>
      </c>
      <c r="C147" s="596"/>
      <c r="D147" s="1775">
        <v>1</v>
      </c>
      <c r="E147" s="1793">
        <f>'TEST_pour PROTOTYPE'!D114</f>
        <v>0</v>
      </c>
      <c r="F147" s="20"/>
      <c r="G147" s="20"/>
      <c r="H147" s="20"/>
      <c r="I147" s="20"/>
      <c r="J147" s="20"/>
      <c r="K147" s="20"/>
      <c r="L147" s="20"/>
      <c r="M147" s="20"/>
      <c r="N147" s="20"/>
      <c r="O147" s="20"/>
      <c r="P147" s="1790">
        <f t="shared" si="35"/>
        <v>0</v>
      </c>
      <c r="Q147" s="25"/>
      <c r="R147" s="8"/>
      <c r="S147" s="55"/>
      <c r="T147" s="55"/>
      <c r="U147" s="55"/>
      <c r="V147" s="534"/>
      <c r="W147" s="55"/>
      <c r="X147" s="8"/>
      <c r="Y147" s="8"/>
      <c r="Z147" s="8"/>
      <c r="AA147" s="8"/>
      <c r="AB147" s="8"/>
      <c r="AC147" s="8"/>
      <c r="AE147" s="512"/>
      <c r="AF147" s="52"/>
      <c r="AG147" s="52"/>
      <c r="AH147" s="92"/>
      <c r="AI147" s="92"/>
      <c r="AJ147" s="92"/>
      <c r="AK147" s="743"/>
      <c r="AL147" s="743"/>
      <c r="AM147" s="743"/>
      <c r="AN147" s="743"/>
      <c r="AO147" s="743"/>
      <c r="AP147" s="743"/>
      <c r="AQ147" s="743"/>
      <c r="AR147" s="743"/>
    </row>
    <row r="148" spans="1:44" s="7" customFormat="1" ht="27" customHeight="1" x14ac:dyDescent="0.2">
      <c r="A148" s="1356"/>
      <c r="B148" s="161" t="str">
        <f>IF(P140&gt;=R140,"Autre (spécifiez)","")</f>
        <v>Autre (spécifiez)</v>
      </c>
      <c r="C148" s="596"/>
      <c r="D148" s="1775" t="s">
        <v>1492</v>
      </c>
      <c r="E148" s="1912"/>
      <c r="F148" s="20"/>
      <c r="G148" s="20"/>
      <c r="H148" s="20"/>
      <c r="I148" s="20"/>
      <c r="J148" s="20"/>
      <c r="K148" s="20"/>
      <c r="L148" s="20"/>
      <c r="M148" s="20"/>
      <c r="N148" s="20"/>
      <c r="O148" s="20"/>
      <c r="P148" s="1790"/>
      <c r="Q148" s="25"/>
      <c r="R148" s="8"/>
      <c r="S148" s="55"/>
      <c r="T148" s="55"/>
      <c r="U148" s="55"/>
      <c r="V148" s="534"/>
      <c r="W148" s="55"/>
      <c r="X148" s="8"/>
      <c r="Y148" s="8"/>
      <c r="Z148" s="8"/>
      <c r="AA148" s="8"/>
      <c r="AB148" s="8"/>
      <c r="AC148" s="8"/>
      <c r="AE148" s="512"/>
      <c r="AF148" s="52"/>
      <c r="AG148" s="52"/>
      <c r="AH148" s="92"/>
      <c r="AI148" s="92"/>
      <c r="AJ148" s="92"/>
      <c r="AK148" s="743"/>
      <c r="AL148" s="743"/>
      <c r="AM148" s="743"/>
      <c r="AN148" s="743"/>
      <c r="AO148" s="743"/>
      <c r="AP148" s="743"/>
      <c r="AQ148" s="743"/>
      <c r="AR148" s="743"/>
    </row>
    <row r="149" spans="1:44" s="8" customFormat="1" ht="73" customHeight="1" x14ac:dyDescent="0.2">
      <c r="A149" s="1356" t="str">
        <f>BIBLE!E68</f>
        <v>PCR13</v>
      </c>
      <c r="B149" s="297" t="str">
        <f>BIBLE!F68</f>
        <v>Le contexte de coparentalité vous contraint à demander à votre enfant de faire les messages et demandes entourant la logistique familiale.</v>
      </c>
      <c r="C149" s="498" t="str">
        <f>BIBLE!O68</f>
        <v xml:space="preserve">Jamais / Rarement / Occasionnellement / Régulièrement / Souvent / Toujours / S.O. </v>
      </c>
      <c r="D149" s="1978">
        <f>BIBLE!L68</f>
        <v>2</v>
      </c>
      <c r="E149" s="19"/>
      <c r="F149" s="20"/>
      <c r="G149" s="20"/>
      <c r="H149" s="20"/>
      <c r="I149" s="20"/>
      <c r="J149" s="20">
        <v>1</v>
      </c>
      <c r="K149" s="20"/>
      <c r="L149" s="20"/>
      <c r="M149" s="20"/>
      <c r="N149" s="20"/>
      <c r="O149" s="20"/>
      <c r="P149" s="1779">
        <f>'TEST_pour PROTOTYPE'!D115</f>
        <v>4</v>
      </c>
      <c r="Q149" s="25">
        <f t="shared" ref="Q149:Q154" si="36">P149*D149</f>
        <v>8</v>
      </c>
      <c r="R149" s="8" t="str">
        <f>IF(BIBLE!K68=0,"",BIBLE!K68)</f>
        <v/>
      </c>
      <c r="V149" s="6">
        <f>Q149</f>
        <v>8</v>
      </c>
      <c r="X149" s="6">
        <f t="shared" ref="X149:AC151" si="37">IF($Q149&gt;0,X$109*$D149,0)</f>
        <v>0</v>
      </c>
      <c r="Y149" s="6">
        <f t="shared" si="37"/>
        <v>2</v>
      </c>
      <c r="Z149" s="6">
        <f t="shared" si="37"/>
        <v>4</v>
      </c>
      <c r="AA149" s="6">
        <f t="shared" si="37"/>
        <v>8</v>
      </c>
      <c r="AB149" s="6">
        <f t="shared" si="37"/>
        <v>14</v>
      </c>
      <c r="AC149" s="6">
        <f t="shared" si="37"/>
        <v>20</v>
      </c>
      <c r="AE149" s="511"/>
      <c r="AF149" s="2050"/>
      <c r="AG149" s="2050"/>
      <c r="AH149" s="23">
        <f>$V149*BIBLE!S68</f>
        <v>8</v>
      </c>
      <c r="AI149" s="23">
        <f>$V149*BIBLE!T68</f>
        <v>0</v>
      </c>
      <c r="AJ149" s="23">
        <f>$V149*BIBLE!U68</f>
        <v>0</v>
      </c>
      <c r="AK149" s="1458">
        <f>$V149*BIBLE!W68</f>
        <v>0</v>
      </c>
      <c r="AL149" s="1458">
        <f>$V149*BIBLE!X68</f>
        <v>0</v>
      </c>
      <c r="AM149" s="1458">
        <f>$V149*BIBLE!Y68</f>
        <v>0</v>
      </c>
      <c r="AN149" s="1458">
        <f>$V149*BIBLE!Z68</f>
        <v>0</v>
      </c>
      <c r="AO149" s="1458">
        <f>$V149*BIBLE!AA68</f>
        <v>0</v>
      </c>
      <c r="AP149" s="1458">
        <f>$V149*BIBLE!AB68</f>
        <v>0</v>
      </c>
      <c r="AQ149" s="1458">
        <f>$V149*BIBLE!AC68</f>
        <v>8</v>
      </c>
      <c r="AR149" s="1458">
        <f>$V149*BIBLE!AD68</f>
        <v>0</v>
      </c>
    </row>
    <row r="150" spans="1:44" s="8" customFormat="1" ht="73" customHeight="1" x14ac:dyDescent="0.2">
      <c r="A150" s="1356" t="str">
        <f>BIBLE!E69</f>
        <v>PCR14</v>
      </c>
      <c r="B150" s="297" t="str">
        <f>BIBLE!F69</f>
        <v>Un enfant de 12 ans est assez mature pour choisir où et avec qui il veut vivre.</v>
      </c>
      <c r="C150" s="498" t="str">
        <f>BIBLE!O69</f>
        <v>Tout à fait en désaccord / En désaccord /  Partiellement en désaccord /  Partiellement d’accord / D’accord / Tout à fait d’accord / S.O.</v>
      </c>
      <c r="D150" s="1978">
        <f>IF($E$40&gt;=14,BIBLE!L69,BIBLE!M69)</f>
        <v>3</v>
      </c>
      <c r="E150" s="20"/>
      <c r="F150" s="20">
        <v>1</v>
      </c>
      <c r="G150" s="20"/>
      <c r="H150" s="20"/>
      <c r="I150" s="20"/>
      <c r="J150" s="20"/>
      <c r="K150" s="20"/>
      <c r="L150" s="20"/>
      <c r="M150" s="20"/>
      <c r="N150" s="20"/>
      <c r="O150" s="20"/>
      <c r="P150" s="1779">
        <f>'TEST_pour PROTOTYPE'!D116</f>
        <v>2</v>
      </c>
      <c r="Q150" s="25">
        <f t="shared" si="36"/>
        <v>6</v>
      </c>
      <c r="R150" s="8" t="str">
        <f>IF(BIBLE!K69=0,"",BIBLE!K69)</f>
        <v/>
      </c>
      <c r="V150" s="6">
        <f>Q150</f>
        <v>6</v>
      </c>
      <c r="X150" s="6">
        <f t="shared" si="37"/>
        <v>0</v>
      </c>
      <c r="Y150" s="6">
        <f t="shared" si="37"/>
        <v>3</v>
      </c>
      <c r="Z150" s="6">
        <f t="shared" si="37"/>
        <v>6</v>
      </c>
      <c r="AA150" s="6">
        <f t="shared" si="37"/>
        <v>12</v>
      </c>
      <c r="AB150" s="6">
        <f t="shared" si="37"/>
        <v>21</v>
      </c>
      <c r="AC150" s="6">
        <f t="shared" si="37"/>
        <v>30</v>
      </c>
      <c r="AE150" s="511"/>
      <c r="AF150" s="2050"/>
      <c r="AG150" s="2050"/>
      <c r="AH150" s="23">
        <f>$V150*BIBLE!S69</f>
        <v>6</v>
      </c>
      <c r="AI150" s="23">
        <f>$V150*BIBLE!T69</f>
        <v>0</v>
      </c>
      <c r="AJ150" s="23">
        <f>$V150*BIBLE!U69</f>
        <v>0</v>
      </c>
      <c r="AK150" s="1458">
        <f>$V150*BIBLE!W69</f>
        <v>0</v>
      </c>
      <c r="AL150" s="1458">
        <f>$V150*BIBLE!X69</f>
        <v>0</v>
      </c>
      <c r="AM150" s="1458">
        <f>$V150*BIBLE!Y69</f>
        <v>0</v>
      </c>
      <c r="AN150" s="1458">
        <f>$V150*BIBLE!Z69</f>
        <v>0</v>
      </c>
      <c r="AO150" s="1458">
        <f>$V150*BIBLE!AA69</f>
        <v>0</v>
      </c>
      <c r="AP150" s="1458">
        <f>$V150*BIBLE!AB69</f>
        <v>0</v>
      </c>
      <c r="AQ150" s="1458">
        <f>$V150*BIBLE!AC69</f>
        <v>6</v>
      </c>
      <c r="AR150" s="1458">
        <f>$V150*BIBLE!AD69</f>
        <v>0</v>
      </c>
    </row>
    <row r="151" spans="1:44" s="8" customFormat="1" ht="73" customHeight="1" x14ac:dyDescent="0.2">
      <c r="A151" s="1356" t="str">
        <f>BIBLE!E70</f>
        <v>PCR15</v>
      </c>
      <c r="B151" s="297" t="str">
        <f>BIBLE!F70</f>
        <v>Il est important que votre enfant soit au courant des enjeux de la séparation et/ou du conflit qui vous oppose à l'autre parent.</v>
      </c>
      <c r="C151" s="498" t="str">
        <f>BIBLE!O70</f>
        <v>Tout à fait en désaccord / En désaccord /  Partiellement en désaccord /  Partiellement d’accord / D’accord / Tout à fait d’accord / S.O.</v>
      </c>
      <c r="D151" s="1978">
        <f>IF($E$40&gt;=12,BIBLE!L70,BIBLE!M70)</f>
        <v>3</v>
      </c>
      <c r="E151" s="20"/>
      <c r="F151" s="20"/>
      <c r="G151" s="20"/>
      <c r="H151" s="20">
        <v>1</v>
      </c>
      <c r="I151" s="20"/>
      <c r="J151" s="20"/>
      <c r="K151" s="20"/>
      <c r="L151" s="20"/>
      <c r="M151" s="20"/>
      <c r="N151" s="20"/>
      <c r="O151" s="20"/>
      <c r="P151" s="1779">
        <f>'TEST_pour PROTOTYPE'!D117</f>
        <v>1</v>
      </c>
      <c r="Q151" s="25">
        <f t="shared" si="36"/>
        <v>3</v>
      </c>
      <c r="R151" s="8">
        <f>IF(BIBLE!K70=0,"",BIBLE!K70)</f>
        <v>2</v>
      </c>
      <c r="V151" s="6">
        <f>Q151</f>
        <v>3</v>
      </c>
      <c r="X151" s="6">
        <f t="shared" si="37"/>
        <v>0</v>
      </c>
      <c r="Y151" s="6">
        <f t="shared" si="37"/>
        <v>3</v>
      </c>
      <c r="Z151" s="6">
        <f t="shared" si="37"/>
        <v>6</v>
      </c>
      <c r="AA151" s="6">
        <f t="shared" si="37"/>
        <v>12</v>
      </c>
      <c r="AB151" s="6">
        <f t="shared" si="37"/>
        <v>21</v>
      </c>
      <c r="AC151" s="6">
        <f t="shared" si="37"/>
        <v>30</v>
      </c>
      <c r="AE151" s="511"/>
      <c r="AF151" s="2050"/>
      <c r="AG151" s="2050"/>
      <c r="AH151" s="23">
        <f>$V151*BIBLE!S70</f>
        <v>3</v>
      </c>
      <c r="AI151" s="23">
        <f>$V151*BIBLE!T70</f>
        <v>0</v>
      </c>
      <c r="AJ151" s="23">
        <f>$V151*BIBLE!U70</f>
        <v>0</v>
      </c>
      <c r="AK151" s="1458">
        <f>$V151*BIBLE!W70</f>
        <v>0</v>
      </c>
      <c r="AL151" s="1458">
        <f>$V151*BIBLE!X70</f>
        <v>0</v>
      </c>
      <c r="AM151" s="1458">
        <f>$V151*BIBLE!Y70</f>
        <v>0</v>
      </c>
      <c r="AN151" s="1458">
        <f>$V151*BIBLE!Z70</f>
        <v>0</v>
      </c>
      <c r="AO151" s="1458">
        <f>$V151*BIBLE!AA70</f>
        <v>0</v>
      </c>
      <c r="AP151" s="1458">
        <f>$V151*BIBLE!AB70</f>
        <v>0</v>
      </c>
      <c r="AQ151" s="1458">
        <f>$V151*BIBLE!AC70</f>
        <v>3</v>
      </c>
      <c r="AR151" s="1458">
        <f>$V151*BIBLE!AD70</f>
        <v>0</v>
      </c>
    </row>
    <row r="152" spans="1:44" s="8" customFormat="1" ht="39" customHeight="1" x14ac:dyDescent="0.2">
      <c r="A152" s="1356" t="str">
        <f>BIBLE!E71</f>
        <v>PCR15a</v>
      </c>
      <c r="B152" s="2228" t="str">
        <f>IF(P151&gt;=R151,BIBLE!F71," ")</f>
        <v xml:space="preserve"> </v>
      </c>
      <c r="C152" s="124" t="s">
        <v>235</v>
      </c>
      <c r="D152" s="1976">
        <v>1</v>
      </c>
      <c r="E152" s="51" t="str">
        <f>IF(P$152=D152,1,"x")</f>
        <v>x</v>
      </c>
      <c r="F152" s="20"/>
      <c r="G152" s="20"/>
      <c r="H152" s="20"/>
      <c r="I152" s="20"/>
      <c r="J152" s="20"/>
      <c r="K152" s="20"/>
      <c r="L152" s="20"/>
      <c r="M152" s="20"/>
      <c r="N152" s="20"/>
      <c r="O152" s="20"/>
      <c r="P152" s="1815">
        <f>'TEST_pour PROTOTYPE'!D118</f>
        <v>0</v>
      </c>
      <c r="Q152" s="25"/>
      <c r="R152" s="8" t="str">
        <f>IF(BIBLE!K71=0,"",BIBLE!K71)</f>
        <v/>
      </c>
      <c r="AE152" s="511"/>
      <c r="AF152" s="2050"/>
      <c r="AG152" s="2050"/>
      <c r="AH152" s="23"/>
      <c r="AI152" s="23"/>
      <c r="AJ152" s="23"/>
      <c r="AK152" s="1458"/>
      <c r="AL152" s="1458"/>
      <c r="AM152" s="1458"/>
      <c r="AN152" s="1458"/>
      <c r="AO152" s="1458"/>
      <c r="AP152" s="1458"/>
      <c r="AQ152" s="1458"/>
      <c r="AR152" s="1458"/>
    </row>
    <row r="153" spans="1:44" s="8" customFormat="1" ht="22" customHeight="1" x14ac:dyDescent="0.2">
      <c r="A153" s="1356"/>
      <c r="B153" s="2228"/>
      <c r="C153" s="124" t="s">
        <v>236</v>
      </c>
      <c r="D153" s="1976">
        <v>0</v>
      </c>
      <c r="E153" s="51">
        <f>IF(P$152=D153,1,"x")</f>
        <v>1</v>
      </c>
      <c r="F153" s="20"/>
      <c r="G153" s="20"/>
      <c r="H153" s="20"/>
      <c r="I153" s="20"/>
      <c r="J153" s="20"/>
      <c r="K153" s="20"/>
      <c r="L153" s="20"/>
      <c r="M153" s="20"/>
      <c r="N153" s="20"/>
      <c r="O153" s="20"/>
      <c r="P153" s="24"/>
      <c r="Q153" s="25"/>
      <c r="AE153" s="511"/>
      <c r="AF153" s="2050"/>
      <c r="AG153" s="2050"/>
      <c r="AH153" s="23"/>
      <c r="AI153" s="23"/>
      <c r="AJ153" s="23"/>
      <c r="AK153" s="1458"/>
      <c r="AL153" s="1458"/>
      <c r="AM153" s="1458"/>
      <c r="AN153" s="1458"/>
      <c r="AO153" s="1458"/>
      <c r="AP153" s="1458"/>
      <c r="AQ153" s="1458"/>
      <c r="AR153" s="1458"/>
    </row>
    <row r="154" spans="1:44" s="8" customFormat="1" ht="50" customHeight="1" x14ac:dyDescent="0.2">
      <c r="A154" s="1356" t="str">
        <f>BIBLE!E72</f>
        <v>PCR16</v>
      </c>
      <c r="B154" s="297" t="str">
        <f>BIBLE!F72</f>
        <v xml:space="preserve">Dans quelle mesure acceptez-vous ou êtes-vous serein·e avec la séparation (couple et famille) ? </v>
      </c>
      <c r="C154" s="1876" t="str">
        <f>BIBLE!O72</f>
        <v>Totalement / Grandement / Moyennement / Un peu / Très peu / Pas du tout / S.O.</v>
      </c>
      <c r="D154" s="1978">
        <f>BIBLE!L72</f>
        <v>1</v>
      </c>
      <c r="E154" s="20"/>
      <c r="F154" s="20"/>
      <c r="G154" s="20"/>
      <c r="H154" s="20">
        <v>1</v>
      </c>
      <c r="I154" s="20"/>
      <c r="J154" s="20"/>
      <c r="K154" s="20"/>
      <c r="L154" s="20"/>
      <c r="M154" s="20"/>
      <c r="N154" s="20"/>
      <c r="O154" s="20"/>
      <c r="P154" s="1779">
        <f>'TEST_pour PROTOTYPE'!D119</f>
        <v>1</v>
      </c>
      <c r="Q154" s="25">
        <f t="shared" si="36"/>
        <v>1</v>
      </c>
      <c r="R154" s="8">
        <f>IF(BIBLE!K72=0,"",BIBLE!K72)</f>
        <v>4</v>
      </c>
      <c r="V154" s="6">
        <f>IF(P154&gt;=R154,IF(Q154&gt;Q155,Q154,Q155),Q154)</f>
        <v>1</v>
      </c>
      <c r="X154" s="6">
        <f t="shared" ref="X154:AC154" si="38">IF(($P154&gt;=$R154),IF($Q154&gt;$Q155,X$109*$D154,X$109*$D155),X$109*$D154)</f>
        <v>0</v>
      </c>
      <c r="Y154" s="6">
        <f t="shared" si="38"/>
        <v>1</v>
      </c>
      <c r="Z154" s="6">
        <f t="shared" si="38"/>
        <v>2</v>
      </c>
      <c r="AA154" s="6">
        <f t="shared" si="38"/>
        <v>4</v>
      </c>
      <c r="AB154" s="6">
        <f t="shared" si="38"/>
        <v>7</v>
      </c>
      <c r="AC154" s="6">
        <f t="shared" si="38"/>
        <v>10</v>
      </c>
      <c r="AE154" s="511"/>
      <c r="AF154" s="2050"/>
      <c r="AG154" s="2050"/>
      <c r="AH154" s="23">
        <f>IF($Q154=$V154,$Q154*BIBLE!S72,$Q155*BIBLE!S73)</f>
        <v>0</v>
      </c>
      <c r="AI154" s="23">
        <f>IF($Q154=$V154,$Q154*BIBLE!T72,$Q155*BIBLE!T73)</f>
        <v>1</v>
      </c>
      <c r="AJ154" s="23">
        <f>IF($Q154=$V154,$Q154*BIBLE!U72,$Q155*BIBLE!U73)</f>
        <v>0</v>
      </c>
      <c r="AK154" s="1458">
        <f>IF($Q154=$V154,$Q154*BIBLE!W72,$Q155*BIBLE!W73)</f>
        <v>0</v>
      </c>
      <c r="AL154" s="1458">
        <f>IF($Q154=$V154,$Q154*BIBLE!X72,$Q155*BIBLE!X73)</f>
        <v>0</v>
      </c>
      <c r="AM154" s="1458">
        <f>IF($Q154=$V154,$Q154*BIBLE!Y72,$Q155*BIBLE!Y73)</f>
        <v>0</v>
      </c>
      <c r="AN154" s="1458">
        <f>IF($Q154=$V154,$Q154*BIBLE!Z72,$Q155*BIBLE!Z73)</f>
        <v>0</v>
      </c>
      <c r="AO154" s="1458">
        <f>IF($Q154=$V154,$Q154*BIBLE!AA72,$Q155*BIBLE!AA73)</f>
        <v>0</v>
      </c>
      <c r="AP154" s="1458">
        <f>IF($Q154=$V154,$Q154*BIBLE!AB72,$Q155*BIBLE!AB73)</f>
        <v>0</v>
      </c>
      <c r="AQ154" s="1458">
        <f>IF($Q154=$V154,$Q154*BIBLE!AC72,$Q155*BIBLE!AC73)</f>
        <v>1</v>
      </c>
      <c r="AR154" s="1458">
        <f>IF($Q154=$V154,$Q154*BIBLE!AD72,$Q155*BIBLE!AD73)</f>
        <v>0</v>
      </c>
    </row>
    <row r="155" spans="1:44" s="8" customFormat="1" ht="50" customHeight="1" x14ac:dyDescent="0.2">
      <c r="A155" s="1356" t="str">
        <f>BIBLE!E73</f>
        <v>PCR16a</v>
      </c>
      <c r="B155" s="127" t="str">
        <f>IF(P154&gt;=R154,BIBLE!F73," ")</f>
        <v xml:space="preserve"> </v>
      </c>
      <c r="C155" s="1876" t="str">
        <f>BIBLE!O73</f>
        <v xml:space="preserve">Jamais / Rarement / Occasionnellement / Régulièrement / Souvent / Toujours / S.O. </v>
      </c>
      <c r="D155" s="1978">
        <f>BIBLE!L73</f>
        <v>2</v>
      </c>
      <c r="E155" s="20"/>
      <c r="F155" s="20"/>
      <c r="G155" s="20"/>
      <c r="H155" s="20"/>
      <c r="I155" s="20"/>
      <c r="J155" s="20"/>
      <c r="K155" s="20"/>
      <c r="L155" s="20"/>
      <c r="M155" s="20"/>
      <c r="N155" s="20"/>
      <c r="O155" s="20"/>
      <c r="P155" s="1779">
        <f>'TEST_pour PROTOTYPE'!D120</f>
        <v>0</v>
      </c>
      <c r="Q155" s="25">
        <f>P155*D155</f>
        <v>0</v>
      </c>
      <c r="R155" s="8" t="str">
        <f>IF(BIBLE!K73=0,"",BIBLE!K73)</f>
        <v/>
      </c>
      <c r="V155" s="6"/>
      <c r="X155" s="6"/>
      <c r="Y155" s="6"/>
      <c r="Z155" s="6"/>
      <c r="AA155" s="6"/>
      <c r="AB155" s="6"/>
      <c r="AC155" s="6"/>
      <c r="AE155" s="511"/>
      <c r="AF155" s="2050"/>
      <c r="AG155" s="2050"/>
      <c r="AH155" s="23"/>
      <c r="AI155" s="23"/>
      <c r="AJ155" s="23"/>
      <c r="AK155" s="1458"/>
      <c r="AL155" s="1458"/>
      <c r="AM155" s="1458"/>
      <c r="AN155" s="1458"/>
      <c r="AO155" s="1458"/>
      <c r="AP155" s="1458"/>
      <c r="AQ155" s="1458"/>
      <c r="AR155" s="1458"/>
    </row>
    <row r="156" spans="1:44" s="8" customFormat="1" ht="79" customHeight="1" x14ac:dyDescent="0.2">
      <c r="A156" s="1356" t="str">
        <f>BIBLE!E74</f>
        <v>PCR17</v>
      </c>
      <c r="B156" s="297" t="str">
        <f>IF($P$42&lt;&gt;1,BIBLE!F74,"")</f>
        <v>Votre situation de coparentalité crée des désaccords entre vous et votre nouveau ou nouvelle conjoint·e.</v>
      </c>
      <c r="C156" s="1876" t="str">
        <f>BIBLE!O74</f>
        <v xml:space="preserve">Jamais / Rarement / Occasionnellement / Régulièrement / Souvent / Toujours / S.O. </v>
      </c>
      <c r="D156" s="1978">
        <f>BIBLE!L74</f>
        <v>1</v>
      </c>
      <c r="E156" s="20"/>
      <c r="F156" s="20"/>
      <c r="G156" s="20"/>
      <c r="H156" s="20"/>
      <c r="I156" s="20"/>
      <c r="J156" s="20"/>
      <c r="K156" s="20"/>
      <c r="L156" s="20"/>
      <c r="M156" s="20"/>
      <c r="N156" s="20"/>
      <c r="O156" s="20"/>
      <c r="P156" s="1779">
        <f>'TEST_pour PROTOTYPE'!D121</f>
        <v>1</v>
      </c>
      <c r="Q156" s="25">
        <f>P156*D156</f>
        <v>1</v>
      </c>
      <c r="R156" s="8" t="str">
        <f>IF(BIBLE!K75=0,"",BIBLE!K75)</f>
        <v/>
      </c>
      <c r="V156" s="6">
        <f>Q156</f>
        <v>1</v>
      </c>
      <c r="X156" s="6">
        <f t="shared" ref="X156:AC157" si="39">IF($Q156&gt;0,X$109*$D156,0)</f>
        <v>0</v>
      </c>
      <c r="Y156" s="6">
        <f t="shared" si="39"/>
        <v>1</v>
      </c>
      <c r="Z156" s="6">
        <f t="shared" si="39"/>
        <v>2</v>
      </c>
      <c r="AA156" s="6">
        <f t="shared" si="39"/>
        <v>4</v>
      </c>
      <c r="AB156" s="6">
        <f t="shared" si="39"/>
        <v>7</v>
      </c>
      <c r="AC156" s="6">
        <f t="shared" si="39"/>
        <v>10</v>
      </c>
      <c r="AE156" s="511"/>
      <c r="AF156" s="2050"/>
      <c r="AG156" s="2050"/>
      <c r="AH156" s="23"/>
      <c r="AI156" s="23"/>
      <c r="AJ156" s="23"/>
      <c r="AK156" s="1458"/>
      <c r="AL156" s="1458"/>
      <c r="AM156" s="1458"/>
      <c r="AN156" s="1458"/>
      <c r="AO156" s="1458"/>
      <c r="AP156" s="1458"/>
      <c r="AQ156" s="1458"/>
      <c r="AR156" s="1458"/>
    </row>
    <row r="157" spans="1:44" s="8" customFormat="1" ht="67" customHeight="1" x14ac:dyDescent="0.2">
      <c r="A157" s="1356" t="str">
        <f>BIBLE!E75</f>
        <v>PCR18</v>
      </c>
      <c r="B157" s="297" t="str">
        <f>IF($P$42&lt;&gt;1,BIBLE!F75,"")</f>
        <v>Votre nouveau ou nouvelle conjoint·e corrige votre enfant lorsqu’il est irrespectueux envers vous.</v>
      </c>
      <c r="C157" s="1876" t="str">
        <f>BIBLE!O75</f>
        <v xml:space="preserve">Jamais / Rarement / Occasionnellement / Régulièrement / Souvent / Toujours / S.O. </v>
      </c>
      <c r="D157" s="1978">
        <f>BIBLE!L75</f>
        <v>1</v>
      </c>
      <c r="E157" s="20"/>
      <c r="F157" s="20"/>
      <c r="G157" s="20"/>
      <c r="H157" s="20"/>
      <c r="I157" s="20"/>
      <c r="J157" s="20"/>
      <c r="K157" s="20"/>
      <c r="L157" s="20"/>
      <c r="M157" s="20"/>
      <c r="N157" s="20"/>
      <c r="O157" s="20"/>
      <c r="P157" s="1779">
        <f>'TEST_pour PROTOTYPE'!D122</f>
        <v>1</v>
      </c>
      <c r="Q157" s="25">
        <f>P157*D157</f>
        <v>1</v>
      </c>
      <c r="R157" s="8" t="str">
        <f>IF(BIBLE!K78=0,"",BIBLE!K78)</f>
        <v/>
      </c>
      <c r="V157" s="6">
        <f>Q157</f>
        <v>1</v>
      </c>
      <c r="X157" s="6">
        <f t="shared" si="39"/>
        <v>0</v>
      </c>
      <c r="Y157" s="6">
        <f t="shared" si="39"/>
        <v>1</v>
      </c>
      <c r="Z157" s="6">
        <f t="shared" si="39"/>
        <v>2</v>
      </c>
      <c r="AA157" s="6">
        <f t="shared" si="39"/>
        <v>4</v>
      </c>
      <c r="AB157" s="6">
        <f t="shared" si="39"/>
        <v>7</v>
      </c>
      <c r="AC157" s="6">
        <f t="shared" si="39"/>
        <v>10</v>
      </c>
      <c r="AE157" s="511"/>
      <c r="AF157" s="2050"/>
      <c r="AG157" s="2050"/>
      <c r="AH157" s="23"/>
      <c r="AI157" s="23"/>
      <c r="AJ157" s="23"/>
      <c r="AK157" s="1458"/>
      <c r="AL157" s="1458"/>
      <c r="AM157" s="1458"/>
      <c r="AN157" s="1458"/>
      <c r="AO157" s="1458"/>
      <c r="AP157" s="1458"/>
      <c r="AQ157" s="1458"/>
      <c r="AR157" s="1458"/>
    </row>
    <row r="158" spans="1:44" s="8" customFormat="1" ht="30" customHeight="1" x14ac:dyDescent="0.2">
      <c r="A158" s="129"/>
      <c r="B158" s="297"/>
      <c r="C158" s="501"/>
      <c r="D158" s="292"/>
      <c r="P158" s="89"/>
      <c r="Q158" s="6"/>
      <c r="X158" s="6"/>
      <c r="Y158" s="6"/>
      <c r="Z158" s="6"/>
      <c r="AA158" s="6"/>
      <c r="AB158" s="6"/>
      <c r="AC158" s="6"/>
      <c r="AE158" s="511"/>
      <c r="AF158" s="2050"/>
      <c r="AG158" s="2050"/>
      <c r="AH158" s="23"/>
      <c r="AI158" s="23"/>
      <c r="AJ158" s="23"/>
      <c r="AK158" s="1458"/>
      <c r="AL158" s="1458"/>
      <c r="AM158" s="1458"/>
      <c r="AN158" s="1458"/>
      <c r="AO158" s="1458"/>
      <c r="AP158" s="1458"/>
      <c r="AQ158" s="1458"/>
      <c r="AR158" s="1458"/>
    </row>
    <row r="159" spans="1:44" s="8" customFormat="1" ht="30" customHeight="1" x14ac:dyDescent="0.2">
      <c r="A159" s="129"/>
      <c r="B159" s="297"/>
      <c r="D159" s="292"/>
      <c r="P159" s="89"/>
      <c r="V159" s="489">
        <f>SUM(V112:V157)</f>
        <v>75</v>
      </c>
      <c r="X159" s="489">
        <f t="shared" ref="X159:AC159" si="40">SUM(X112:X157)</f>
        <v>0</v>
      </c>
      <c r="Y159" s="489">
        <f t="shared" si="40"/>
        <v>31</v>
      </c>
      <c r="Z159" s="489">
        <f t="shared" si="40"/>
        <v>62</v>
      </c>
      <c r="AA159" s="489">
        <f t="shared" si="40"/>
        <v>124</v>
      </c>
      <c r="AB159" s="489">
        <f t="shared" si="40"/>
        <v>217</v>
      </c>
      <c r="AC159" s="489">
        <f t="shared" si="40"/>
        <v>310</v>
      </c>
      <c r="AD159" s="80">
        <f>V159/AC159</f>
        <v>0.24193548387096775</v>
      </c>
      <c r="AE159" s="1469">
        <f t="shared" ref="AE159:AR159" si="41">SUM(AE112:AE158)</f>
        <v>0</v>
      </c>
      <c r="AF159" s="2053"/>
      <c r="AG159" s="2053"/>
      <c r="AH159" s="1470">
        <f t="shared" si="41"/>
        <v>58.64</v>
      </c>
      <c r="AI159" s="1470">
        <f t="shared" si="41"/>
        <v>5.7200000000000006</v>
      </c>
      <c r="AJ159" s="1470">
        <f t="shared" si="41"/>
        <v>8.64</v>
      </c>
      <c r="AK159" s="1471">
        <f t="shared" si="41"/>
        <v>0</v>
      </c>
      <c r="AL159" s="1471">
        <f t="shared" si="41"/>
        <v>0</v>
      </c>
      <c r="AM159" s="1471">
        <f t="shared" si="41"/>
        <v>18</v>
      </c>
      <c r="AN159" s="1471">
        <f t="shared" si="41"/>
        <v>12</v>
      </c>
      <c r="AO159" s="1471">
        <f t="shared" si="41"/>
        <v>5</v>
      </c>
      <c r="AP159" s="1471">
        <f t="shared" si="41"/>
        <v>12</v>
      </c>
      <c r="AQ159" s="1471">
        <f t="shared" si="41"/>
        <v>18</v>
      </c>
      <c r="AR159" s="1471">
        <f t="shared" si="41"/>
        <v>0</v>
      </c>
    </row>
    <row r="160" spans="1:44" s="8" customFormat="1" x14ac:dyDescent="0.2">
      <c r="A160" s="284"/>
      <c r="B160" s="71"/>
      <c r="C160" s="302"/>
      <c r="D160" s="294"/>
      <c r="P160" s="89"/>
      <c r="Q160" s="6"/>
      <c r="X160" s="6"/>
      <c r="Y160" s="6"/>
      <c r="Z160" s="6"/>
      <c r="AA160" s="6"/>
      <c r="AB160" s="6"/>
      <c r="AC160" s="6"/>
      <c r="AE160" s="1475"/>
      <c r="AF160" s="2054"/>
      <c r="AG160" s="2054"/>
      <c r="AH160" s="1473">
        <f>AH159/SUM($AH$159:$AJ$159)</f>
        <v>0.8032876712328767</v>
      </c>
      <c r="AI160" s="1473">
        <f>AI159/SUM($AH$159:$AJ$159)</f>
        <v>7.8356164383561647E-2</v>
      </c>
      <c r="AJ160" s="1473">
        <f>AJ159/SUM($AH$159:$AJ$159)</f>
        <v>0.11835616438356165</v>
      </c>
      <c r="AK160" s="1474">
        <f>AK159/SUM($AK$159:$AR$159)</f>
        <v>0</v>
      </c>
      <c r="AL160" s="1474">
        <f t="shared" ref="AL160:AR160" si="42">AL159/SUM($AK$159:$AR$159)</f>
        <v>0</v>
      </c>
      <c r="AM160" s="1474">
        <f t="shared" si="42"/>
        <v>0.27692307692307694</v>
      </c>
      <c r="AN160" s="1474">
        <f t="shared" si="42"/>
        <v>0.18461538461538463</v>
      </c>
      <c r="AO160" s="1474">
        <f t="shared" si="42"/>
        <v>7.6923076923076927E-2</v>
      </c>
      <c r="AP160" s="1474">
        <f t="shared" si="42"/>
        <v>0.18461538461538463</v>
      </c>
      <c r="AQ160" s="1474">
        <f t="shared" si="42"/>
        <v>0.27692307692307694</v>
      </c>
      <c r="AR160" s="1474">
        <f t="shared" si="42"/>
        <v>0</v>
      </c>
    </row>
    <row r="161" spans="1:44" s="8" customFormat="1" ht="20" customHeight="1" x14ac:dyDescent="0.2">
      <c r="A161" s="129"/>
      <c r="B161" s="26"/>
      <c r="C161" s="124"/>
      <c r="D161" s="291"/>
      <c r="P161" s="24"/>
      <c r="Q161" s="25"/>
      <c r="R161" s="16"/>
      <c r="S161" s="16"/>
      <c r="T161" s="16"/>
      <c r="U161" s="16"/>
      <c r="V161" s="16"/>
      <c r="W161" s="16"/>
      <c r="X161" s="2199" t="s">
        <v>405</v>
      </c>
      <c r="Y161" s="2199"/>
      <c r="Z161" s="2199"/>
      <c r="AA161" s="2199"/>
      <c r="AB161" s="2199"/>
      <c r="AC161" s="2199"/>
      <c r="AE161" s="511"/>
      <c r="AF161" s="2050"/>
      <c r="AG161" s="2050"/>
      <c r="AH161" s="23"/>
      <c r="AI161" s="23"/>
      <c r="AJ161" s="23"/>
      <c r="AK161" s="1458"/>
      <c r="AL161" s="1458"/>
      <c r="AM161" s="1458"/>
      <c r="AN161" s="1458"/>
      <c r="AO161" s="1458"/>
      <c r="AP161" s="1458"/>
      <c r="AQ161" s="1458"/>
      <c r="AR161" s="1458"/>
    </row>
    <row r="162" spans="1:44" s="8" customFormat="1" ht="24" customHeight="1" thickBot="1" x14ac:dyDescent="0.25">
      <c r="A162" s="556" t="s">
        <v>487</v>
      </c>
      <c r="B162" s="26"/>
      <c r="C162" s="23"/>
      <c r="D162" s="1978"/>
      <c r="E162" s="507">
        <f>$E$52</f>
        <v>0</v>
      </c>
      <c r="F162" s="300">
        <f>$F$52</f>
        <v>0</v>
      </c>
      <c r="G162" s="300">
        <f>$G$52</f>
        <v>1</v>
      </c>
      <c r="H162" s="300">
        <f>$H$52</f>
        <v>2</v>
      </c>
      <c r="I162" s="300">
        <f>$I$52</f>
        <v>4</v>
      </c>
      <c r="J162" s="300">
        <f>$J$52</f>
        <v>7</v>
      </c>
      <c r="K162" s="300">
        <f>$K$52</f>
        <v>10</v>
      </c>
      <c r="L162" s="473">
        <f>$L$97</f>
        <v>7</v>
      </c>
      <c r="M162" s="473">
        <f>$M$97</f>
        <v>8</v>
      </c>
      <c r="N162" s="473">
        <f>$N$97</f>
        <v>9</v>
      </c>
      <c r="O162" s="473">
        <f>$O$97</f>
        <v>10</v>
      </c>
      <c r="P162" s="77" t="s">
        <v>232</v>
      </c>
      <c r="Q162" s="77" t="s">
        <v>233</v>
      </c>
      <c r="R162" s="77" t="s">
        <v>242</v>
      </c>
      <c r="S162" s="156"/>
      <c r="T162" s="156"/>
      <c r="U162" s="156"/>
      <c r="V162" s="156"/>
      <c r="W162" s="156"/>
      <c r="X162" s="483">
        <v>0</v>
      </c>
      <c r="Y162" s="483">
        <f t="shared" ref="Y162" si="43">G162</f>
        <v>1</v>
      </c>
      <c r="Z162" s="483">
        <f t="shared" ref="Z162" si="44">H162</f>
        <v>2</v>
      </c>
      <c r="AA162" s="483">
        <f t="shared" ref="AA162" si="45">I162</f>
        <v>4</v>
      </c>
      <c r="AB162" s="483">
        <f t="shared" ref="AB162" si="46">J162</f>
        <v>7</v>
      </c>
      <c r="AC162" s="483">
        <f t="shared" ref="AC162" si="47">K162</f>
        <v>10</v>
      </c>
      <c r="AE162" s="511"/>
      <c r="AF162" s="2050"/>
      <c r="AG162" s="2050"/>
      <c r="AH162" s="23"/>
      <c r="AI162" s="23"/>
      <c r="AJ162" s="23"/>
      <c r="AK162" s="1458"/>
      <c r="AL162" s="1458"/>
      <c r="AM162" s="1458"/>
      <c r="AN162" s="1458"/>
      <c r="AO162" s="1458"/>
      <c r="AP162" s="1458"/>
      <c r="AQ162" s="1458"/>
      <c r="AR162" s="1458"/>
    </row>
    <row r="163" spans="1:44" s="8" customFormat="1" ht="54" customHeight="1" thickTop="1" x14ac:dyDescent="0.2">
      <c r="A163" s="1357" t="str">
        <f>BIBLE!E80</f>
        <v>PFA00</v>
      </c>
      <c r="B163" s="155" t="str">
        <f>IF($P$53&lt;=2,BIBLE!F80,"")</f>
        <v>L'autre parent (coparent) accepte de faire des compromis afin d'assurer une bonne entente de garde.</v>
      </c>
      <c r="C163" s="498" t="str">
        <f>BIBLE!O80</f>
        <v>Toujours / Souvent / Régulièrement / Occasionnellement / Rarement / Jamais / S.O.</v>
      </c>
      <c r="D163" s="1527">
        <f>BIBLE!L80</f>
        <v>1</v>
      </c>
      <c r="E163" s="6"/>
      <c r="F163" s="6"/>
      <c r="G163" s="6"/>
      <c r="H163" s="6"/>
      <c r="I163" s="6"/>
      <c r="J163" s="6"/>
      <c r="K163" s="6">
        <v>1</v>
      </c>
      <c r="L163" s="6"/>
      <c r="M163" s="6"/>
      <c r="N163" s="6"/>
      <c r="O163" s="473"/>
      <c r="P163" s="1877">
        <f>'TEST_pour PROTOTYPE'!D147</f>
        <v>2</v>
      </c>
      <c r="Q163" s="25">
        <f>P163*D163</f>
        <v>2</v>
      </c>
      <c r="S163" s="156"/>
      <c r="T163" s="156"/>
      <c r="U163" s="156"/>
      <c r="V163" s="6">
        <f>Q163</f>
        <v>2</v>
      </c>
      <c r="W163" s="16"/>
      <c r="X163" s="6">
        <f t="shared" ref="X163:AC163" si="48">IF($Q163&gt;0,X$109*$D163,0)</f>
        <v>0</v>
      </c>
      <c r="Y163" s="6">
        <f t="shared" si="48"/>
        <v>1</v>
      </c>
      <c r="Z163" s="6">
        <f t="shared" si="48"/>
        <v>2</v>
      </c>
      <c r="AA163" s="6">
        <f t="shared" si="48"/>
        <v>4</v>
      </c>
      <c r="AB163" s="6">
        <f t="shared" si="48"/>
        <v>7</v>
      </c>
      <c r="AC163" s="6">
        <f t="shared" si="48"/>
        <v>10</v>
      </c>
      <c r="AE163" s="511"/>
      <c r="AF163" s="2050"/>
      <c r="AG163" s="2050"/>
      <c r="AH163" s="23">
        <f>$V163*BIBLE!S80</f>
        <v>2</v>
      </c>
      <c r="AI163" s="23">
        <f>$V163*BIBLE!T80</f>
        <v>0</v>
      </c>
      <c r="AJ163" s="23">
        <f>$V163*BIBLE!U80</f>
        <v>0</v>
      </c>
      <c r="AK163" s="1458">
        <f>$V163*BIBLE!W80</f>
        <v>0</v>
      </c>
      <c r="AL163" s="1458">
        <f>$V163*BIBLE!X80</f>
        <v>0</v>
      </c>
      <c r="AM163" s="1458">
        <f>$V163*BIBLE!Y80</f>
        <v>2</v>
      </c>
      <c r="AN163" s="1458">
        <f>$V163*BIBLE!Z80</f>
        <v>0</v>
      </c>
      <c r="AO163" s="1458">
        <f>$V163*BIBLE!AA80</f>
        <v>0</v>
      </c>
      <c r="AP163" s="1458">
        <f>$V163*BIBLE!AB80</f>
        <v>0</v>
      </c>
      <c r="AQ163" s="1458">
        <f>$V163*BIBLE!AC80</f>
        <v>0</v>
      </c>
      <c r="AR163" s="1458">
        <f>$V163*BIBLE!AD80</f>
        <v>0</v>
      </c>
    </row>
    <row r="164" spans="1:44" s="8" customFormat="1" ht="24" customHeight="1" thickBot="1" x14ac:dyDescent="0.25">
      <c r="A164" s="1357"/>
      <c r="B164" s="157"/>
      <c r="C164" s="23"/>
      <c r="D164" s="1978"/>
      <c r="E164" s="300">
        <f>$E$97</f>
        <v>0</v>
      </c>
      <c r="F164" s="300">
        <f>$F$97</f>
        <v>1</v>
      </c>
      <c r="G164" s="300">
        <f>$G$97</f>
        <v>2</v>
      </c>
      <c r="H164" s="300">
        <f>$H$97</f>
        <v>3</v>
      </c>
      <c r="I164" s="300">
        <f>$I$97</f>
        <v>4</v>
      </c>
      <c r="J164" s="300">
        <f>$J$97</f>
        <v>5</v>
      </c>
      <c r="K164" s="300">
        <f>$K$97</f>
        <v>6</v>
      </c>
      <c r="L164" s="300">
        <f>$L$97</f>
        <v>7</v>
      </c>
      <c r="M164" s="300">
        <f>$M$97</f>
        <v>8</v>
      </c>
      <c r="N164" s="300">
        <f>$N$97</f>
        <v>9</v>
      </c>
      <c r="O164" s="300">
        <f>$O$97</f>
        <v>10</v>
      </c>
      <c r="P164" s="1289"/>
      <c r="Q164" s="1289"/>
      <c r="R164" s="156"/>
      <c r="S164" s="156"/>
      <c r="T164" s="156"/>
      <c r="U164" s="156"/>
      <c r="V164" s="156"/>
      <c r="W164" s="156"/>
      <c r="AE164" s="511"/>
      <c r="AF164" s="2050"/>
      <c r="AG164" s="2050"/>
      <c r="AH164" s="23"/>
      <c r="AI164" s="23"/>
      <c r="AJ164" s="23"/>
      <c r="AK164" s="1458"/>
      <c r="AL164" s="1458"/>
      <c r="AM164" s="1458"/>
      <c r="AN164" s="1458"/>
      <c r="AO164" s="1458"/>
      <c r="AP164" s="1458"/>
      <c r="AQ164" s="1458"/>
      <c r="AR164" s="1458"/>
    </row>
    <row r="165" spans="1:44" s="8" customFormat="1" ht="44" customHeight="1" thickTop="1" x14ac:dyDescent="0.2">
      <c r="A165" s="1357" t="str">
        <f>BIBLE!E81</f>
        <v>PFA01</v>
      </c>
      <c r="B165" s="157" t="str">
        <f>BIBLE!F81</f>
        <v xml:space="preserve">Comment qualifieriez-vous la relation et le degré de complicité entre votre enfant et l'autre parent, aujourd'hui (temps présent) ? </v>
      </c>
      <c r="C165" s="498" t="str">
        <f>BIBLE!O81</f>
        <v>Aucune (1) à Excellente (10)</v>
      </c>
      <c r="D165" s="1527">
        <f>BIBLE!L81</f>
        <v>1</v>
      </c>
      <c r="E165" s="19"/>
      <c r="F165" s="19"/>
      <c r="G165" s="20"/>
      <c r="H165" s="20"/>
      <c r="I165" s="20"/>
      <c r="J165" s="20"/>
      <c r="K165" s="7"/>
      <c r="L165" s="19">
        <v>1</v>
      </c>
      <c r="M165" s="19"/>
      <c r="N165" s="19"/>
      <c r="O165" s="19"/>
      <c r="P165" s="1877">
        <f>'TEST_pour PROTOTYPE'!D148</f>
        <v>7</v>
      </c>
      <c r="Q165" s="25">
        <f>P165*D165</f>
        <v>7</v>
      </c>
      <c r="R165" s="8" t="str">
        <f>IF(BIBLE!K81=0,"",BIBLE!K81)</f>
        <v/>
      </c>
      <c r="S165" s="16"/>
      <c r="T165" s="16"/>
      <c r="U165" s="16"/>
      <c r="V165" s="16"/>
      <c r="W165" s="16"/>
      <c r="AE165" s="511"/>
      <c r="AF165" s="2050"/>
      <c r="AG165" s="2050"/>
      <c r="AH165" s="23"/>
      <c r="AI165" s="23"/>
      <c r="AJ165" s="23"/>
      <c r="AK165" s="1458"/>
      <c r="AL165" s="1458"/>
      <c r="AM165" s="1458"/>
      <c r="AN165" s="1458"/>
      <c r="AO165" s="1458"/>
      <c r="AP165" s="1458"/>
      <c r="AQ165" s="1458"/>
      <c r="AR165" s="1458"/>
    </row>
    <row r="166" spans="1:44" s="8" customFormat="1" ht="52" customHeight="1" x14ac:dyDescent="0.2">
      <c r="A166" s="1357" t="str">
        <f>BIBLE!E82</f>
        <v>PFA02</v>
      </c>
      <c r="B166" s="157" t="str">
        <f>BIBLE!F82</f>
        <v>Selon vous, dans quelle mesure l'autre parent entretien une relation fusionnelle avec votre enfant ?</v>
      </c>
      <c r="C166" s="498" t="str">
        <f>BIBLE!O82</f>
        <v>Aucune (1) à Excellente (10)</v>
      </c>
      <c r="D166" s="1527">
        <f>BIBLE!L82</f>
        <v>1</v>
      </c>
      <c r="K166" s="7">
        <v>1</v>
      </c>
      <c r="P166" s="1877">
        <f>'TEST_pour PROTOTYPE'!D149</f>
        <v>5</v>
      </c>
      <c r="Q166" s="25">
        <f>P166*D166</f>
        <v>5</v>
      </c>
      <c r="R166" s="8">
        <f>IF(BIBLE!K82=0,"",BIBLE!K82)</f>
        <v>6</v>
      </c>
      <c r="S166" s="16"/>
      <c r="T166" s="16"/>
      <c r="U166" s="16"/>
      <c r="V166" s="16"/>
      <c r="W166" s="16"/>
      <c r="AE166" s="511"/>
      <c r="AF166" s="2050"/>
      <c r="AG166" s="2050"/>
      <c r="AH166" s="23"/>
      <c r="AI166" s="23"/>
      <c r="AJ166" s="23"/>
      <c r="AK166" s="1458"/>
      <c r="AL166" s="1458"/>
      <c r="AM166" s="1458"/>
      <c r="AN166" s="1458"/>
      <c r="AO166" s="1458"/>
      <c r="AP166" s="1458"/>
      <c r="AQ166" s="1458"/>
      <c r="AR166" s="1458"/>
    </row>
    <row r="167" spans="1:44" s="8" customFormat="1" ht="41" customHeight="1" x14ac:dyDescent="0.2">
      <c r="A167" s="1357" t="str">
        <f>BIBLE!E83</f>
        <v>PFA02a</v>
      </c>
      <c r="B167" s="2229" t="str">
        <f>IF(P166&gt;=R166,BIBLE!F83,"")</f>
        <v/>
      </c>
      <c r="C167" s="124" t="s">
        <v>245</v>
      </c>
      <c r="D167" s="1976">
        <v>1</v>
      </c>
      <c r="E167" s="51" t="str">
        <f>IF(P$167=D167,1,"x")</f>
        <v>x</v>
      </c>
      <c r="K167" s="7"/>
      <c r="P167" s="1878">
        <f>'TEST_pour PROTOTYPE'!D150</f>
        <v>0</v>
      </c>
      <c r="Q167" s="25"/>
      <c r="R167" s="16"/>
      <c r="S167" s="16"/>
      <c r="T167" s="16"/>
      <c r="U167" s="16"/>
      <c r="V167" s="16"/>
      <c r="W167" s="16"/>
      <c r="AE167" s="511"/>
      <c r="AF167" s="2050"/>
      <c r="AG167" s="2050"/>
      <c r="AH167" s="23"/>
      <c r="AI167" s="23"/>
      <c r="AJ167" s="23"/>
      <c r="AK167" s="1458"/>
      <c r="AL167" s="1458"/>
      <c r="AM167" s="1458"/>
      <c r="AN167" s="1458"/>
      <c r="AO167" s="1458"/>
      <c r="AP167" s="1458"/>
      <c r="AQ167" s="1458"/>
      <c r="AR167" s="1458"/>
    </row>
    <row r="168" spans="1:44" s="8" customFormat="1" ht="28" customHeight="1" x14ac:dyDescent="0.2">
      <c r="A168" s="1357"/>
      <c r="B168" s="2230" t="str">
        <f>IF(P167&gt;=R167,BIBLE!F82,"")</f>
        <v>Selon vous, dans quelle mesure l'autre parent entretien une relation fusionnelle avec votre enfant ?</v>
      </c>
      <c r="C168" s="124" t="s">
        <v>246</v>
      </c>
      <c r="D168" s="1977">
        <v>2</v>
      </c>
      <c r="E168" s="51" t="str">
        <f>IF(P$167=D168,1,"x")</f>
        <v>x</v>
      </c>
      <c r="K168" s="7"/>
      <c r="P168" s="24"/>
      <c r="Q168" s="25"/>
      <c r="R168" s="16"/>
      <c r="S168" s="16"/>
      <c r="T168" s="16"/>
      <c r="U168" s="16"/>
      <c r="V168" s="16"/>
      <c r="W168" s="16"/>
      <c r="AE168" s="511"/>
      <c r="AF168" s="2050"/>
      <c r="AG168" s="2050"/>
      <c r="AH168" s="23"/>
      <c r="AI168" s="23"/>
      <c r="AJ168" s="23"/>
      <c r="AK168" s="1458"/>
      <c r="AL168" s="1458"/>
      <c r="AM168" s="1458"/>
      <c r="AN168" s="1458"/>
      <c r="AO168" s="1458"/>
      <c r="AP168" s="1458"/>
      <c r="AQ168" s="1458"/>
      <c r="AR168" s="1458"/>
    </row>
    <row r="169" spans="1:44" s="8" customFormat="1" ht="21" customHeight="1" thickBot="1" x14ac:dyDescent="0.25">
      <c r="A169" s="1357"/>
      <c r="B169" s="157"/>
      <c r="C169" s="124"/>
      <c r="D169" s="1978"/>
      <c r="E169" s="507">
        <f>$E$52</f>
        <v>0</v>
      </c>
      <c r="F169" s="300">
        <f>$F$52</f>
        <v>0</v>
      </c>
      <c r="G169" s="300">
        <f>$G$52</f>
        <v>1</v>
      </c>
      <c r="H169" s="300">
        <f>$H$52</f>
        <v>2</v>
      </c>
      <c r="I169" s="300">
        <f>$I$52</f>
        <v>4</v>
      </c>
      <c r="J169" s="300">
        <f>$J$52</f>
        <v>7</v>
      </c>
      <c r="K169" s="300">
        <f>$K$52</f>
        <v>10</v>
      </c>
      <c r="N169" s="16"/>
      <c r="O169" s="16"/>
      <c r="P169" s="77" t="s">
        <v>232</v>
      </c>
      <c r="Q169" s="77" t="s">
        <v>233</v>
      </c>
      <c r="R169" s="77" t="s">
        <v>242</v>
      </c>
      <c r="S169" s="156"/>
      <c r="T169" s="156"/>
      <c r="U169" s="156"/>
      <c r="V169" s="156"/>
      <c r="W169" s="156"/>
      <c r="AE169" s="511"/>
      <c r="AF169" s="2050"/>
      <c r="AG169" s="2050"/>
      <c r="AH169" s="23"/>
      <c r="AI169" s="23"/>
      <c r="AJ169" s="23"/>
      <c r="AK169" s="1458"/>
      <c r="AL169" s="1458"/>
      <c r="AM169" s="1458"/>
      <c r="AN169" s="1458"/>
      <c r="AO169" s="1458"/>
      <c r="AP169" s="1458"/>
      <c r="AQ169" s="1458"/>
      <c r="AR169" s="1458"/>
    </row>
    <row r="170" spans="1:44" s="8" customFormat="1" ht="66" customHeight="1" thickTop="1" x14ac:dyDescent="0.2">
      <c r="A170" s="1357" t="str">
        <f>BIBLE!E84</f>
        <v>PFA03</v>
      </c>
      <c r="B170" s="157" t="str">
        <f>BIBLE!F84</f>
        <v>Selon vous, dans quelle mesure l'autre parent demande à votre enfant de garder des secrets ou de vous cacher des choses ?</v>
      </c>
      <c r="C170" s="498" t="str">
        <f>BIBLE!O84</f>
        <v xml:space="preserve">Jamais / Rarement / Occasionnellement / Régulièrement / Souvent / Toujours / S.O. </v>
      </c>
      <c r="D170" s="1978">
        <f>IF($E$40&gt;=10,BIBLE!L84,BIBLE!M84)</f>
        <v>2</v>
      </c>
      <c r="E170" s="19"/>
      <c r="F170" s="19"/>
      <c r="G170" s="19"/>
      <c r="H170" s="19"/>
      <c r="I170" s="19"/>
      <c r="J170" s="19">
        <v>1</v>
      </c>
      <c r="K170" s="19"/>
      <c r="L170" s="19"/>
      <c r="M170" s="19"/>
      <c r="N170" s="19"/>
      <c r="O170" s="19"/>
      <c r="P170" s="1877">
        <f>'TEST_pour PROTOTYPE'!D151</f>
        <v>7</v>
      </c>
      <c r="Q170" s="25">
        <f>P170*D170</f>
        <v>14</v>
      </c>
      <c r="R170" s="8" t="str">
        <f>IF(BIBLE!K84=0,"",BIBLE!K84)</f>
        <v/>
      </c>
      <c r="S170" s="16"/>
      <c r="T170" s="16"/>
      <c r="U170" s="16"/>
      <c r="V170" s="6">
        <f>Q170</f>
        <v>14</v>
      </c>
      <c r="W170" s="16"/>
      <c r="X170" s="6">
        <f>IF($Q170&gt;0,X$109*$D170,0)</f>
        <v>0</v>
      </c>
      <c r="Y170" s="6">
        <f t="shared" ref="Y170:AC170" si="49">IF($Q170&gt;0,Y$109*$D170,0)</f>
        <v>2</v>
      </c>
      <c r="Z170" s="6">
        <f t="shared" si="49"/>
        <v>4</v>
      </c>
      <c r="AA170" s="6">
        <f t="shared" si="49"/>
        <v>8</v>
      </c>
      <c r="AB170" s="6">
        <f t="shared" si="49"/>
        <v>14</v>
      </c>
      <c r="AC170" s="6">
        <f t="shared" si="49"/>
        <v>20</v>
      </c>
      <c r="AE170" s="511"/>
      <c r="AF170" s="2050"/>
      <c r="AG170" s="2050"/>
      <c r="AH170" s="23">
        <f>$V170*BIBLE!S84</f>
        <v>0</v>
      </c>
      <c r="AI170" s="23">
        <f>$V170*BIBLE!T84</f>
        <v>0</v>
      </c>
      <c r="AJ170" s="23">
        <f>$V170*BIBLE!U84</f>
        <v>14</v>
      </c>
      <c r="AK170" s="1458">
        <f>$V170*BIBLE!W84</f>
        <v>14</v>
      </c>
      <c r="AL170" s="1458">
        <f>$V170*BIBLE!X84</f>
        <v>0</v>
      </c>
      <c r="AM170" s="1458">
        <f>$V170*BIBLE!Y84</f>
        <v>0</v>
      </c>
      <c r="AN170" s="1458">
        <f>$V170*BIBLE!Z84</f>
        <v>0</v>
      </c>
      <c r="AO170" s="1458">
        <f>$V170*BIBLE!AA84</f>
        <v>0</v>
      </c>
      <c r="AP170" s="1458">
        <f>$V170*BIBLE!AB84</f>
        <v>0</v>
      </c>
      <c r="AQ170" s="1458">
        <f>$V170*BIBLE!AC84</f>
        <v>0</v>
      </c>
      <c r="AR170" s="1458">
        <f>$V170*BIBLE!AD84</f>
        <v>0</v>
      </c>
    </row>
    <row r="171" spans="1:44" s="8" customFormat="1" ht="66" customHeight="1" x14ac:dyDescent="0.2">
      <c r="A171" s="1357" t="str">
        <f>BIBLE!E85</f>
        <v>PFA04</v>
      </c>
      <c r="B171" s="157" t="str">
        <f>BIBLE!F85</f>
        <v>L’autre parent laisse entendre à votre enfant que vous avez abandonné la famille.</v>
      </c>
      <c r="C171" s="498" t="str">
        <f>BIBLE!O85</f>
        <v>Nulle / Très faible / Faible / Moyenne / Élevée / Très élevée / S.O.</v>
      </c>
      <c r="D171" s="1527">
        <f>BIBLE!L85</f>
        <v>1</v>
      </c>
      <c r="E171" s="19"/>
      <c r="F171" s="19"/>
      <c r="G171" s="19"/>
      <c r="H171" s="19"/>
      <c r="I171" s="19"/>
      <c r="J171" s="19">
        <v>1</v>
      </c>
      <c r="K171" s="19"/>
      <c r="L171" s="19"/>
      <c r="M171" s="19"/>
      <c r="N171" s="19"/>
      <c r="O171" s="19"/>
      <c r="P171" s="1877">
        <f>'TEST_pour PROTOTYPE'!D152</f>
        <v>1</v>
      </c>
      <c r="Q171" s="25">
        <f t="shared" ref="Q171:Q200" si="50">P171*D171</f>
        <v>1</v>
      </c>
      <c r="R171" s="8">
        <f>IF(BIBLE!K85=0,"",BIBLE!K85)</f>
        <v>4</v>
      </c>
      <c r="S171" s="16"/>
      <c r="T171" s="16"/>
      <c r="U171" s="16"/>
      <c r="V171" s="6">
        <f>IF(P171&gt;=R171,IF(Q171&gt;Q172,Q171,Q172),Q171)</f>
        <v>1</v>
      </c>
      <c r="X171" s="6">
        <f t="shared" ref="X171:AC171" si="51">IF(($P171&gt;=$R171),IF($Q171&gt;$Q172,X$109*$D171,X$109*$D172),X$109*$D171)</f>
        <v>0</v>
      </c>
      <c r="Y171" s="6">
        <f t="shared" si="51"/>
        <v>1</v>
      </c>
      <c r="Z171" s="6">
        <f t="shared" si="51"/>
        <v>2</v>
      </c>
      <c r="AA171" s="6">
        <f t="shared" si="51"/>
        <v>4</v>
      </c>
      <c r="AB171" s="6">
        <f t="shared" si="51"/>
        <v>7</v>
      </c>
      <c r="AC171" s="6">
        <f t="shared" si="51"/>
        <v>10</v>
      </c>
      <c r="AE171" s="511"/>
      <c r="AF171" s="2050"/>
      <c r="AG171" s="2050"/>
      <c r="AH171" s="23">
        <f>IF($Q171=$V171,$Q171*BIBLE!S85,$Q172*BIBLE!S86)</f>
        <v>0</v>
      </c>
      <c r="AI171" s="23">
        <f>IF($Q171=$V171,$Q171*BIBLE!T85,$Q172*BIBLE!T86)</f>
        <v>1</v>
      </c>
      <c r="AJ171" s="23">
        <f>IF($Q171=$V171,$Q171*BIBLE!U85,$Q172*BIBLE!U86)</f>
        <v>0</v>
      </c>
      <c r="AK171" s="1458">
        <f>IF($Q171=$V171,$Q171*BIBLE!W85,$Q172*BIBLE!W86)</f>
        <v>0</v>
      </c>
      <c r="AL171" s="1458">
        <f>IF($Q171=$V171,$Q171*BIBLE!X85,$Q172*BIBLE!X86)</f>
        <v>1</v>
      </c>
      <c r="AM171" s="1458">
        <f>IF($Q171=$V171,$Q171*BIBLE!Y85,$Q172*BIBLE!Y86)</f>
        <v>0</v>
      </c>
      <c r="AN171" s="1458">
        <f>IF($Q171=$V171,$Q171*BIBLE!Z85,$Q172*BIBLE!Z86)</f>
        <v>0</v>
      </c>
      <c r="AO171" s="1458">
        <f>IF($Q171=$V171,$Q171*BIBLE!AA85,$Q172*BIBLE!AA86)</f>
        <v>0</v>
      </c>
      <c r="AP171" s="1458">
        <f>IF($Q171=$V171,$Q171*BIBLE!AB85,$Q172*BIBLE!AB86)</f>
        <v>0</v>
      </c>
      <c r="AQ171" s="1458">
        <f>IF($Q171=$V171,$Q171*BIBLE!AC85,$Q172*BIBLE!AC86)</f>
        <v>0</v>
      </c>
      <c r="AR171" s="1458">
        <f>IF($Q171=$V171,$Q171*BIBLE!AD85,$Q172*BIBLE!AD86)</f>
        <v>0</v>
      </c>
    </row>
    <row r="172" spans="1:44" s="8" customFormat="1" ht="66" customHeight="1" x14ac:dyDescent="0.2">
      <c r="A172" s="1357" t="str">
        <f>BIBLE!E86</f>
        <v>PFA04a</v>
      </c>
      <c r="B172" s="158" t="str">
        <f>IF(P171&gt;=R171,BIBLE!F86,"")</f>
        <v/>
      </c>
      <c r="C172" s="498" t="str">
        <f>BIBLE!O86</f>
        <v>Nulle / Très faible / Faible / Moyenne / Élevée / Très élevée / S.O.</v>
      </c>
      <c r="D172" s="1527">
        <f>BIBLE!L86</f>
        <v>2</v>
      </c>
      <c r="E172" s="19"/>
      <c r="F172" s="19"/>
      <c r="G172" s="19"/>
      <c r="H172" s="19"/>
      <c r="I172" s="19">
        <v>1</v>
      </c>
      <c r="J172" s="19"/>
      <c r="K172" s="19"/>
      <c r="L172" s="19"/>
      <c r="M172" s="19"/>
      <c r="N172" s="19"/>
      <c r="O172" s="19"/>
      <c r="P172" s="1877">
        <f>'TEST_pour PROTOTYPE'!D153</f>
        <v>0</v>
      </c>
      <c r="Q172" s="25">
        <f>P172*D172</f>
        <v>0</v>
      </c>
      <c r="R172" s="8" t="str">
        <f>IF(BIBLE!K86=0,"",BIBLE!K86)</f>
        <v/>
      </c>
      <c r="S172" s="16"/>
      <c r="T172" s="16"/>
      <c r="U172" s="16"/>
      <c r="V172" s="6"/>
      <c r="W172" s="16"/>
      <c r="X172" s="6"/>
      <c r="Y172" s="6"/>
      <c r="Z172" s="6"/>
      <c r="AA172" s="6"/>
      <c r="AB172" s="6"/>
      <c r="AC172" s="6"/>
      <c r="AE172" s="511"/>
      <c r="AF172" s="2050"/>
      <c r="AG172" s="2050"/>
      <c r="AH172" s="23"/>
      <c r="AI172" s="23"/>
      <c r="AJ172" s="23"/>
      <c r="AK172" s="1458"/>
      <c r="AL172" s="1458"/>
      <c r="AM172" s="1458"/>
      <c r="AN172" s="1458"/>
      <c r="AO172" s="1458"/>
      <c r="AP172" s="1458"/>
      <c r="AQ172" s="1458"/>
      <c r="AR172" s="1458"/>
    </row>
    <row r="173" spans="1:44" s="8" customFormat="1" ht="66" customHeight="1" x14ac:dyDescent="0.2">
      <c r="A173" s="1357" t="str">
        <f>BIBLE!E87</f>
        <v>PFA05</v>
      </c>
      <c r="B173" s="157" t="str">
        <f>BIBLE!F87</f>
        <v>L'autre parent laisse entendre à votre enfant qu’il ou elle n’est pas en sécurité avec vous.</v>
      </c>
      <c r="C173" s="498" t="str">
        <f>BIBLE!O87</f>
        <v>Nulle / Très faible / Faible / Moyenne / Élevée / Très élevée / S.O.</v>
      </c>
      <c r="D173" s="1527">
        <f>BIBLE!L87</f>
        <v>2</v>
      </c>
      <c r="E173" s="19"/>
      <c r="F173" s="19"/>
      <c r="G173" s="19"/>
      <c r="H173" s="60"/>
      <c r="I173" s="60"/>
      <c r="J173" s="60">
        <v>1</v>
      </c>
      <c r="K173" s="60"/>
      <c r="L173" s="60"/>
      <c r="M173" s="60"/>
      <c r="N173" s="60"/>
      <c r="O173" s="60"/>
      <c r="P173" s="1877">
        <f>'TEST_pour PROTOTYPE'!D154</f>
        <v>1</v>
      </c>
      <c r="Q173" s="25">
        <f t="shared" si="50"/>
        <v>2</v>
      </c>
      <c r="R173" s="8">
        <f>IF(BIBLE!K87=0,"",BIBLE!K87)</f>
        <v>4</v>
      </c>
      <c r="S173" s="16"/>
      <c r="T173" s="16"/>
      <c r="U173" s="16"/>
      <c r="V173" s="6">
        <f>IF(P173&gt;=R173,IF(Q173&gt;Q174,Q173,Q174),Q173)</f>
        <v>2</v>
      </c>
      <c r="X173" s="6">
        <f t="shared" ref="X173:AC173" si="52">IF(($P173&gt;=$R173),IF($Q173&gt;$Q174,X$109*$D173,X$109*$D174),X$109*$D173)</f>
        <v>0</v>
      </c>
      <c r="Y173" s="6">
        <f t="shared" si="52"/>
        <v>2</v>
      </c>
      <c r="Z173" s="6">
        <f t="shared" si="52"/>
        <v>4</v>
      </c>
      <c r="AA173" s="6">
        <f t="shared" si="52"/>
        <v>8</v>
      </c>
      <c r="AB173" s="6">
        <f t="shared" si="52"/>
        <v>14</v>
      </c>
      <c r="AC173" s="6">
        <f t="shared" si="52"/>
        <v>20</v>
      </c>
      <c r="AE173" s="511"/>
      <c r="AF173" s="2050"/>
      <c r="AG173" s="2050"/>
      <c r="AH173" s="1479">
        <f>IF($Q173=$V173,$Q173*BIBLE!S87,$Q174*BIBLE!S88)</f>
        <v>0</v>
      </c>
      <c r="AI173" s="1479">
        <f>IF($Q173=$V173,$Q173*BIBLE!T87,$Q174*BIBLE!T88)</f>
        <v>2</v>
      </c>
      <c r="AJ173" s="1479">
        <f>IF($Q173=$V173,$Q173*BIBLE!U87,$Q174*BIBLE!U88)</f>
        <v>0</v>
      </c>
      <c r="AK173" s="1461">
        <f>IF($Q173=$V173,$Q173*BIBLE!W87,$Q174*BIBLE!W88)</f>
        <v>0</v>
      </c>
      <c r="AL173" s="1461">
        <f>IF($Q173=$V173,$Q173*BIBLE!X87,$Q174*BIBLE!X88)</f>
        <v>2</v>
      </c>
      <c r="AM173" s="1461">
        <f>IF($Q173=$V173,$Q173*BIBLE!Y87,$Q174*BIBLE!Y88)</f>
        <v>0</v>
      </c>
      <c r="AN173" s="1461">
        <f>IF($Q173=$V173,$Q173*BIBLE!Z87,$Q174*BIBLE!Z88)</f>
        <v>0</v>
      </c>
      <c r="AO173" s="1461">
        <f>IF($Q173=$V173,$Q173*BIBLE!AA87,$Q174*BIBLE!AA88)</f>
        <v>0</v>
      </c>
      <c r="AP173" s="1461">
        <f>IF($Q173=$V173,$Q173*BIBLE!AB87,$Q174*BIBLE!AB88)</f>
        <v>0</v>
      </c>
      <c r="AQ173" s="1461">
        <f>IF($Q173=$V173,$Q173*BIBLE!AC87,$Q174*BIBLE!AC88)</f>
        <v>0</v>
      </c>
      <c r="AR173" s="1461">
        <f>IF($Q173=$V173,$Q173*BIBLE!AD87,$Q174*BIBLE!AD88)</f>
        <v>0</v>
      </c>
    </row>
    <row r="174" spans="1:44" s="8" customFormat="1" ht="66" customHeight="1" x14ac:dyDescent="0.2">
      <c r="A174" s="1357" t="str">
        <f>BIBLE!E88</f>
        <v>PFA05a</v>
      </c>
      <c r="B174" s="158" t="str">
        <f>IF(P173&gt;=R173,BIBLE!F88,"")</f>
        <v/>
      </c>
      <c r="C174" s="498" t="str">
        <f>BIBLE!O88</f>
        <v>Nulle / Très faible / Faible / Moyenne / Élevée / Très élevée / S.O.</v>
      </c>
      <c r="D174" s="1527">
        <f>BIBLE!L88</f>
        <v>2</v>
      </c>
      <c r="E174" s="19"/>
      <c r="F174" s="19"/>
      <c r="G174" s="19"/>
      <c r="H174" s="61"/>
      <c r="I174" s="61"/>
      <c r="J174" s="61"/>
      <c r="K174" s="61">
        <v>1</v>
      </c>
      <c r="L174" s="61"/>
      <c r="M174" s="61"/>
      <c r="N174" s="61"/>
      <c r="O174" s="61"/>
      <c r="P174" s="1877">
        <f>'TEST_pour PROTOTYPE'!D155</f>
        <v>0</v>
      </c>
      <c r="Q174" s="25">
        <f t="shared" si="50"/>
        <v>0</v>
      </c>
      <c r="R174" s="8" t="str">
        <f>IF(BIBLE!K88=0,"",BIBLE!K88)</f>
        <v/>
      </c>
      <c r="S174" s="16"/>
      <c r="T174" s="16"/>
      <c r="U174" s="16"/>
      <c r="V174" s="6"/>
      <c r="W174" s="16"/>
      <c r="X174" s="6"/>
      <c r="Y174" s="6"/>
      <c r="Z174" s="6"/>
      <c r="AA174" s="6"/>
      <c r="AB174" s="6"/>
      <c r="AC174" s="6"/>
      <c r="AE174" s="511"/>
      <c r="AF174" s="2050"/>
      <c r="AG174" s="2050"/>
      <c r="AH174" s="23"/>
      <c r="AI174" s="23"/>
      <c r="AJ174" s="23"/>
      <c r="AK174" s="1458"/>
      <c r="AL174" s="1458"/>
      <c r="AM174" s="1458"/>
      <c r="AN174" s="1458"/>
      <c r="AO174" s="1458"/>
      <c r="AP174" s="1458"/>
      <c r="AQ174" s="1458"/>
      <c r="AR174" s="1458"/>
    </row>
    <row r="175" spans="1:44" s="8" customFormat="1" ht="66" customHeight="1" x14ac:dyDescent="0.2">
      <c r="A175" s="1357" t="str">
        <f>BIBLE!E89</f>
        <v>PFA06</v>
      </c>
      <c r="B175" s="157" t="str">
        <f>BIBLE!F89</f>
        <v>L'autre parent modifie certains faits concernant votre passé à son avantage ou à votre désavantage.</v>
      </c>
      <c r="C175" s="498" t="str">
        <f>BIBLE!O89</f>
        <v>Nulle / Très faible / Faible / Moyenne / Élevée / Très élevée / S.O.</v>
      </c>
      <c r="D175" s="1527">
        <f>BIBLE!L89</f>
        <v>2</v>
      </c>
      <c r="E175" s="19"/>
      <c r="F175" s="19"/>
      <c r="G175" s="19"/>
      <c r="H175" s="61"/>
      <c r="I175" s="61"/>
      <c r="J175" s="61">
        <v>1</v>
      </c>
      <c r="K175" s="61"/>
      <c r="L175" s="61"/>
      <c r="M175" s="61"/>
      <c r="N175" s="61"/>
      <c r="O175" s="61"/>
      <c r="P175" s="1877">
        <f>'TEST_pour PROTOTYPE'!D156</f>
        <v>7</v>
      </c>
      <c r="Q175" s="25">
        <f t="shared" si="50"/>
        <v>14</v>
      </c>
      <c r="R175" s="8">
        <f>IF(BIBLE!K89=0,"",BIBLE!K89)</f>
        <v>4</v>
      </c>
      <c r="S175" s="16"/>
      <c r="T175" s="16"/>
      <c r="U175" s="16"/>
      <c r="V175" s="6">
        <f>IF(P175&gt;=R175,IF(Q175&gt;Q176,Q175,Q176),Q175)</f>
        <v>30</v>
      </c>
      <c r="X175" s="6">
        <f t="shared" ref="X175:AC175" si="53">IF(($P175&gt;=$R175),IF($Q175&gt;$Q176,X$109*$D175,X$109*$D176),X$109*$D175)</f>
        <v>0</v>
      </c>
      <c r="Y175" s="6">
        <f t="shared" si="53"/>
        <v>3</v>
      </c>
      <c r="Z175" s="6">
        <f t="shared" si="53"/>
        <v>6</v>
      </c>
      <c r="AA175" s="6">
        <f t="shared" si="53"/>
        <v>12</v>
      </c>
      <c r="AB175" s="6">
        <f t="shared" si="53"/>
        <v>21</v>
      </c>
      <c r="AC175" s="6">
        <f t="shared" si="53"/>
        <v>30</v>
      </c>
      <c r="AE175" s="511"/>
      <c r="AF175" s="2050"/>
      <c r="AG175" s="2050"/>
      <c r="AH175" s="1479">
        <f>IF($Q175=$V175,$Q175*BIBLE!S89,$Q176*BIBLE!S90)</f>
        <v>0</v>
      </c>
      <c r="AI175" s="1479">
        <f>IF($Q175=$V175,$Q175*BIBLE!T89,$Q176*BIBLE!T90)</f>
        <v>30</v>
      </c>
      <c r="AJ175" s="1479">
        <f>IF($Q175=$V175,$Q175*BIBLE!U89,$Q176*BIBLE!U90)</f>
        <v>0</v>
      </c>
      <c r="AK175" s="1461">
        <f>IF($Q175=$V175,$Q175*BIBLE!W89,$Q176*BIBLE!W90)</f>
        <v>0</v>
      </c>
      <c r="AL175" s="1461">
        <f>IF($Q175=$V175,$Q175*BIBLE!X89,$Q176*BIBLE!X90)</f>
        <v>30</v>
      </c>
      <c r="AM175" s="1461">
        <f>IF($Q175=$V175,$Q175*BIBLE!Y89,$Q176*BIBLE!Y90)</f>
        <v>0</v>
      </c>
      <c r="AN175" s="1461">
        <f>IF($Q175=$V175,$Q175*BIBLE!Z89,$Q176*BIBLE!Z90)</f>
        <v>0</v>
      </c>
      <c r="AO175" s="1461">
        <f>IF($Q175=$V175,$Q175*BIBLE!AA89,$Q176*BIBLE!AA90)</f>
        <v>0</v>
      </c>
      <c r="AP175" s="1461">
        <f>IF($Q175=$V175,$Q175*BIBLE!AB89,$Q176*BIBLE!AB90)</f>
        <v>0</v>
      </c>
      <c r="AQ175" s="1461">
        <f>IF($Q175=$V175,$Q175*BIBLE!AC89,$Q176*BIBLE!AC90)</f>
        <v>0</v>
      </c>
      <c r="AR175" s="1461">
        <f>IF($Q175=$V175,$Q175*BIBLE!AD89,$Q176*BIBLE!AD90)</f>
        <v>0</v>
      </c>
    </row>
    <row r="176" spans="1:44" s="8" customFormat="1" ht="66" customHeight="1" x14ac:dyDescent="0.2">
      <c r="A176" s="1357" t="str">
        <f>BIBLE!E90</f>
        <v>PFA06a</v>
      </c>
      <c r="B176" s="158" t="str">
        <f>IF(P175&gt;=R175,BIBLE!F90,"")</f>
        <v xml:space="preserve">L'autre parent déforme les souvenirs de votre enfant (ex.: souvenirs de la petite enfance vus aujourd'hui négativement). </v>
      </c>
      <c r="C176" s="498" t="str">
        <f>BIBLE!O90</f>
        <v>Nulle / Très faible / Faible / Moyenne / Élevée / Très élevée / S.O.</v>
      </c>
      <c r="D176" s="1527">
        <f>BIBLE!L90</f>
        <v>3</v>
      </c>
      <c r="E176" s="19"/>
      <c r="F176" s="19"/>
      <c r="G176" s="19"/>
      <c r="H176" s="20"/>
      <c r="I176" s="20"/>
      <c r="J176" s="20">
        <v>1</v>
      </c>
      <c r="K176" s="20"/>
      <c r="L176" s="20"/>
      <c r="M176" s="20"/>
      <c r="N176" s="20"/>
      <c r="O176" s="20"/>
      <c r="P176" s="1877">
        <f>'TEST_pour PROTOTYPE'!D157</f>
        <v>10</v>
      </c>
      <c r="Q176" s="25">
        <f t="shared" si="50"/>
        <v>30</v>
      </c>
      <c r="R176" s="8" t="str">
        <f>IF(BIBLE!K90=0,"",BIBLE!K90)</f>
        <v/>
      </c>
      <c r="S176" s="16"/>
      <c r="T176" s="16"/>
      <c r="U176" s="16"/>
      <c r="V176" s="6"/>
      <c r="W176" s="16"/>
      <c r="X176" s="6"/>
      <c r="Y176" s="6"/>
      <c r="Z176" s="6"/>
      <c r="AA176" s="6"/>
      <c r="AB176" s="6"/>
      <c r="AC176" s="6"/>
      <c r="AE176" s="511"/>
      <c r="AF176" s="2050"/>
      <c r="AG176" s="2050"/>
      <c r="AH176" s="23"/>
      <c r="AI176" s="23"/>
      <c r="AJ176" s="23"/>
      <c r="AK176" s="1458"/>
      <c r="AL176" s="1458"/>
      <c r="AM176" s="1458"/>
      <c r="AN176" s="1458"/>
      <c r="AO176" s="1458"/>
      <c r="AP176" s="1458"/>
      <c r="AQ176" s="1458"/>
      <c r="AR176" s="1458"/>
    </row>
    <row r="177" spans="1:73" s="8" customFormat="1" ht="66" customHeight="1" x14ac:dyDescent="0.2">
      <c r="A177" s="1357" t="str">
        <f>BIBLE!E91</f>
        <v>PFA07</v>
      </c>
      <c r="B177" s="502" t="str">
        <f>BIBLE!F91</f>
        <v>L’autre parent culpabilise votre enfant de sa relation ou de son amour pour vous.</v>
      </c>
      <c r="C177" s="498" t="str">
        <f>BIBLE!O91</f>
        <v>Nulle / Très faible / Faible / Moyenne / Élevée / Très élevée / S.O.</v>
      </c>
      <c r="D177" s="1527">
        <f>BIBLE!L91</f>
        <v>1</v>
      </c>
      <c r="E177" s="19"/>
      <c r="F177" s="19"/>
      <c r="G177" s="19"/>
      <c r="H177" s="19"/>
      <c r="I177" s="19"/>
      <c r="J177" s="19">
        <v>1</v>
      </c>
      <c r="K177" s="19"/>
      <c r="L177" s="19"/>
      <c r="M177" s="19"/>
      <c r="N177" s="19"/>
      <c r="O177" s="19"/>
      <c r="P177" s="1877">
        <f>'TEST_pour PROTOTYPE'!D158</f>
        <v>1</v>
      </c>
      <c r="Q177" s="25">
        <f t="shared" si="50"/>
        <v>1</v>
      </c>
      <c r="R177" s="8">
        <f>IF(BIBLE!K91=0,"",BIBLE!K91)</f>
        <v>2</v>
      </c>
      <c r="S177" s="16"/>
      <c r="T177" s="16"/>
      <c r="U177" s="16"/>
      <c r="V177" s="6">
        <f>MAX(AS177:AS179)</f>
        <v>1</v>
      </c>
      <c r="X177" s="6">
        <f t="shared" ref="X177:AC177" si="54">MAX(AU177:AU179)</f>
        <v>0</v>
      </c>
      <c r="Y177" s="6">
        <f t="shared" si="54"/>
        <v>1</v>
      </c>
      <c r="Z177" s="6">
        <f t="shared" si="54"/>
        <v>2</v>
      </c>
      <c r="AA177" s="6">
        <f t="shared" si="54"/>
        <v>4</v>
      </c>
      <c r="AB177" s="6">
        <f t="shared" si="54"/>
        <v>7</v>
      </c>
      <c r="AC177" s="6">
        <f t="shared" si="54"/>
        <v>10</v>
      </c>
      <c r="AE177" s="511"/>
      <c r="AF177" s="2050"/>
      <c r="AG177" s="2050"/>
      <c r="AH177" s="23">
        <f>IF($Q177=$V177,$Q177*BIBLE!S91,IF(Test_Bible!$Q178=Test_Bible!$V177,Test_Bible!$Q178*BIBLE!S92,Test_Bible!$Q179*BIBLE!S93))</f>
        <v>0.5</v>
      </c>
      <c r="AI177" s="23">
        <f>IF($Q177=$V177,$Q177*BIBLE!T91,IF(Test_Bible!$Q178=Test_Bible!$V177,Test_Bible!$Q178*BIBLE!T92,Test_Bible!$Q179*BIBLE!T93))</f>
        <v>0.5</v>
      </c>
      <c r="AJ177" s="23">
        <f>IF($Q177=$V177,$Q177*BIBLE!U91,IF(Test_Bible!$Q178=Test_Bible!$V177,Test_Bible!$Q178*BIBLE!U92,Test_Bible!$Q179*BIBLE!U93))</f>
        <v>0</v>
      </c>
      <c r="AK177" s="1458">
        <f>IF($Q177=$V177,$Q177*BIBLE!W91,IF(Test_Bible!$Q178=Test_Bible!$V177,Test_Bible!$Q178*BIBLE!W92,Test_Bible!$Q179*BIBLE!W93))</f>
        <v>0</v>
      </c>
      <c r="AL177" s="1458">
        <f>IF($Q177=$V177,$Q177*BIBLE!X91,IF(Test_Bible!$Q178=Test_Bible!$V177,Test_Bible!$Q178*BIBLE!X92,Test_Bible!$Q179*BIBLE!X93))</f>
        <v>0</v>
      </c>
      <c r="AM177" s="1458">
        <f>IF($Q177=$V177,$Q177*BIBLE!Y91,IF(Test_Bible!$Q178=Test_Bible!$V177,Test_Bible!$Q178*BIBLE!Y92,Test_Bible!$Q179*BIBLE!Y93))</f>
        <v>1</v>
      </c>
      <c r="AN177" s="1458">
        <f>IF($Q177=$V177,$Q177*BIBLE!Z91,IF(Test_Bible!$Q178=Test_Bible!$V177,Test_Bible!$Q178*BIBLE!Z92,Test_Bible!$Q179*BIBLE!Z93))</f>
        <v>0</v>
      </c>
      <c r="AO177" s="1458">
        <f>IF($Q177=$V177,$Q177*BIBLE!AA91,IF(Test_Bible!$Q178=Test_Bible!$V177,Test_Bible!$Q178*BIBLE!AA92,Test_Bible!$Q179*BIBLE!AA93))</f>
        <v>0</v>
      </c>
      <c r="AP177" s="1458">
        <f>IF($Q177=$V177,$Q177*BIBLE!AB91,IF(Test_Bible!$Q178=Test_Bible!$V177,Test_Bible!$Q178*BIBLE!AB92,Test_Bible!$Q179*BIBLE!AB93))</f>
        <v>0</v>
      </c>
      <c r="AQ177" s="1458">
        <f>IF($Q177=$V177,$Q177*BIBLE!AC91,IF(Test_Bible!$Q178=Test_Bible!$V177,Test_Bible!$Q178*BIBLE!AC92,Test_Bible!$Q179*BIBLE!AC93))</f>
        <v>0</v>
      </c>
      <c r="AR177" s="1458">
        <f>IF($Q177=$V177,$Q177*BIBLE!AD91,IF(Test_Bible!$Q178=Test_Bible!$V177,Test_Bible!$Q178*BIBLE!AD92,Test_Bible!$Q179*BIBLE!AD93))</f>
        <v>0</v>
      </c>
      <c r="AS177" s="6">
        <f>Q177</f>
        <v>1</v>
      </c>
      <c r="AT177" s="16"/>
      <c r="AU177" s="6">
        <f t="shared" ref="AU177:AZ179" si="55">IF($Q177&gt;0,X$109*$D177,0)</f>
        <v>0</v>
      </c>
      <c r="AV177" s="6">
        <f t="shared" si="55"/>
        <v>1</v>
      </c>
      <c r="AW177" s="6">
        <f t="shared" si="55"/>
        <v>2</v>
      </c>
      <c r="AX177" s="6">
        <f t="shared" si="55"/>
        <v>4</v>
      </c>
      <c r="AY177" s="6">
        <f t="shared" si="55"/>
        <v>7</v>
      </c>
      <c r="AZ177" s="6">
        <f t="shared" si="55"/>
        <v>10</v>
      </c>
      <c r="BB177" s="17" t="s">
        <v>527</v>
      </c>
    </row>
    <row r="178" spans="1:73" s="8" customFormat="1" ht="66" customHeight="1" x14ac:dyDescent="0.2">
      <c r="A178" s="1357" t="str">
        <f>BIBLE!E92</f>
        <v>PFA07a</v>
      </c>
      <c r="B178" s="1372" t="str">
        <f>IF(P177&gt;=R177,BIBLE!F92,"")</f>
        <v/>
      </c>
      <c r="C178" s="498" t="str">
        <f>BIBLE!O92</f>
        <v xml:space="preserve">Nulle / Très faible / Faible / Moyenne / Élevée / Très élevée / S.O. </v>
      </c>
      <c r="D178" s="1527">
        <f>BIBLE!L92</f>
        <v>2</v>
      </c>
      <c r="E178" s="19"/>
      <c r="F178" s="19"/>
      <c r="G178" s="19"/>
      <c r="H178" s="19">
        <v>1</v>
      </c>
      <c r="I178" s="19"/>
      <c r="J178" s="19"/>
      <c r="K178" s="19"/>
      <c r="L178" s="19"/>
      <c r="M178" s="19"/>
      <c r="N178" s="19"/>
      <c r="O178" s="19"/>
      <c r="P178" s="1877">
        <f>'TEST_pour PROTOTYPE'!D159</f>
        <v>0</v>
      </c>
      <c r="Q178" s="25">
        <f t="shared" si="50"/>
        <v>0</v>
      </c>
      <c r="R178" s="8">
        <f>IF(BIBLE!K92=0,"",BIBLE!K92)</f>
        <v>2</v>
      </c>
      <c r="S178" s="16"/>
      <c r="T178" s="16"/>
      <c r="U178" s="16"/>
      <c r="AE178" s="484">
        <f>Q178</f>
        <v>0</v>
      </c>
      <c r="AF178" s="2052"/>
      <c r="AG178" s="2052"/>
      <c r="AH178" s="23"/>
      <c r="AI178" s="23"/>
      <c r="AJ178" s="23"/>
      <c r="AK178" s="1458"/>
      <c r="AL178" s="1458"/>
      <c r="AM178" s="1458"/>
      <c r="AN178" s="1458"/>
      <c r="AO178" s="1458"/>
      <c r="AP178" s="1458"/>
      <c r="AQ178" s="1458"/>
      <c r="AR178" s="1458"/>
      <c r="AS178" s="6">
        <f>Q178</f>
        <v>0</v>
      </c>
      <c r="AT178" s="16"/>
      <c r="AU178" s="6">
        <f t="shared" si="55"/>
        <v>0</v>
      </c>
      <c r="AV178" s="6">
        <f t="shared" si="55"/>
        <v>0</v>
      </c>
      <c r="AW178" s="6">
        <f t="shared" si="55"/>
        <v>0</v>
      </c>
      <c r="AX178" s="6">
        <f t="shared" si="55"/>
        <v>0</v>
      </c>
      <c r="AY178" s="6">
        <f t="shared" si="55"/>
        <v>0</v>
      </c>
      <c r="AZ178" s="6">
        <f t="shared" si="55"/>
        <v>0</v>
      </c>
    </row>
    <row r="179" spans="1:73" s="8" customFormat="1" ht="66" customHeight="1" x14ac:dyDescent="0.2">
      <c r="A179" s="1357" t="str">
        <f>BIBLE!E93</f>
        <v>PFA07a1</v>
      </c>
      <c r="B179" s="158" t="str">
        <f>IF(P178&gt;=R178,BIBLE!F93,"")</f>
        <v/>
      </c>
      <c r="C179" s="498" t="str">
        <f>BIBLE!O93</f>
        <v xml:space="preserve">Nulle / Très faible / Faible / Moyenne / Élevée / Très élevée / S.O. </v>
      </c>
      <c r="D179" s="1527">
        <f>BIBLE!L93</f>
        <v>3</v>
      </c>
      <c r="E179" s="19"/>
      <c r="F179" s="19"/>
      <c r="G179" s="19"/>
      <c r="H179" s="8">
        <v>1</v>
      </c>
      <c r="P179" s="1877">
        <f>'TEST_pour PROTOTYPE'!D160</f>
        <v>0</v>
      </c>
      <c r="Q179" s="25">
        <f t="shared" si="50"/>
        <v>0</v>
      </c>
      <c r="R179" s="8" t="str">
        <f>IF(BIBLE!K93=0,"",BIBLE!K93)</f>
        <v/>
      </c>
      <c r="S179" s="16"/>
      <c r="T179" s="16"/>
      <c r="U179" s="16"/>
      <c r="AE179" s="511"/>
      <c r="AF179" s="2050"/>
      <c r="AG179" s="2050"/>
      <c r="AH179" s="23"/>
      <c r="AI179" s="23"/>
      <c r="AJ179" s="23"/>
      <c r="AK179" s="1458"/>
      <c r="AL179" s="1458"/>
      <c r="AM179" s="1458"/>
      <c r="AN179" s="1458"/>
      <c r="AO179" s="1458"/>
      <c r="AP179" s="1458"/>
      <c r="AQ179" s="1458"/>
      <c r="AR179" s="1458"/>
      <c r="AS179" s="6">
        <f>Q179</f>
        <v>0</v>
      </c>
      <c r="AT179" s="16"/>
      <c r="AU179" s="6">
        <f t="shared" si="55"/>
        <v>0</v>
      </c>
      <c r="AV179" s="6">
        <f t="shared" si="55"/>
        <v>0</v>
      </c>
      <c r="AW179" s="6">
        <f t="shared" si="55"/>
        <v>0</v>
      </c>
      <c r="AX179" s="6">
        <f t="shared" si="55"/>
        <v>0</v>
      </c>
      <c r="AY179" s="6">
        <f t="shared" si="55"/>
        <v>0</v>
      </c>
      <c r="AZ179" s="6">
        <f t="shared" si="55"/>
        <v>0</v>
      </c>
    </row>
    <row r="180" spans="1:73" s="8" customFormat="1" ht="66" customHeight="1" x14ac:dyDescent="0.2">
      <c r="A180" s="1357" t="str">
        <f>BIBLE!E94</f>
        <v>PFA09</v>
      </c>
      <c r="B180" s="157" t="str">
        <f>BIBLE!F94</f>
        <v>Arrive-t-il que l'autre parent vous accable de reproches par courriel ou texto au retour des enfants (après votre tour de garde) ?</v>
      </c>
      <c r="C180" s="498" t="str">
        <f>BIBLE!O94</f>
        <v xml:space="preserve">Jamais / Rarement / Occasionnellement / Régulièrement / Souvent / Toujours / S.O. </v>
      </c>
      <c r="D180" s="1527">
        <f>BIBLE!L94</f>
        <v>1</v>
      </c>
      <c r="E180" s="19"/>
      <c r="F180" s="19"/>
      <c r="G180" s="19"/>
      <c r="H180" s="19"/>
      <c r="I180" s="19"/>
      <c r="J180" s="19">
        <v>1</v>
      </c>
      <c r="K180" s="19"/>
      <c r="L180" s="19"/>
      <c r="M180" s="19"/>
      <c r="N180" s="19"/>
      <c r="O180" s="19"/>
      <c r="P180" s="1877">
        <f>'TEST_pour PROTOTYPE'!D161</f>
        <v>2</v>
      </c>
      <c r="Q180" s="25">
        <f t="shared" si="50"/>
        <v>2</v>
      </c>
      <c r="R180" s="8">
        <f>IF(BIBLE!K94=0,"",BIBLE!K94)</f>
        <v>4</v>
      </c>
      <c r="S180" s="16"/>
      <c r="T180" s="16"/>
      <c r="U180" s="16"/>
      <c r="V180" s="6">
        <f>IF(P180&gt;=R180,IF(Q180&gt;Q181,Q180,Q181),Q180)</f>
        <v>2</v>
      </c>
      <c r="X180" s="6">
        <f t="shared" ref="X180:AC180" si="56">IF(($P180&gt;=$R180),IF($Q180&gt;$Q181,X$109*$D180,X$109*$D181),X$109*$D180)</f>
        <v>0</v>
      </c>
      <c r="Y180" s="6">
        <f t="shared" si="56"/>
        <v>1</v>
      </c>
      <c r="Z180" s="6">
        <f t="shared" si="56"/>
        <v>2</v>
      </c>
      <c r="AA180" s="6">
        <f t="shared" si="56"/>
        <v>4</v>
      </c>
      <c r="AB180" s="6">
        <f t="shared" si="56"/>
        <v>7</v>
      </c>
      <c r="AC180" s="6">
        <f t="shared" si="56"/>
        <v>10</v>
      </c>
      <c r="AE180" s="511"/>
      <c r="AF180" s="2050"/>
      <c r="AG180" s="2050"/>
      <c r="AH180" s="23">
        <f>IF($Q180=$V180,$Q180*BIBLE!S94,$Q181*BIBLE!S95)</f>
        <v>0</v>
      </c>
      <c r="AI180" s="23">
        <f>IF($Q180=$V180,$Q180*BIBLE!T94,$Q181*BIBLE!T95)</f>
        <v>0</v>
      </c>
      <c r="AJ180" s="23">
        <f>IF($Q180=$V180,$Q180*BIBLE!U94,$Q181*BIBLE!U95)</f>
        <v>2</v>
      </c>
      <c r="AK180" s="1458">
        <f>IF($Q180=$V180,$Q180*BIBLE!W94,$Q181*BIBLE!W95)</f>
        <v>0</v>
      </c>
      <c r="AL180" s="1458">
        <f>IF($Q180=$V180,$Q180*BIBLE!X94,$Q181*BIBLE!X95)</f>
        <v>0</v>
      </c>
      <c r="AM180" s="1458">
        <f>IF($Q180=$V180,$Q180*BIBLE!Y94,$Q181*BIBLE!Y95)</f>
        <v>2</v>
      </c>
      <c r="AN180" s="1458">
        <f>IF($Q180=$V180,$Q180*BIBLE!Z94,$Q181*BIBLE!Z95)</f>
        <v>0</v>
      </c>
      <c r="AO180" s="1458">
        <f>IF($Q180=$V180,$Q180*BIBLE!AA94,$Q181*BIBLE!AA95)</f>
        <v>0</v>
      </c>
      <c r="AP180" s="1458">
        <f>IF($Q180=$V180,$Q180*BIBLE!AB94,$Q181*BIBLE!AB95)</f>
        <v>0</v>
      </c>
      <c r="AQ180" s="1458">
        <f>IF($Q180=$V180,$Q180*BIBLE!AC94,$Q181*BIBLE!AC95)</f>
        <v>0</v>
      </c>
      <c r="AR180" s="1458">
        <f>IF($Q180=$V180,$Q180*BIBLE!AD94,$Q181*BIBLE!AD95)</f>
        <v>0</v>
      </c>
    </row>
    <row r="181" spans="1:73" s="8" customFormat="1" ht="66" customHeight="1" x14ac:dyDescent="0.2">
      <c r="A181" s="1357" t="str">
        <f>BIBLE!E95</f>
        <v>PFA09a</v>
      </c>
      <c r="B181" s="1372" t="str">
        <f>IF(P180&gt;=R180,BIBLE!F95,"")</f>
        <v/>
      </c>
      <c r="C181" s="498" t="str">
        <f>BIBLE!O95</f>
        <v xml:space="preserve">Jamais / Rarement / Occasionnellement / Régulièrement / Souvent / Toujours / S.O. </v>
      </c>
      <c r="D181" s="1527">
        <f>IF(AND(P181&gt;=2,$P$27&gt;=3),BIBLE!M95,BIBLE!L95)</f>
        <v>2</v>
      </c>
      <c r="E181" s="19"/>
      <c r="F181" s="19"/>
      <c r="G181" s="19"/>
      <c r="H181" s="60"/>
      <c r="I181" s="60">
        <v>1</v>
      </c>
      <c r="J181" s="60"/>
      <c r="K181" s="60"/>
      <c r="L181" s="60"/>
      <c r="M181" s="60"/>
      <c r="N181" s="60"/>
      <c r="O181" s="60"/>
      <c r="P181" s="1877">
        <f>'TEST_pour PROTOTYPE'!D162</f>
        <v>0</v>
      </c>
      <c r="Q181" s="25">
        <f t="shared" si="50"/>
        <v>0</v>
      </c>
      <c r="R181" s="8" t="str">
        <f>IF(BIBLE!K95=0,"",BIBLE!K95)</f>
        <v/>
      </c>
      <c r="S181" s="16"/>
      <c r="T181" s="16"/>
      <c r="U181" s="16"/>
      <c r="V181" s="6"/>
      <c r="W181" s="16"/>
      <c r="AE181" s="484">
        <f>Q181</f>
        <v>0</v>
      </c>
      <c r="AF181" s="2052"/>
      <c r="AG181" s="2052"/>
      <c r="AH181" s="25"/>
      <c r="AI181" s="25"/>
      <c r="AJ181" s="25"/>
      <c r="AK181" s="1460"/>
      <c r="AL181" s="1460"/>
      <c r="AM181" s="1460"/>
      <c r="AN181" s="1460"/>
      <c r="AO181" s="1460"/>
      <c r="AP181" s="1460"/>
      <c r="AQ181" s="1460"/>
      <c r="AR181" s="1460"/>
    </row>
    <row r="182" spans="1:73" s="8" customFormat="1" ht="66" customHeight="1" x14ac:dyDescent="0.2">
      <c r="A182" s="1357" t="str">
        <f>BIBLE!E96</f>
        <v>PFA10</v>
      </c>
      <c r="B182" s="157" t="str">
        <f>BIBLE!F96</f>
        <v>L’autre parent vous salue lors de changements de garde, à l'école ou lors d'événements culturels ou sportifs.</v>
      </c>
      <c r="C182" s="498" t="str">
        <f>BIBLE!O96</f>
        <v>Toujours / Souvent / Régulièrement / Occasionnellement / Rarement / Jamais / S.O.</v>
      </c>
      <c r="D182" s="1527">
        <f>BIBLE!L96</f>
        <v>1</v>
      </c>
      <c r="E182" s="19"/>
      <c r="F182" s="19"/>
      <c r="G182" s="19"/>
      <c r="H182" s="61"/>
      <c r="I182" s="61">
        <v>1</v>
      </c>
      <c r="J182" s="61"/>
      <c r="K182" s="61"/>
      <c r="L182" s="61"/>
      <c r="M182" s="61"/>
      <c r="N182" s="61"/>
      <c r="O182" s="61"/>
      <c r="P182" s="1877">
        <f>'TEST_pour PROTOTYPE'!D163</f>
        <v>7</v>
      </c>
      <c r="Q182" s="25">
        <f t="shared" si="50"/>
        <v>7</v>
      </c>
      <c r="R182" s="8" t="str">
        <f>IF(BIBLE!K96=0,"",BIBLE!K96)</f>
        <v/>
      </c>
      <c r="S182" s="16"/>
      <c r="T182" s="16"/>
      <c r="U182" s="16"/>
      <c r="V182" s="6">
        <f>Q182</f>
        <v>7</v>
      </c>
      <c r="W182" s="16"/>
      <c r="X182" s="6">
        <f t="shared" ref="X182:AC182" si="57">IF($Q182&gt;0,X$109*$D182,0)</f>
        <v>0</v>
      </c>
      <c r="Y182" s="6">
        <f t="shared" si="57"/>
        <v>1</v>
      </c>
      <c r="Z182" s="6">
        <f t="shared" si="57"/>
        <v>2</v>
      </c>
      <c r="AA182" s="6">
        <f t="shared" si="57"/>
        <v>4</v>
      </c>
      <c r="AB182" s="6">
        <f t="shared" si="57"/>
        <v>7</v>
      </c>
      <c r="AC182" s="6">
        <f t="shared" si="57"/>
        <v>10</v>
      </c>
      <c r="AE182" s="511"/>
      <c r="AF182" s="2050"/>
      <c r="AG182" s="2050"/>
      <c r="AH182" s="23">
        <f>$V182*BIBLE!S96</f>
        <v>7</v>
      </c>
      <c r="AI182" s="23">
        <f>$V182*BIBLE!T96</f>
        <v>0</v>
      </c>
      <c r="AJ182" s="23">
        <f>$V182*BIBLE!U96</f>
        <v>0</v>
      </c>
      <c r="AK182" s="1458">
        <f>$V182*BIBLE!W96</f>
        <v>0</v>
      </c>
      <c r="AL182" s="1458">
        <f>$V182*BIBLE!X96</f>
        <v>0</v>
      </c>
      <c r="AM182" s="1458">
        <f>$V182*BIBLE!Y96</f>
        <v>7</v>
      </c>
      <c r="AN182" s="1458">
        <f>$V182*BIBLE!Z96</f>
        <v>0</v>
      </c>
      <c r="AO182" s="1458">
        <f>$V182*BIBLE!AA96</f>
        <v>0</v>
      </c>
      <c r="AP182" s="1458">
        <f>$V182*BIBLE!AB96</f>
        <v>0</v>
      </c>
      <c r="AQ182" s="1458">
        <f>$V182*BIBLE!AC96</f>
        <v>0</v>
      </c>
      <c r="AR182" s="1458">
        <f>$V182*BIBLE!AD96</f>
        <v>0</v>
      </c>
    </row>
    <row r="183" spans="1:73" s="8" customFormat="1" ht="66" customHeight="1" x14ac:dyDescent="0.2">
      <c r="A183" s="1357" t="str">
        <f>BIBLE!E97</f>
        <v>PFA11</v>
      </c>
      <c r="B183" s="157" t="str">
        <f>BIBLE!F97</f>
        <v xml:space="preserve">L'autre parent est d'avis que votre enfant est assez mature pour choisir où il doit vivre et avec quel parent.  </v>
      </c>
      <c r="C183" s="498" t="str">
        <f>BIBLE!O97</f>
        <v xml:space="preserve">Nulle / Très faible / Faible / Moyenne / Élevée / Très élevée / S.O. </v>
      </c>
      <c r="D183" s="1978">
        <f>IF($E$40&gt;=11,BIBLE!L97,BIBLE!M97)</f>
        <v>3</v>
      </c>
      <c r="E183" s="19"/>
      <c r="F183" s="19"/>
      <c r="G183" s="19"/>
      <c r="H183" s="61"/>
      <c r="I183" s="61"/>
      <c r="J183" s="61"/>
      <c r="K183" s="61">
        <v>1</v>
      </c>
      <c r="L183" s="61"/>
      <c r="M183" s="61"/>
      <c r="N183" s="61"/>
      <c r="O183" s="61"/>
      <c r="P183" s="1877">
        <f>'TEST_pour PROTOTYPE'!D164</f>
        <v>1</v>
      </c>
      <c r="Q183" s="25">
        <f>P183*D183</f>
        <v>3</v>
      </c>
      <c r="R183" s="8">
        <f>IF(BIBLE!K97=0,"",BIBLE!K97)</f>
        <v>4</v>
      </c>
      <c r="S183" s="16"/>
      <c r="T183" s="16"/>
      <c r="U183" s="16"/>
      <c r="V183" s="6">
        <f>IF(P183&gt;=R183,IF(Q183&gt;Q184,Q183,Q184),Q183)</f>
        <v>3</v>
      </c>
      <c r="X183" s="6">
        <f t="shared" ref="X183:AC183" si="58">IF(($P183&gt;=$R183),IF($Q183&gt;$Q184,X$109*$D183,X$109*$D184),X$109*$D183)</f>
        <v>0</v>
      </c>
      <c r="Y183" s="6">
        <f t="shared" si="58"/>
        <v>3</v>
      </c>
      <c r="Z183" s="6">
        <f t="shared" si="58"/>
        <v>6</v>
      </c>
      <c r="AA183" s="6">
        <f t="shared" si="58"/>
        <v>12</v>
      </c>
      <c r="AB183" s="6">
        <f t="shared" si="58"/>
        <v>21</v>
      </c>
      <c r="AC183" s="6">
        <f t="shared" si="58"/>
        <v>30</v>
      </c>
      <c r="AE183" s="511"/>
      <c r="AF183" s="2050"/>
      <c r="AG183" s="2050"/>
      <c r="AH183" s="23">
        <f>IF($Q183=$V183,$Q183*BIBLE!S97,$Q184*BIBLE!S98)</f>
        <v>0</v>
      </c>
      <c r="AI183" s="23">
        <f>IF($Q183=$V183,$Q183*BIBLE!T97,$Q184*BIBLE!T98)</f>
        <v>1.5</v>
      </c>
      <c r="AJ183" s="23">
        <f>IF($Q183=$V183,$Q183*BIBLE!U97,$Q184*BIBLE!U98)</f>
        <v>1.5</v>
      </c>
      <c r="AK183" s="1458">
        <f>IF($Q183=$V183,$Q183*BIBLE!W97,$Q184*BIBLE!W98)</f>
        <v>0</v>
      </c>
      <c r="AL183" s="1458">
        <f>IF($Q183=$V183,$Q183*BIBLE!X97,$Q184*BIBLE!X98)</f>
        <v>0</v>
      </c>
      <c r="AM183" s="1458">
        <f>IF($Q183=$V183,$Q183*BIBLE!Y97,$Q184*BIBLE!Y98)</f>
        <v>0</v>
      </c>
      <c r="AN183" s="1458">
        <f>IF($Q183=$V183,$Q183*BIBLE!Z97,$Q184*BIBLE!Z98)</f>
        <v>0</v>
      </c>
      <c r="AO183" s="1458">
        <f>IF($Q183=$V183,$Q183*BIBLE!AA97,$Q184*BIBLE!AA98)</f>
        <v>0</v>
      </c>
      <c r="AP183" s="1458">
        <f>IF($Q183=$V183,$Q183*BIBLE!AB97,$Q184*BIBLE!AB98)</f>
        <v>0</v>
      </c>
      <c r="AQ183" s="1458">
        <f>IF($Q183=$V183,$Q183*BIBLE!AC97,$Q184*BIBLE!AC98)</f>
        <v>0</v>
      </c>
      <c r="AR183" s="1458">
        <f>IF($Q183=$V183,$Q183*BIBLE!AD97,$Q184*BIBLE!AD98)</f>
        <v>3</v>
      </c>
    </row>
    <row r="184" spans="1:73" s="8" customFormat="1" ht="66" customHeight="1" x14ac:dyDescent="0.2">
      <c r="A184" s="1357" t="str">
        <f>BIBLE!E98</f>
        <v>PFA11a</v>
      </c>
      <c r="B184" s="158" t="str">
        <f>IF(P183&gt;=R183,BIBLE!F98,"")</f>
        <v/>
      </c>
      <c r="C184" s="498" t="str">
        <f>BIBLE!O98</f>
        <v xml:space="preserve">Jamais / Rarement / Occasionnellement / Régulièrement / Souvent / Toujours / S.O. </v>
      </c>
      <c r="D184" s="1978">
        <f>IF($E$40&gt;=11,BIBLE!L98,BIBLE!M98)</f>
        <v>3</v>
      </c>
      <c r="E184" s="19"/>
      <c r="F184" s="19"/>
      <c r="G184" s="19"/>
      <c r="H184" s="61"/>
      <c r="I184" s="61"/>
      <c r="J184" s="61">
        <v>1</v>
      </c>
      <c r="K184" s="61"/>
      <c r="L184" s="61"/>
      <c r="M184" s="61"/>
      <c r="N184" s="61"/>
      <c r="O184" s="61"/>
      <c r="P184" s="1877">
        <f>'TEST_pour PROTOTYPE'!D165</f>
        <v>0</v>
      </c>
      <c r="Q184" s="25">
        <f>P184*D184</f>
        <v>0</v>
      </c>
      <c r="R184" s="8" t="str">
        <f>IF(BIBLE!K98=0,"",BIBLE!K98)</f>
        <v/>
      </c>
      <c r="S184" s="16"/>
      <c r="T184" s="16"/>
      <c r="U184" s="16"/>
      <c r="V184" s="6"/>
      <c r="W184" s="16"/>
      <c r="X184" s="6"/>
      <c r="Y184" s="6"/>
      <c r="Z184" s="6"/>
      <c r="AA184" s="6"/>
      <c r="AB184" s="6"/>
      <c r="AC184" s="6"/>
      <c r="AE184" s="511"/>
      <c r="AF184" s="2050"/>
      <c r="AG184" s="2050"/>
      <c r="AH184" s="23"/>
      <c r="AI184" s="23"/>
      <c r="AJ184" s="23"/>
      <c r="AK184" s="1458"/>
      <c r="AL184" s="1458"/>
      <c r="AM184" s="1458"/>
      <c r="AN184" s="1458"/>
      <c r="AO184" s="1458"/>
      <c r="AP184" s="1458"/>
      <c r="AQ184" s="1458"/>
      <c r="AR184" s="1458"/>
    </row>
    <row r="185" spans="1:73" s="8" customFormat="1" ht="66" customHeight="1" x14ac:dyDescent="0.2">
      <c r="A185" s="1357" t="str">
        <f>BIBLE!E99</f>
        <v>PFA12</v>
      </c>
      <c r="B185" s="157" t="str">
        <f>BIBLE!F99</f>
        <v>L'autre parent questionne votre enfant à son retour de garde afin de connaître la routine (repas, dodo, activités, etc.) chez vous.</v>
      </c>
      <c r="C185" s="498" t="str">
        <f>BIBLE!O99</f>
        <v xml:space="preserve">Nulle / Très faible / Faible / Moyenne / Élevée / Très élevée / S.O.  </v>
      </c>
      <c r="D185" s="1978">
        <f>IF($E$40&lt;=10,BIBLE!L99,BIBLE!M99)</f>
        <v>1</v>
      </c>
      <c r="E185" s="19"/>
      <c r="F185" s="19"/>
      <c r="G185" s="19"/>
      <c r="H185" s="20"/>
      <c r="I185" s="20"/>
      <c r="J185" s="20"/>
      <c r="K185" s="20">
        <v>1</v>
      </c>
      <c r="L185" s="20"/>
      <c r="M185" s="20"/>
      <c r="N185" s="20"/>
      <c r="O185" s="20"/>
      <c r="P185" s="1877">
        <f>'TEST_pour PROTOTYPE'!D166</f>
        <v>2</v>
      </c>
      <c r="Q185" s="25">
        <f t="shared" si="50"/>
        <v>2</v>
      </c>
      <c r="R185" s="8" t="str">
        <f>IF(BIBLE!K99=0,"",BIBLE!K99)</f>
        <v/>
      </c>
      <c r="S185" s="16"/>
      <c r="T185" s="16"/>
      <c r="U185" s="16"/>
      <c r="V185" s="6">
        <f>Q185</f>
        <v>2</v>
      </c>
      <c r="W185" s="16"/>
      <c r="X185" s="6">
        <f t="shared" ref="X185:AC185" si="59">IF($Q185&gt;0,X$109*$D185,0)</f>
        <v>0</v>
      </c>
      <c r="Y185" s="6">
        <f t="shared" si="59"/>
        <v>1</v>
      </c>
      <c r="Z185" s="6">
        <f t="shared" si="59"/>
        <v>2</v>
      </c>
      <c r="AA185" s="6">
        <f t="shared" si="59"/>
        <v>4</v>
      </c>
      <c r="AB185" s="6">
        <f t="shared" si="59"/>
        <v>7</v>
      </c>
      <c r="AC185" s="6">
        <f t="shared" si="59"/>
        <v>10</v>
      </c>
      <c r="AE185" s="511"/>
      <c r="AF185" s="2050"/>
      <c r="AG185" s="2050"/>
      <c r="AH185" s="23">
        <f>$V185*BIBLE!S99</f>
        <v>0</v>
      </c>
      <c r="AI185" s="23">
        <f>$V185*BIBLE!T99</f>
        <v>0</v>
      </c>
      <c r="AJ185" s="23">
        <f>$V185*BIBLE!U99</f>
        <v>2</v>
      </c>
      <c r="AK185" s="1458">
        <f>$V185*BIBLE!W99</f>
        <v>0</v>
      </c>
      <c r="AL185" s="1458">
        <f>$V185*BIBLE!X99</f>
        <v>0</v>
      </c>
      <c r="AM185" s="1458">
        <f>$V185*BIBLE!Y99</f>
        <v>2</v>
      </c>
      <c r="AN185" s="1458">
        <f>$V185*BIBLE!Z99</f>
        <v>0</v>
      </c>
      <c r="AO185" s="1458">
        <f>$V185*BIBLE!AA99</f>
        <v>0</v>
      </c>
      <c r="AP185" s="1458">
        <f>$V185*BIBLE!AB99</f>
        <v>0</v>
      </c>
      <c r="AQ185" s="1458">
        <f>$V185*BIBLE!AC99</f>
        <v>0</v>
      </c>
      <c r="AR185" s="1458">
        <f>$V185*BIBLE!AD99</f>
        <v>0</v>
      </c>
    </row>
    <row r="186" spans="1:73" s="8" customFormat="1" ht="66" customHeight="1" x14ac:dyDescent="0.2">
      <c r="A186" s="1357" t="str">
        <f>BIBLE!E100</f>
        <v>PFA13</v>
      </c>
      <c r="B186" s="157" t="str">
        <f>BIBLE!F100</f>
        <v>L’autre parent vous dénigre en la présence de votre enfant.</v>
      </c>
      <c r="C186" s="498" t="str">
        <f>BIBLE!O100</f>
        <v xml:space="preserve">Jamais / Rarement / Occasionnellement / Régulièrement / Souvent / Toujours / S.O. </v>
      </c>
      <c r="D186" s="1527">
        <f>BIBLE!L100</f>
        <v>1</v>
      </c>
      <c r="E186" s="19"/>
      <c r="F186" s="19"/>
      <c r="G186" s="19"/>
      <c r="H186" s="19"/>
      <c r="I186" s="19">
        <v>1</v>
      </c>
      <c r="J186" s="19"/>
      <c r="K186" s="19"/>
      <c r="L186" s="19"/>
      <c r="M186" s="19"/>
      <c r="N186" s="19"/>
      <c r="O186" s="19"/>
      <c r="P186" s="1877">
        <f>'TEST_pour PROTOTYPE'!D167</f>
        <v>7</v>
      </c>
      <c r="Q186" s="25">
        <f t="shared" si="50"/>
        <v>7</v>
      </c>
      <c r="R186" s="8">
        <f>IF(BIBLE!K100=0,"",BIBLE!K100)</f>
        <v>4</v>
      </c>
      <c r="S186" s="16"/>
      <c r="T186" s="16"/>
      <c r="U186" s="16"/>
      <c r="V186" s="6">
        <f>IF(P186&gt;=R186,IF(SUM(Q187:Q189)&gt;Q186,SUM(Q187:Q189),Q186),Q186)</f>
        <v>20</v>
      </c>
      <c r="X186" s="6">
        <f>IF(Q186&gt;SUM(Q187:Q189),AU186,SUM(AU187:AU189))</f>
        <v>0</v>
      </c>
      <c r="Y186" s="6">
        <f>IF(Q186&gt;SUM(Q187:Q189),AV186,SUM(AV187:AV189))</f>
        <v>5</v>
      </c>
      <c r="Z186" s="6">
        <f>IF(Q186&gt;SUM(Q187:Q189),AW186,SUM(AW187:AW189))</f>
        <v>10</v>
      </c>
      <c r="AA186" s="6">
        <f>IF(Q186&gt;SUM(Q187:Q189),AX186,SUM(AX187:AX189))</f>
        <v>20</v>
      </c>
      <c r="AB186" s="6">
        <f>IF(Q186&gt;SUM(Q187:Q189),AY186,SUM(AY187:AY189))</f>
        <v>35</v>
      </c>
      <c r="AC186" s="6">
        <f>IF(Q186&gt;SUM(Q187:Q189),AZ186,SUM(AZ187:AZ189))</f>
        <v>50</v>
      </c>
      <c r="AE186" s="511"/>
      <c r="AF186" s="2050"/>
      <c r="AG186" s="2050"/>
      <c r="AH186" s="23">
        <f>IF($Q186=$V186,$Q186*BIBLE!S100,(Test_Bible!$Q187*BIBLE!S101+Test_Bible!$Q188*BIBLE!S102+$Q189*BIBLE!S103))</f>
        <v>14</v>
      </c>
      <c r="AI186" s="23">
        <f>IF($Q186=$V186,$Q186*BIBLE!T100,(Test_Bible!$Q187*BIBLE!T101+Test_Bible!$Q188*BIBLE!T102+$Q189*BIBLE!T103))</f>
        <v>6</v>
      </c>
      <c r="AJ186" s="23">
        <f>IF($Q186=$V186,$Q186*BIBLE!U100,(Test_Bible!$Q187*BIBLE!U101+Test_Bible!$Q188*BIBLE!U102+$Q189*BIBLE!U103))</f>
        <v>0</v>
      </c>
      <c r="AK186" s="1458">
        <f>IF($Q186=$V186,$Q186*BIBLE!W100,(Test_Bible!$Q187*BIBLE!W101+Test_Bible!$Q188*BIBLE!W102+$Q189*BIBLE!W103))</f>
        <v>0</v>
      </c>
      <c r="AL186" s="1458">
        <f>IF($Q186=$V186,$Q186*BIBLE!X100,(Test_Bible!$Q187*BIBLE!X101+Test_Bible!$Q188*BIBLE!X102+$Q189*BIBLE!X103))</f>
        <v>0</v>
      </c>
      <c r="AM186" s="1458">
        <f>IF($Q186=$V186,$Q186*BIBLE!Y100,(Test_Bible!$Q187*BIBLE!Y101+Test_Bible!$Q188*BIBLE!Y102+$Q189*BIBLE!Y103))</f>
        <v>0</v>
      </c>
      <c r="AN186" s="1458">
        <f>IF($Q186=$V186,$Q186*BIBLE!Z100,(Test_Bible!$Q187*BIBLE!Z101+Test_Bible!$Q188*BIBLE!Z102+$Q189*BIBLE!Z103))</f>
        <v>20</v>
      </c>
      <c r="AO186" s="1458">
        <f>IF($Q186=$V186,$Q186*BIBLE!AA100,(Test_Bible!$Q187*BIBLE!AA101+Test_Bible!$Q188*BIBLE!AA102+$Q189*BIBLE!AA103))</f>
        <v>0</v>
      </c>
      <c r="AP186" s="1458">
        <f>IF($Q186=$V186,$Q186*BIBLE!AB100,(Test_Bible!$Q187*BIBLE!AB101+Test_Bible!$Q188*BIBLE!AB102+$Q189*BIBLE!AB103))</f>
        <v>0</v>
      </c>
      <c r="AQ186" s="1458">
        <f>IF($Q186=$V186,$Q186*BIBLE!AC100,(Test_Bible!$Q187*BIBLE!AC101+Test_Bible!$Q188*BIBLE!AC102+$Q189*BIBLE!AC103))</f>
        <v>0</v>
      </c>
      <c r="AR186" s="1458">
        <f>IF($Q186=$V186,$Q186*BIBLE!AD100,(Test_Bible!$Q187*BIBLE!AD101+Test_Bible!$Q188*BIBLE!AD102+$Q189*BIBLE!AD103))</f>
        <v>0</v>
      </c>
      <c r="AS186" s="6">
        <f>Q186</f>
        <v>7</v>
      </c>
      <c r="AT186" s="16"/>
      <c r="AU186" s="6">
        <f t="shared" ref="AU186:AZ189" si="60">IF($Q186&gt;0,X$109*$D186,0)</f>
        <v>0</v>
      </c>
      <c r="AV186" s="6">
        <f t="shared" si="60"/>
        <v>1</v>
      </c>
      <c r="AW186" s="6">
        <f t="shared" si="60"/>
        <v>2</v>
      </c>
      <c r="AX186" s="6">
        <f t="shared" si="60"/>
        <v>4</v>
      </c>
      <c r="AY186" s="6">
        <f t="shared" si="60"/>
        <v>7</v>
      </c>
      <c r="AZ186" s="6">
        <f t="shared" si="60"/>
        <v>10</v>
      </c>
      <c r="BB186" s="17" t="s">
        <v>1266</v>
      </c>
    </row>
    <row r="187" spans="1:73" s="8" customFormat="1" ht="66" customHeight="1" x14ac:dyDescent="0.2">
      <c r="A187" s="1357" t="str">
        <f>BIBLE!E101</f>
        <v>PFA13a</v>
      </c>
      <c r="B187" s="1372" t="str">
        <f>IF($P$186&gt;=$R$186,BIBLE!F101,"")</f>
        <v>L'autre parent vous renvoie une image négative de vous-même en tant que parent, ridiculise vos décisions ou vous insulte.</v>
      </c>
      <c r="C187" s="498" t="str">
        <f>BIBLE!O101</f>
        <v xml:space="preserve">Jamais / Rarement / Occasionnellement / Régulièrement / Souvent / Toujours / S.O. </v>
      </c>
      <c r="D187" s="1527">
        <f>BIBLE!L101</f>
        <v>3</v>
      </c>
      <c r="E187" s="19"/>
      <c r="F187" s="19"/>
      <c r="G187" s="19"/>
      <c r="H187" s="19"/>
      <c r="I187" s="19">
        <v>1</v>
      </c>
      <c r="J187" s="19"/>
      <c r="K187" s="19"/>
      <c r="L187" s="19"/>
      <c r="M187" s="19"/>
      <c r="N187" s="19"/>
      <c r="O187" s="19"/>
      <c r="P187" s="1877">
        <f>'TEST_pour PROTOTYPE'!D168</f>
        <v>2</v>
      </c>
      <c r="Q187" s="25">
        <f t="shared" si="50"/>
        <v>6</v>
      </c>
      <c r="R187" s="8" t="str">
        <f>IF(BIBLE!K101=0,"",BIBLE!K101)</f>
        <v/>
      </c>
      <c r="S187" s="16"/>
      <c r="T187" s="16"/>
      <c r="U187" s="16"/>
      <c r="AE187" s="484">
        <f>Q187</f>
        <v>6</v>
      </c>
      <c r="AF187" s="2052"/>
      <c r="AG187" s="2052"/>
      <c r="AH187" s="25"/>
      <c r="AI187" s="25"/>
      <c r="AJ187" s="25"/>
      <c r="AK187" s="1460"/>
      <c r="AL187" s="1460"/>
      <c r="AM187" s="1460"/>
      <c r="AN187" s="1460"/>
      <c r="AO187" s="1460"/>
      <c r="AP187" s="1460"/>
      <c r="AQ187" s="1460"/>
      <c r="AR187" s="1460"/>
      <c r="AS187" s="6">
        <f>Q187</f>
        <v>6</v>
      </c>
      <c r="AT187" s="16"/>
      <c r="AU187" s="6">
        <f t="shared" si="60"/>
        <v>0</v>
      </c>
      <c r="AV187" s="6">
        <f t="shared" si="60"/>
        <v>3</v>
      </c>
      <c r="AW187" s="6">
        <f t="shared" si="60"/>
        <v>6</v>
      </c>
      <c r="AX187" s="6">
        <f t="shared" si="60"/>
        <v>12</v>
      </c>
      <c r="AY187" s="6">
        <f t="shared" si="60"/>
        <v>21</v>
      </c>
      <c r="AZ187" s="6">
        <f t="shared" si="60"/>
        <v>30</v>
      </c>
      <c r="BB187" s="6">
        <f>AS186</f>
        <v>7</v>
      </c>
      <c r="BD187" s="6">
        <f t="shared" ref="BD187:BJ187" si="61">AU186</f>
        <v>0</v>
      </c>
      <c r="BE187" s="6">
        <f t="shared" si="61"/>
        <v>1</v>
      </c>
      <c r="BF187" s="6">
        <f t="shared" si="61"/>
        <v>2</v>
      </c>
      <c r="BG187" s="6">
        <f t="shared" si="61"/>
        <v>4</v>
      </c>
      <c r="BH187" s="6">
        <f t="shared" si="61"/>
        <v>7</v>
      </c>
      <c r="BI187" s="6">
        <f t="shared" si="61"/>
        <v>10</v>
      </c>
      <c r="BJ187" s="6">
        <f t="shared" si="61"/>
        <v>0</v>
      </c>
      <c r="BK187" s="6">
        <f>BB187</f>
        <v>7</v>
      </c>
    </row>
    <row r="188" spans="1:73" s="8" customFormat="1" ht="66" customHeight="1" x14ac:dyDescent="0.2">
      <c r="A188" s="1357" t="str">
        <f>BIBLE!E102</f>
        <v>PFA13b</v>
      </c>
      <c r="B188" s="1372" t="str">
        <f>IF(AND($P$186&gt;=$R$186,$P$181=0),BIBLE!F102,"")</f>
        <v>Est-ce que l'autre parent fait ou a déjà fait des menaces (claires ou voilées) de vous enlever les enfants ?</v>
      </c>
      <c r="C188" s="498" t="str">
        <f>BIBLE!O102</f>
        <v xml:space="preserve">Jamais / Rarement / Occasionnellement / Régulièrement / Souvent / Toujours / S.O. </v>
      </c>
      <c r="D188" s="1527">
        <f>BIBLE!L102</f>
        <v>3</v>
      </c>
      <c r="E188" s="19"/>
      <c r="F188" s="19"/>
      <c r="G188" s="19"/>
      <c r="H188" s="19"/>
      <c r="I188" s="19"/>
      <c r="J188" s="19"/>
      <c r="K188" s="19"/>
      <c r="L188" s="19"/>
      <c r="M188" s="19"/>
      <c r="N188" s="19"/>
      <c r="O188" s="19"/>
      <c r="P188" s="1877">
        <f>'TEST_pour PROTOTYPE'!D169</f>
        <v>0</v>
      </c>
      <c r="Q188" s="25">
        <f t="shared" si="50"/>
        <v>0</v>
      </c>
      <c r="R188" s="8" t="str">
        <f>IF(BIBLE!K102=0,"",BIBLE!K102)</f>
        <v/>
      </c>
      <c r="AE188" s="484">
        <f>Q188</f>
        <v>0</v>
      </c>
      <c r="AF188" s="2052"/>
      <c r="AG188" s="2052"/>
      <c r="AH188" s="25"/>
      <c r="AI188" s="25"/>
      <c r="AJ188" s="25"/>
      <c r="AK188" s="1460"/>
      <c r="AL188" s="1460"/>
      <c r="AM188" s="1460"/>
      <c r="AN188" s="1460"/>
      <c r="AO188" s="1460"/>
      <c r="AP188" s="1460"/>
      <c r="AQ188" s="1460"/>
      <c r="AR188" s="1460"/>
      <c r="AS188" s="6">
        <f>Q188</f>
        <v>0</v>
      </c>
      <c r="AU188" s="6">
        <f t="shared" si="60"/>
        <v>0</v>
      </c>
      <c r="AV188" s="6">
        <f t="shared" si="60"/>
        <v>0</v>
      </c>
      <c r="AW188" s="6">
        <f t="shared" si="60"/>
        <v>0</v>
      </c>
      <c r="AX188" s="6">
        <f t="shared" si="60"/>
        <v>0</v>
      </c>
      <c r="AY188" s="6">
        <f t="shared" si="60"/>
        <v>0</v>
      </c>
      <c r="AZ188" s="6">
        <f t="shared" si="60"/>
        <v>0</v>
      </c>
      <c r="BB188" s="6">
        <f>SUM(AS187:AS189)</f>
        <v>20</v>
      </c>
      <c r="BD188" s="6">
        <f t="shared" ref="BD188:BJ188" si="62">SUM(AU187:AU189)</f>
        <v>0</v>
      </c>
      <c r="BE188" s="6">
        <f t="shared" si="62"/>
        <v>5</v>
      </c>
      <c r="BF188" s="6">
        <f t="shared" si="62"/>
        <v>10</v>
      </c>
      <c r="BG188" s="6">
        <f t="shared" si="62"/>
        <v>20</v>
      </c>
      <c r="BH188" s="6">
        <f t="shared" si="62"/>
        <v>35</v>
      </c>
      <c r="BI188" s="6">
        <f t="shared" si="62"/>
        <v>50</v>
      </c>
      <c r="BJ188" s="6">
        <f t="shared" si="62"/>
        <v>0</v>
      </c>
      <c r="BK188" s="6">
        <f>SUM(BB188:BB189)</f>
        <v>20</v>
      </c>
    </row>
    <row r="189" spans="1:73" s="8" customFormat="1" ht="66" customHeight="1" x14ac:dyDescent="0.2">
      <c r="A189" s="1357" t="str">
        <f>BIBLE!E103</f>
        <v>PFA13c</v>
      </c>
      <c r="B189" s="1372" t="str">
        <f>IF($P$186&gt;=$R$186,BIBLE!F103,"")</f>
        <v>L'autre parent présente à votre entourage une vision négative de vos compétences parentales ou de votre santé mentale.</v>
      </c>
      <c r="C189" s="498" t="str">
        <f>BIBLE!O103</f>
        <v xml:space="preserve">Jamais / Rarement / Occasionnellement / Régulièrement / Souvent / Toujours / S.O. </v>
      </c>
      <c r="D189" s="1527">
        <f>BIBLE!L103</f>
        <v>2</v>
      </c>
      <c r="E189" s="19"/>
      <c r="F189" s="19"/>
      <c r="G189" s="19"/>
      <c r="H189" s="19"/>
      <c r="I189" s="19"/>
      <c r="J189" s="19">
        <v>1</v>
      </c>
      <c r="K189" s="19"/>
      <c r="L189" s="19"/>
      <c r="M189" s="19"/>
      <c r="N189" s="19"/>
      <c r="O189" s="19"/>
      <c r="P189" s="1877">
        <f>'TEST_pour PROTOTYPE'!D170</f>
        <v>7</v>
      </c>
      <c r="Q189" s="25">
        <f t="shared" si="50"/>
        <v>14</v>
      </c>
      <c r="R189" s="8" t="str">
        <f>IF(BIBLE!K103=0,"",BIBLE!K103)</f>
        <v/>
      </c>
      <c r="AE189" s="484">
        <f>Q189</f>
        <v>14</v>
      </c>
      <c r="AF189" s="2052"/>
      <c r="AG189" s="2052"/>
      <c r="AH189" s="25"/>
      <c r="AI189" s="25"/>
      <c r="AJ189" s="25"/>
      <c r="AK189" s="1460"/>
      <c r="AL189" s="1460"/>
      <c r="AM189" s="1460"/>
      <c r="AN189" s="1460"/>
      <c r="AO189" s="1460"/>
      <c r="AP189" s="1460"/>
      <c r="AQ189" s="1460"/>
      <c r="AR189" s="1460"/>
      <c r="AS189" s="6">
        <f>Q189</f>
        <v>14</v>
      </c>
      <c r="AU189" s="6">
        <f t="shared" si="60"/>
        <v>0</v>
      </c>
      <c r="AV189" s="6">
        <f t="shared" si="60"/>
        <v>2</v>
      </c>
      <c r="AW189" s="6">
        <f t="shared" si="60"/>
        <v>4</v>
      </c>
      <c r="AX189" s="6">
        <f t="shared" si="60"/>
        <v>8</v>
      </c>
      <c r="AY189" s="6">
        <f t="shared" si="60"/>
        <v>14</v>
      </c>
      <c r="AZ189" s="6">
        <f t="shared" si="60"/>
        <v>20</v>
      </c>
    </row>
    <row r="190" spans="1:73" s="8" customFormat="1" ht="63" customHeight="1" x14ac:dyDescent="0.2">
      <c r="A190" s="1357" t="str">
        <f>BIBLE!E104</f>
        <v>PFA14</v>
      </c>
      <c r="B190" s="157" t="str">
        <f>IF(P42&lt;&gt;1,BIBLE!F104,"")</f>
        <v>L’autre parent dénigre votre nouvelle famille devant votre enfant. (dénigrement de votre nouveau ou nouvelle conjoint·e ou enfant né·e d’une nouvelle union)</v>
      </c>
      <c r="C190" s="498" t="str">
        <f>BIBLE!O104</f>
        <v xml:space="preserve">Jamais / Rarement / Occasionnellement / Régulièrement / Souvent / Toujours / S.O. </v>
      </c>
      <c r="D190" s="1527">
        <f>BIBLE!L104</f>
        <v>1</v>
      </c>
      <c r="E190" s="19"/>
      <c r="F190" s="19"/>
      <c r="G190" s="19"/>
      <c r="H190" s="19"/>
      <c r="I190" s="19"/>
      <c r="J190" s="19"/>
      <c r="K190" s="19"/>
      <c r="L190" s="19"/>
      <c r="M190" s="19"/>
      <c r="N190" s="19"/>
      <c r="O190" s="19"/>
      <c r="P190" s="1877">
        <f>'TEST_pour PROTOTYPE'!D171</f>
        <v>7</v>
      </c>
      <c r="Q190" s="25">
        <f t="shared" si="50"/>
        <v>7</v>
      </c>
      <c r="R190" s="8" t="str">
        <f>IF(BIBLE!K104=0,"",BIBLE!K104)</f>
        <v/>
      </c>
      <c r="V190" s="6">
        <f>Q190</f>
        <v>7</v>
      </c>
      <c r="X190" s="6">
        <f t="shared" ref="X190:AC190" si="63">IF($Q190&gt;0,X$109*$D190,0)</f>
        <v>0</v>
      </c>
      <c r="Y190" s="6">
        <f t="shared" si="63"/>
        <v>1</v>
      </c>
      <c r="Z190" s="6">
        <f t="shared" si="63"/>
        <v>2</v>
      </c>
      <c r="AA190" s="6">
        <f t="shared" si="63"/>
        <v>4</v>
      </c>
      <c r="AB190" s="6">
        <f t="shared" si="63"/>
        <v>7</v>
      </c>
      <c r="AC190" s="6">
        <f t="shared" si="63"/>
        <v>10</v>
      </c>
      <c r="AE190" s="511"/>
      <c r="AF190" s="2050"/>
      <c r="AG190" s="2050"/>
      <c r="AH190" s="23">
        <f>$V190*BIBLE!S104</f>
        <v>0</v>
      </c>
      <c r="AI190" s="23">
        <f>$V190*BIBLE!T104</f>
        <v>0</v>
      </c>
      <c r="AJ190" s="23">
        <f>$V190*BIBLE!U104</f>
        <v>7</v>
      </c>
      <c r="AK190" s="1458">
        <f>$V190*BIBLE!W104</f>
        <v>0</v>
      </c>
      <c r="AL190" s="1458">
        <f>$V190*BIBLE!X104</f>
        <v>0</v>
      </c>
      <c r="AM190" s="1458">
        <f>$V190*BIBLE!Y104</f>
        <v>0</v>
      </c>
      <c r="AN190" s="1458">
        <f>$V190*BIBLE!Z104</f>
        <v>7</v>
      </c>
      <c r="AO190" s="1458">
        <f>$V190*BIBLE!AA104</f>
        <v>0</v>
      </c>
      <c r="AP190" s="1458">
        <f>$V190*BIBLE!AB104</f>
        <v>0</v>
      </c>
      <c r="AQ190" s="1458">
        <f>$V190*BIBLE!AC104</f>
        <v>0</v>
      </c>
      <c r="AR190" s="1458">
        <f>$V190*BIBLE!AD104</f>
        <v>0</v>
      </c>
    </row>
    <row r="191" spans="1:73" s="7" customFormat="1" ht="63" customHeight="1" x14ac:dyDescent="0.2">
      <c r="A191" s="1357" t="str">
        <f>BIBLE!E105</f>
        <v>PFA15</v>
      </c>
      <c r="B191" s="157" t="str">
        <f>IF(P46&lt;&gt;1,BIBLE!F105,"")</f>
        <v>L'autre parent laisse entendre qu'il ou elle représente la vraie famille de votre enfant.</v>
      </c>
      <c r="C191" s="498" t="str">
        <f>BIBLE!O105</f>
        <v xml:space="preserve">Nulle / Très faible / Faible / Moyenne / Élevée / Très élevée / S.O.   </v>
      </c>
      <c r="D191" s="1527">
        <f>BIBLE!L105</f>
        <v>2</v>
      </c>
      <c r="E191" s="19"/>
      <c r="F191" s="19"/>
      <c r="G191" s="19"/>
      <c r="H191" s="61">
        <v>1</v>
      </c>
      <c r="I191" s="61"/>
      <c r="J191" s="61"/>
      <c r="K191" s="61"/>
      <c r="L191" s="61"/>
      <c r="M191" s="61"/>
      <c r="N191" s="61"/>
      <c r="O191" s="61"/>
      <c r="P191" s="1877">
        <f>'TEST_pour PROTOTYPE'!D172</f>
        <v>1</v>
      </c>
      <c r="Q191" s="25">
        <f t="shared" si="50"/>
        <v>2</v>
      </c>
      <c r="R191" s="8">
        <f>IF(BIBLE!K105=0,"",BIBLE!K105)</f>
        <v>4</v>
      </c>
      <c r="S191" s="16"/>
      <c r="T191" s="16"/>
      <c r="U191" s="16"/>
      <c r="V191" s="6">
        <f>IF(P191&gt;=R191,IF(Q191&gt;Q192,Q191,Q192),Q191)</f>
        <v>2</v>
      </c>
      <c r="W191" s="8"/>
      <c r="X191" s="6">
        <f t="shared" ref="X191:AC191" si="64">IF(($P191&gt;=$R191),IF($Q191&gt;$Q192,X$109*$D191,X$109*$D192),X$109*$D191)</f>
        <v>0</v>
      </c>
      <c r="Y191" s="6">
        <f t="shared" si="64"/>
        <v>2</v>
      </c>
      <c r="Z191" s="6">
        <f t="shared" si="64"/>
        <v>4</v>
      </c>
      <c r="AA191" s="6">
        <f t="shared" si="64"/>
        <v>8</v>
      </c>
      <c r="AB191" s="6">
        <f t="shared" si="64"/>
        <v>14</v>
      </c>
      <c r="AC191" s="6">
        <f t="shared" si="64"/>
        <v>20</v>
      </c>
      <c r="AE191" s="512"/>
      <c r="AF191" s="52"/>
      <c r="AG191" s="52"/>
      <c r="AH191" s="23">
        <f>IF($Q191=$V191,$Q191*BIBLE!S105,$Q192*BIBLE!S106)</f>
        <v>0</v>
      </c>
      <c r="AI191" s="23">
        <f>IF($Q191=$V191,$Q191*BIBLE!T105,$Q192*BIBLE!T106)</f>
        <v>2</v>
      </c>
      <c r="AJ191" s="23">
        <f>IF($Q191=$V191,$Q191*BIBLE!U105,$Q192*BIBLE!U106)</f>
        <v>0</v>
      </c>
      <c r="AK191" s="1458">
        <f>IF($Q191=$V191,$Q191*BIBLE!W105,$Q192*BIBLE!W106)</f>
        <v>0</v>
      </c>
      <c r="AL191" s="1458">
        <f>IF($Q191=$V191,$Q191*BIBLE!X105,$Q192*BIBLE!X106)</f>
        <v>0</v>
      </c>
      <c r="AM191" s="1458">
        <f>IF($Q191=$V191,$Q191*BIBLE!Y105,$Q192*BIBLE!Y106)</f>
        <v>0</v>
      </c>
      <c r="AN191" s="1458">
        <f>IF($Q191=$V191,$Q191*BIBLE!Z105,$Q192*BIBLE!Z106)</f>
        <v>2</v>
      </c>
      <c r="AO191" s="1458">
        <f>IF($Q191=$V191,$Q191*BIBLE!AA105,$Q192*BIBLE!AA106)</f>
        <v>0</v>
      </c>
      <c r="AP191" s="1458">
        <f>IF($Q191=$V191,$Q191*BIBLE!AB105,$Q192*BIBLE!AB106)</f>
        <v>0</v>
      </c>
      <c r="AQ191" s="1458">
        <f>IF($Q191=$V191,$Q191*BIBLE!AC105,$Q192*BIBLE!AC106)</f>
        <v>0</v>
      </c>
      <c r="AR191" s="1458">
        <f>IF($Q191=$V191,$Q191*BIBLE!AD105,$Q192*BIBLE!AD106)</f>
        <v>0</v>
      </c>
    </row>
    <row r="192" spans="1:73" s="7" customFormat="1" ht="63" customHeight="1" x14ac:dyDescent="0.2">
      <c r="A192" s="1357" t="str">
        <f>BIBLE!E106</f>
        <v>PFA15a</v>
      </c>
      <c r="B192" s="158" t="str">
        <f>IF(P191&gt;=R191,BIBLE!F106,"")</f>
        <v/>
      </c>
      <c r="C192" s="498" t="str">
        <f>BIBLE!O106</f>
        <v xml:space="preserve">Nulle / Très faible / Faible / Moyenne / Élevée / Très élevée / S.O.   </v>
      </c>
      <c r="D192" s="1527">
        <f>BIBLE!L106</f>
        <v>3</v>
      </c>
      <c r="E192" s="19"/>
      <c r="F192" s="19"/>
      <c r="G192" s="19"/>
      <c r="H192" s="20"/>
      <c r="I192" s="20"/>
      <c r="J192" s="20"/>
      <c r="K192" s="20"/>
      <c r="L192" s="20"/>
      <c r="M192" s="20"/>
      <c r="N192" s="20"/>
      <c r="O192" s="20"/>
      <c r="P192" s="1877">
        <f>'TEST_pour PROTOTYPE'!D173</f>
        <v>0</v>
      </c>
      <c r="Q192" s="25">
        <f t="shared" si="50"/>
        <v>0</v>
      </c>
      <c r="R192" s="8" t="str">
        <f>IF(BIBLE!K106=0,"",BIBLE!K106)</f>
        <v/>
      </c>
      <c r="S192" s="8"/>
      <c r="T192" s="8"/>
      <c r="U192" s="8"/>
      <c r="V192" s="6"/>
      <c r="W192" s="8"/>
      <c r="X192" s="6"/>
      <c r="Y192" s="6"/>
      <c r="Z192" s="6"/>
      <c r="AA192" s="6"/>
      <c r="AB192" s="6"/>
      <c r="AC192" s="6"/>
      <c r="AE192" s="512"/>
      <c r="AF192" s="52"/>
      <c r="AG192" s="52"/>
      <c r="AH192" s="92"/>
      <c r="AI192" s="92"/>
      <c r="AJ192" s="92"/>
      <c r="AK192" s="743"/>
      <c r="AL192" s="743"/>
      <c r="AM192" s="743"/>
      <c r="AN192" s="743"/>
      <c r="AO192" s="743"/>
      <c r="AP192" s="743"/>
      <c r="AQ192" s="743"/>
      <c r="AR192" s="743"/>
      <c r="AU192" s="1483"/>
      <c r="AV192" s="1483"/>
      <c r="AW192" s="1483"/>
      <c r="AX192" s="1483"/>
      <c r="AY192" s="1483"/>
      <c r="AZ192" s="1483"/>
      <c r="BA192" s="1483"/>
      <c r="BB192" s="7" t="s">
        <v>1267</v>
      </c>
      <c r="BC192" s="1483"/>
      <c r="BD192" s="1483"/>
      <c r="BE192" s="1483"/>
      <c r="BF192" s="1483"/>
      <c r="BG192" s="1483"/>
      <c r="BH192" s="1483"/>
      <c r="BI192" s="1483"/>
      <c r="BJ192" s="1483"/>
      <c r="BK192" s="1483"/>
      <c r="BL192" s="1483"/>
      <c r="BM192" s="7" t="s">
        <v>1268</v>
      </c>
      <c r="BU192" s="7" t="s">
        <v>1269</v>
      </c>
    </row>
    <row r="193" spans="1:72" s="7" customFormat="1" ht="63" customHeight="1" x14ac:dyDescent="0.2">
      <c r="A193" s="1357" t="str">
        <f>BIBLE!E107</f>
        <v>PFA16</v>
      </c>
      <c r="B193" s="157" t="str">
        <f>BIBLE!F107</f>
        <v>L'autre parent impose des changements d’horaires sans vous consulter au préalable et sans votre autorisation.</v>
      </c>
      <c r="C193" s="498" t="str">
        <f>BIBLE!O107</f>
        <v xml:space="preserve">Jamais / Rarement / Occasionnellement / Régulièrement / Souvent / Toujours / S.O. </v>
      </c>
      <c r="D193" s="1527">
        <f>BIBLE!L107</f>
        <v>2</v>
      </c>
      <c r="E193" s="19"/>
      <c r="F193" s="19"/>
      <c r="G193" s="19"/>
      <c r="H193" s="19"/>
      <c r="I193" s="19"/>
      <c r="J193" s="19">
        <v>1</v>
      </c>
      <c r="K193" s="19"/>
      <c r="L193" s="19"/>
      <c r="M193" s="19"/>
      <c r="N193" s="19"/>
      <c r="O193" s="19"/>
      <c r="P193" s="1877">
        <f>'TEST_pour PROTOTYPE'!D174</f>
        <v>1</v>
      </c>
      <c r="Q193" s="25">
        <f t="shared" si="50"/>
        <v>2</v>
      </c>
      <c r="R193" s="8">
        <f>IF(BIBLE!K107=0,"",BIBLE!K107)</f>
        <v>2</v>
      </c>
      <c r="S193" s="8"/>
      <c r="T193" s="8"/>
      <c r="U193" s="8"/>
      <c r="V193" s="6">
        <f>MAX(AS193,SUM(BD194:BD195))</f>
        <v>2</v>
      </c>
      <c r="X193" s="6">
        <f t="shared" ref="X193:AC193" si="65">MAX(BF193,SUM(BF194:BF195))</f>
        <v>0</v>
      </c>
      <c r="Y193" s="6">
        <f>MAX(BG193,SUM(BG194:BG195))</f>
        <v>0</v>
      </c>
      <c r="Z193" s="6">
        <f t="shared" si="65"/>
        <v>0</v>
      </c>
      <c r="AA193" s="6">
        <f t="shared" si="65"/>
        <v>0</v>
      </c>
      <c r="AB193" s="6">
        <f t="shared" si="65"/>
        <v>0</v>
      </c>
      <c r="AC193" s="6">
        <f t="shared" si="65"/>
        <v>0</v>
      </c>
      <c r="AE193" s="512"/>
      <c r="AF193" s="52"/>
      <c r="AG193" s="52"/>
      <c r="AH193" s="92">
        <f>IF($Q193=$V193,$Q193*BIBLE!S107,IF($Q196&gt;=$Q195,(Test_Bible!$Q196*BIBLE!S110+Test_Bible!$Q194*BIBLE!S108),(Test_Bible!$Q195*BIBLE!S109+Test_Bible!$Q194*BIBLE!S108)))</f>
        <v>2</v>
      </c>
      <c r="AI193" s="92">
        <f>IF($Q193=$V193,$Q193*BIBLE!T107,IF($Q196&gt;=$Q195,(Test_Bible!$Q196*BIBLE!T110+Test_Bible!$Q194*BIBLE!T108),(Test_Bible!$Q195*BIBLE!T109+Test_Bible!$Q194*BIBLE!T108)))</f>
        <v>0</v>
      </c>
      <c r="AJ193" s="92">
        <f>IF($Q193=$V193,$Q193*BIBLE!U107,IF($Q196&gt;=$Q195,(Test_Bible!$Q196*BIBLE!U110+Test_Bible!$Q194*BIBLE!U108),(Test_Bible!$Q195*BIBLE!U109+Test_Bible!$Q194*BIBLE!U108)))</f>
        <v>0</v>
      </c>
      <c r="AK193" s="743">
        <f>IF($Q193=$V193,$Q193*BIBLE!W107,IF($Q196&gt;=$Q195,(Test_Bible!$Q196*BIBLE!W110+Test_Bible!$Q194*BIBLE!W108),(Test_Bible!$Q195*BIBLE!W109+Test_Bible!$Q194*BIBLE!W108)))</f>
        <v>0</v>
      </c>
      <c r="AL193" s="743">
        <f>IF($Q193=$V193,$Q193*BIBLE!X107,IF($Q196&gt;=$Q195,(Test_Bible!$Q196*BIBLE!X110+Test_Bible!$Q194*BIBLE!X108),(Test_Bible!$Q195*BIBLE!X109+Test_Bible!$Q194*BIBLE!X108)))</f>
        <v>0</v>
      </c>
      <c r="AM193" s="743">
        <f>IF($Q193=$V193,$Q193*BIBLE!Y107,IF($Q196&gt;=$Q195,(Test_Bible!$Q196*BIBLE!Y110+Test_Bible!$Q194*BIBLE!Y108),(Test_Bible!$Q195*BIBLE!Y109+Test_Bible!$Q194*BIBLE!Y108)))</f>
        <v>0</v>
      </c>
      <c r="AN193" s="743">
        <f>IF($Q193=$V193,$Q193*BIBLE!Z107,IF($Q196&gt;=$Q195,(Test_Bible!$Q196*BIBLE!Z110+Test_Bible!$Q194*BIBLE!Z108),(Test_Bible!$Q195*BIBLE!Z109+Test_Bible!$Q194*BIBLE!Z108)))</f>
        <v>0</v>
      </c>
      <c r="AO193" s="743">
        <f>IF($Q193=$V193,$Q193*BIBLE!AA107,IF($Q196&gt;=$Q195,(Test_Bible!$Q196*BIBLE!AA110+Test_Bible!$Q194*BIBLE!AA108),(Test_Bible!$Q195*BIBLE!AA109+Test_Bible!$Q194*BIBLE!AA108)))</f>
        <v>2</v>
      </c>
      <c r="AP193" s="743">
        <f>IF($Q193=$V193,$Q193*BIBLE!AB107,IF($Q196&gt;=$Q195,(Test_Bible!$Q196*BIBLE!AB110+Test_Bible!$Q194*BIBLE!AB108),(Test_Bible!$Q195*BIBLE!AB109+Test_Bible!$Q194*BIBLE!AB108)))</f>
        <v>0</v>
      </c>
      <c r="AQ193" s="743">
        <f>IF($Q193=$V193,$Q193*BIBLE!AC107,IF($Q196&gt;=$Q195,(Test_Bible!$Q196*BIBLE!AC110+Test_Bible!$Q194*BIBLE!AC108),(Test_Bible!$Q195*BIBLE!AC109+Test_Bible!$Q194*BIBLE!AC108)))</f>
        <v>0</v>
      </c>
      <c r="AR193" s="743">
        <f>IF($Q193=$V193,$Q193*BIBLE!AD107,IF($Q196&gt;=$Q195,(Test_Bible!$Q196*BIBLE!AD110+Test_Bible!$Q194*BIBLE!AD108),(Test_Bible!$Q195*BIBLE!AD109+Test_Bible!$Q194*BIBLE!AD108)))</f>
        <v>0</v>
      </c>
      <c r="AS193" s="6">
        <f>Q193</f>
        <v>2</v>
      </c>
      <c r="AT193" s="8"/>
      <c r="AU193" s="6">
        <f t="shared" ref="AU193:AZ196" si="66">IF($Q193&gt;0,X$109*$D193,0)</f>
        <v>0</v>
      </c>
      <c r="AV193" s="6">
        <f t="shared" si="66"/>
        <v>2</v>
      </c>
      <c r="AW193" s="6">
        <f t="shared" si="66"/>
        <v>4</v>
      </c>
      <c r="AX193" s="6">
        <f t="shared" si="66"/>
        <v>8</v>
      </c>
      <c r="AY193" s="6">
        <f t="shared" si="66"/>
        <v>14</v>
      </c>
      <c r="AZ193" s="6">
        <f t="shared" si="66"/>
        <v>20</v>
      </c>
      <c r="BD193" s="6">
        <f>IF(P193&gt;R193,IF(Q193&gt;Q194,Q193,Q194),0)</f>
        <v>0</v>
      </c>
      <c r="BE193" s="8"/>
      <c r="BF193" s="6">
        <f t="shared" ref="BF193:BK193" si="67">IF(($P193&gt;$R193),IF($Q193&gt;$Q194,X$109*$D193,X$109*$D194),0)</f>
        <v>0</v>
      </c>
      <c r="BG193" s="6">
        <f t="shared" si="67"/>
        <v>0</v>
      </c>
      <c r="BH193" s="6">
        <f t="shared" si="67"/>
        <v>0</v>
      </c>
      <c r="BI193" s="6">
        <f t="shared" si="67"/>
        <v>0</v>
      </c>
      <c r="BJ193" s="6">
        <f t="shared" si="67"/>
        <v>0</v>
      </c>
      <c r="BK193" s="6">
        <f t="shared" si="67"/>
        <v>0</v>
      </c>
      <c r="BM193" s="562">
        <f>BD193</f>
        <v>0</v>
      </c>
      <c r="BO193" s="562">
        <f t="shared" ref="BO193:BT193" si="68">BF193</f>
        <v>0</v>
      </c>
      <c r="BP193" s="562">
        <f t="shared" si="68"/>
        <v>0</v>
      </c>
      <c r="BQ193" s="562">
        <f t="shared" si="68"/>
        <v>0</v>
      </c>
      <c r="BR193" s="562">
        <f t="shared" si="68"/>
        <v>0</v>
      </c>
      <c r="BS193" s="562">
        <f t="shared" si="68"/>
        <v>0</v>
      </c>
      <c r="BT193" s="562">
        <f t="shared" si="68"/>
        <v>0</v>
      </c>
    </row>
    <row r="194" spans="1:72" s="7" customFormat="1" ht="63" customHeight="1" x14ac:dyDescent="0.2">
      <c r="A194" s="1357" t="str">
        <f>BIBLE!E108</f>
        <v>PFA16a</v>
      </c>
      <c r="B194" s="158" t="str">
        <f>IF(P193&gt;=R193,BIBLE!F108,"")</f>
        <v/>
      </c>
      <c r="C194" s="498" t="str">
        <f>BIBLE!O108</f>
        <v xml:space="preserve">Jamais / Rarement / Occasionnellement / Régulièrement / Souvent / Toujours / S.O. </v>
      </c>
      <c r="D194" s="1527">
        <f>BIBLE!L108</f>
        <v>2</v>
      </c>
      <c r="E194" s="19"/>
      <c r="F194" s="19"/>
      <c r="G194" s="19"/>
      <c r="H194" s="19"/>
      <c r="I194" s="19">
        <v>1</v>
      </c>
      <c r="J194" s="19"/>
      <c r="K194" s="19"/>
      <c r="L194" s="19"/>
      <c r="M194" s="19"/>
      <c r="N194" s="19"/>
      <c r="O194" s="19"/>
      <c r="P194" s="1877">
        <f>'TEST_pour PROTOTYPE'!D175</f>
        <v>0</v>
      </c>
      <c r="Q194" s="25">
        <f t="shared" si="50"/>
        <v>0</v>
      </c>
      <c r="R194" s="8" t="str">
        <f>IF(BIBLE!K108=0,"",BIBLE!K108)</f>
        <v/>
      </c>
      <c r="S194" s="8"/>
      <c r="T194" s="8"/>
      <c r="U194" s="8"/>
      <c r="V194" s="8"/>
      <c r="AE194" s="512"/>
      <c r="AF194" s="52"/>
      <c r="AG194" s="52"/>
      <c r="AH194" s="92"/>
      <c r="AI194" s="92"/>
      <c r="AJ194" s="92"/>
      <c r="AK194" s="743"/>
      <c r="AL194" s="743"/>
      <c r="AM194" s="743"/>
      <c r="AN194" s="743"/>
      <c r="AO194" s="743"/>
      <c r="AP194" s="743"/>
      <c r="AQ194" s="743"/>
      <c r="AR194" s="743"/>
      <c r="AS194" s="6">
        <f>Q194</f>
        <v>0</v>
      </c>
      <c r="AT194" s="8"/>
      <c r="AU194" s="6">
        <f t="shared" si="66"/>
        <v>0</v>
      </c>
      <c r="AV194" s="6">
        <f t="shared" si="66"/>
        <v>0</v>
      </c>
      <c r="AW194" s="6">
        <f t="shared" si="66"/>
        <v>0</v>
      </c>
      <c r="AX194" s="6">
        <f t="shared" si="66"/>
        <v>0</v>
      </c>
      <c r="AY194" s="6">
        <f t="shared" si="66"/>
        <v>0</v>
      </c>
      <c r="AZ194" s="6">
        <f t="shared" si="66"/>
        <v>0</v>
      </c>
      <c r="BB194" s="7" t="s">
        <v>528</v>
      </c>
      <c r="BD194" s="6">
        <f>Q194</f>
        <v>0</v>
      </c>
      <c r="BE194" s="8"/>
      <c r="BF194" s="6">
        <f t="shared" ref="BF194:BK194" si="69">IF($Q194&gt;0,X$109*$D194,0)</f>
        <v>0</v>
      </c>
      <c r="BG194" s="6">
        <f t="shared" si="69"/>
        <v>0</v>
      </c>
      <c r="BH194" s="6">
        <f t="shared" si="69"/>
        <v>0</v>
      </c>
      <c r="BI194" s="6">
        <f t="shared" si="69"/>
        <v>0</v>
      </c>
      <c r="BJ194" s="6">
        <f t="shared" si="69"/>
        <v>0</v>
      </c>
      <c r="BK194" s="6">
        <f t="shared" si="69"/>
        <v>0</v>
      </c>
      <c r="BM194" s="562">
        <f>SUM(BD194:BD195)</f>
        <v>0</v>
      </c>
      <c r="BO194" s="562">
        <f t="shared" ref="BO194:BT194" si="70">SUM(BF194:BF195)</f>
        <v>0</v>
      </c>
      <c r="BP194" s="562">
        <f t="shared" si="70"/>
        <v>0</v>
      </c>
      <c r="BQ194" s="562">
        <f t="shared" si="70"/>
        <v>0</v>
      </c>
      <c r="BR194" s="562">
        <f t="shared" si="70"/>
        <v>0</v>
      </c>
      <c r="BS194" s="562">
        <f t="shared" si="70"/>
        <v>0</v>
      </c>
      <c r="BT194" s="562">
        <f t="shared" si="70"/>
        <v>0</v>
      </c>
    </row>
    <row r="195" spans="1:72" s="7" customFormat="1" ht="63" customHeight="1" x14ac:dyDescent="0.2">
      <c r="A195" s="1357" t="str">
        <f>BIBLE!E109</f>
        <v>PFA16b</v>
      </c>
      <c r="B195" s="158" t="str">
        <f>IF(P193&gt;=R193,BIBLE!F109,"")</f>
        <v/>
      </c>
      <c r="C195" s="498" t="str">
        <f>BIBLE!O109</f>
        <v xml:space="preserve">Jamais / Rarement / Occasionnellement / Régulièrement / Souvent / Toujours / S.O. </v>
      </c>
      <c r="D195" s="1527">
        <f>BIBLE!L109</f>
        <v>2</v>
      </c>
      <c r="E195" s="19"/>
      <c r="F195" s="19"/>
      <c r="G195" s="19"/>
      <c r="H195" s="19"/>
      <c r="I195" s="19"/>
      <c r="J195" s="19">
        <v>1</v>
      </c>
      <c r="K195" s="19"/>
      <c r="L195" s="19"/>
      <c r="M195" s="19"/>
      <c r="N195" s="19"/>
      <c r="O195" s="19"/>
      <c r="P195" s="1877">
        <f>'TEST_pour PROTOTYPE'!D176</f>
        <v>0</v>
      </c>
      <c r="Q195" s="25">
        <f t="shared" si="50"/>
        <v>0</v>
      </c>
      <c r="R195" s="8">
        <f>IF(BIBLE!K109=0,"",BIBLE!K109)</f>
        <v>4</v>
      </c>
      <c r="S195" s="8"/>
      <c r="T195" s="8"/>
      <c r="U195" s="8"/>
      <c r="V195" s="8"/>
      <c r="AE195" s="512"/>
      <c r="AF195" s="52"/>
      <c r="AG195" s="52"/>
      <c r="AH195" s="92"/>
      <c r="AI195" s="92"/>
      <c r="AJ195" s="92"/>
      <c r="AK195" s="743"/>
      <c r="AL195" s="743"/>
      <c r="AM195" s="743"/>
      <c r="AN195" s="743"/>
      <c r="AO195" s="743"/>
      <c r="AP195" s="743"/>
      <c r="AQ195" s="743"/>
      <c r="AR195" s="743"/>
      <c r="AS195" s="6">
        <f>Q195</f>
        <v>0</v>
      </c>
      <c r="AT195" s="8"/>
      <c r="AU195" s="6">
        <f t="shared" si="66"/>
        <v>0</v>
      </c>
      <c r="AV195" s="6">
        <f t="shared" si="66"/>
        <v>0</v>
      </c>
      <c r="AW195" s="6">
        <f t="shared" si="66"/>
        <v>0</v>
      </c>
      <c r="AX195" s="6">
        <f t="shared" si="66"/>
        <v>0</v>
      </c>
      <c r="AY195" s="6">
        <f t="shared" si="66"/>
        <v>0</v>
      </c>
      <c r="AZ195" s="6">
        <f t="shared" si="66"/>
        <v>0</v>
      </c>
      <c r="BB195" s="7" t="s">
        <v>528</v>
      </c>
      <c r="BD195" s="6">
        <f>MAX(AS195:AS196)</f>
        <v>0</v>
      </c>
      <c r="BE195" s="8"/>
      <c r="BF195" s="6">
        <f t="shared" ref="BF195:BK195" si="71">MAX(AU195:AU196)</f>
        <v>0</v>
      </c>
      <c r="BG195" s="6">
        <f t="shared" si="71"/>
        <v>0</v>
      </c>
      <c r="BH195" s="6">
        <f t="shared" si="71"/>
        <v>0</v>
      </c>
      <c r="BI195" s="6">
        <f t="shared" si="71"/>
        <v>0</v>
      </c>
      <c r="BJ195" s="6">
        <f t="shared" si="71"/>
        <v>0</v>
      </c>
      <c r="BK195" s="6">
        <f t="shared" si="71"/>
        <v>0</v>
      </c>
    </row>
    <row r="196" spans="1:72" s="7" customFormat="1" ht="63" customHeight="1" x14ac:dyDescent="0.2">
      <c r="A196" s="1357" t="str">
        <f>BIBLE!E110</f>
        <v>PFA16b1</v>
      </c>
      <c r="B196" s="158" t="str">
        <f>IF(P195&gt;=R195,BIBLE!F110,"")</f>
        <v/>
      </c>
      <c r="C196" s="498" t="str">
        <f>BIBLE!O110</f>
        <v xml:space="preserve">Jamais / Rarement / Occasionnellement / Régulièrement / Souvent / Toujours / S.O. </v>
      </c>
      <c r="D196" s="1527">
        <f>BIBLE!L110</f>
        <v>3</v>
      </c>
      <c r="E196" s="19"/>
      <c r="F196" s="19"/>
      <c r="G196" s="19"/>
      <c r="H196" s="19"/>
      <c r="I196" s="19"/>
      <c r="J196" s="19">
        <v>1</v>
      </c>
      <c r="K196" s="19"/>
      <c r="L196" s="19"/>
      <c r="M196" s="19"/>
      <c r="N196" s="19"/>
      <c r="O196" s="19"/>
      <c r="P196" s="1877">
        <f>'TEST_pour PROTOTYPE'!D177</f>
        <v>0</v>
      </c>
      <c r="Q196" s="25">
        <f t="shared" si="50"/>
        <v>0</v>
      </c>
      <c r="R196" s="8" t="str">
        <f>IF(BIBLE!K110=0,"",BIBLE!K110)</f>
        <v/>
      </c>
      <c r="S196" s="298"/>
      <c r="T196" s="298"/>
      <c r="U196" s="298"/>
      <c r="V196" s="8"/>
      <c r="AE196" s="512"/>
      <c r="AF196" s="52"/>
      <c r="AG196" s="52"/>
      <c r="AH196" s="92"/>
      <c r="AI196" s="92"/>
      <c r="AJ196" s="92"/>
      <c r="AK196" s="743"/>
      <c r="AL196" s="743"/>
      <c r="AM196" s="743"/>
      <c r="AN196" s="743"/>
      <c r="AO196" s="743"/>
      <c r="AP196" s="743"/>
      <c r="AQ196" s="743"/>
      <c r="AR196" s="743"/>
      <c r="AS196" s="6">
        <f>Q196</f>
        <v>0</v>
      </c>
      <c r="AT196" s="8"/>
      <c r="AU196" s="6">
        <f t="shared" si="66"/>
        <v>0</v>
      </c>
      <c r="AV196" s="6">
        <f t="shared" si="66"/>
        <v>0</v>
      </c>
      <c r="AW196" s="6">
        <f t="shared" si="66"/>
        <v>0</v>
      </c>
      <c r="AX196" s="6">
        <f t="shared" si="66"/>
        <v>0</v>
      </c>
      <c r="AY196" s="6">
        <f t="shared" si="66"/>
        <v>0</v>
      </c>
      <c r="AZ196" s="6">
        <f t="shared" si="66"/>
        <v>0</v>
      </c>
      <c r="BD196" s="6"/>
      <c r="BE196" s="16"/>
      <c r="BF196" s="6"/>
      <c r="BG196" s="6"/>
      <c r="BH196" s="6"/>
      <c r="BI196" s="6"/>
      <c r="BJ196" s="6"/>
      <c r="BK196" s="6"/>
    </row>
    <row r="197" spans="1:72" s="7" customFormat="1" ht="63" customHeight="1" x14ac:dyDescent="0.2">
      <c r="A197" s="1357" t="str">
        <f>BIBLE!E111</f>
        <v>PFA17</v>
      </c>
      <c r="B197" s="157" t="str">
        <f>BIBLE!F111</f>
        <v>L’autre parent se présente à la sortie des classes, au service de garde ou à la garderie sur votre temps de garde.</v>
      </c>
      <c r="C197" s="498" t="str">
        <f>BIBLE!O111</f>
        <v xml:space="preserve">Jamais / Rarement / Occasionnellement / Régulièrement / Souvent / Toujours / S.O. </v>
      </c>
      <c r="D197" s="1527">
        <f>BIBLE!L111</f>
        <v>1</v>
      </c>
      <c r="E197" s="19"/>
      <c r="F197" s="19"/>
      <c r="G197" s="19">
        <v>1</v>
      </c>
      <c r="H197" s="19"/>
      <c r="I197" s="19"/>
      <c r="J197" s="19"/>
      <c r="K197" s="19"/>
      <c r="L197" s="19"/>
      <c r="M197" s="19"/>
      <c r="N197" s="19"/>
      <c r="O197" s="19"/>
      <c r="P197" s="1877">
        <f>'TEST_pour PROTOTYPE'!D178</f>
        <v>4</v>
      </c>
      <c r="Q197" s="25">
        <f t="shared" si="50"/>
        <v>4</v>
      </c>
      <c r="R197" s="8" t="str">
        <f>IF(BIBLE!K111=0,"",BIBLE!K111)</f>
        <v/>
      </c>
      <c r="S197" s="490"/>
      <c r="T197" s="490"/>
      <c r="U197" s="490"/>
      <c r="V197" s="6">
        <f>Q197</f>
        <v>4</v>
      </c>
      <c r="W197" s="490"/>
      <c r="X197" s="6">
        <f t="shared" ref="X197:AC198" si="72">IF($Q197&gt;0,X$109*$D197,0)</f>
        <v>0</v>
      </c>
      <c r="Y197" s="6">
        <f t="shared" si="72"/>
        <v>1</v>
      </c>
      <c r="Z197" s="6">
        <f t="shared" si="72"/>
        <v>2</v>
      </c>
      <c r="AA197" s="6">
        <f t="shared" si="72"/>
        <v>4</v>
      </c>
      <c r="AB197" s="6">
        <f t="shared" si="72"/>
        <v>7</v>
      </c>
      <c r="AC197" s="6">
        <f t="shared" si="72"/>
        <v>10</v>
      </c>
      <c r="AE197" s="512"/>
      <c r="AF197" s="52"/>
      <c r="AG197" s="52"/>
      <c r="AH197" s="23">
        <f>$V197*BIBLE!S111</f>
        <v>4</v>
      </c>
      <c r="AI197" s="23">
        <f>$V197*BIBLE!T111</f>
        <v>0</v>
      </c>
      <c r="AJ197" s="23">
        <f>$V197*BIBLE!U111</f>
        <v>0</v>
      </c>
      <c r="AK197" s="1458">
        <f>$V197*BIBLE!W111</f>
        <v>0</v>
      </c>
      <c r="AL197" s="1458">
        <f>$V197*BIBLE!X111</f>
        <v>0</v>
      </c>
      <c r="AM197" s="1458">
        <f>$V197*BIBLE!Y111</f>
        <v>0</v>
      </c>
      <c r="AN197" s="1458">
        <f>$V197*BIBLE!Z111</f>
        <v>0</v>
      </c>
      <c r="AO197" s="1458">
        <f>$V197*BIBLE!AA111</f>
        <v>4</v>
      </c>
      <c r="AP197" s="1458">
        <f>$V197*BIBLE!AB111</f>
        <v>0</v>
      </c>
      <c r="AQ197" s="1458">
        <f>$V197*BIBLE!AC111</f>
        <v>0</v>
      </c>
      <c r="AR197" s="1458">
        <f>$V197*BIBLE!AD111</f>
        <v>0</v>
      </c>
    </row>
    <row r="198" spans="1:72" s="7" customFormat="1" ht="63" customHeight="1" x14ac:dyDescent="0.2">
      <c r="A198" s="1357" t="str">
        <f>BIBLE!E112</f>
        <v>PFA18</v>
      </c>
      <c r="B198" s="157" t="str">
        <f>BIBLE!F112</f>
        <v>À quelle fréquence l’autre parent communique-t-il ou elle avec votre enfant durant votre temps de garde ? (tél., textos, réseaux sociaux, etc.)</v>
      </c>
      <c r="C198" s="498" t="str">
        <f>BIBLE!O112</f>
        <v xml:space="preserve">Jamais / Rarement, au besoin / 1 à 2 fois semaine / 3 à 5 fois semaine / Presque tous les jours / Plusieurs fois par jour / S.O. </v>
      </c>
      <c r="D198" s="1978">
        <f>IF(AND(P198&gt;=7,$P$27&gt;=3,$E$40&gt;8),BIBLE!M112,BIBLE!L112)</f>
        <v>3</v>
      </c>
      <c r="E198" s="19"/>
      <c r="F198" s="19"/>
      <c r="G198" s="19"/>
      <c r="H198" s="19"/>
      <c r="I198" s="19"/>
      <c r="J198" s="19">
        <v>1</v>
      </c>
      <c r="K198" s="19"/>
      <c r="L198" s="19"/>
      <c r="M198" s="19"/>
      <c r="N198" s="19"/>
      <c r="O198" s="19"/>
      <c r="P198" s="1877">
        <f>'TEST_pour PROTOTYPE'!D179</f>
        <v>7</v>
      </c>
      <c r="Q198" s="25">
        <f t="shared" si="50"/>
        <v>21</v>
      </c>
      <c r="R198" s="8">
        <f>IF(BIBLE!K112=0,"",BIBLE!K112)</f>
        <v>4</v>
      </c>
      <c r="S198" s="298"/>
      <c r="T198" s="298"/>
      <c r="U198" s="298"/>
      <c r="V198" s="6">
        <f>Q198</f>
        <v>21</v>
      </c>
      <c r="W198" s="298"/>
      <c r="X198" s="6">
        <f t="shared" si="72"/>
        <v>0</v>
      </c>
      <c r="Y198" s="6">
        <f t="shared" si="72"/>
        <v>3</v>
      </c>
      <c r="Z198" s="6">
        <f t="shared" si="72"/>
        <v>6</v>
      </c>
      <c r="AA198" s="6">
        <f t="shared" si="72"/>
        <v>12</v>
      </c>
      <c r="AB198" s="6">
        <f t="shared" si="72"/>
        <v>21</v>
      </c>
      <c r="AC198" s="6">
        <f t="shared" si="72"/>
        <v>30</v>
      </c>
      <c r="AE198" s="512"/>
      <c r="AF198" s="52"/>
      <c r="AG198" s="52"/>
      <c r="AH198" s="23">
        <f>$V198*BIBLE!S112</f>
        <v>21</v>
      </c>
      <c r="AI198" s="23">
        <f>$V198*BIBLE!T112</f>
        <v>0</v>
      </c>
      <c r="AJ198" s="23">
        <f>$V198*BIBLE!U112</f>
        <v>0</v>
      </c>
      <c r="AK198" s="1458">
        <f>$V198*BIBLE!W112</f>
        <v>0</v>
      </c>
      <c r="AL198" s="1458">
        <f>$V198*BIBLE!X112</f>
        <v>0</v>
      </c>
      <c r="AM198" s="1458">
        <f>$V198*BIBLE!Y112</f>
        <v>0</v>
      </c>
      <c r="AN198" s="1458">
        <f>$V198*BIBLE!Z112</f>
        <v>0</v>
      </c>
      <c r="AO198" s="1458">
        <f>$V198*BIBLE!AA112</f>
        <v>21</v>
      </c>
      <c r="AP198" s="1458">
        <f>$V198*BIBLE!AB112</f>
        <v>0</v>
      </c>
      <c r="AQ198" s="1458">
        <f>$V198*BIBLE!AC112</f>
        <v>0</v>
      </c>
      <c r="AR198" s="1458">
        <f>$V198*BIBLE!AD112</f>
        <v>0</v>
      </c>
    </row>
    <row r="199" spans="1:72" s="7" customFormat="1" ht="63" customHeight="1" x14ac:dyDescent="0.2">
      <c r="A199" s="1357" t="str">
        <f>BIBLE!E113</f>
        <v>PFA19</v>
      </c>
      <c r="B199" s="157" t="str">
        <f>BIBLE!F113</f>
        <v>L'autre parent vous communique les informations médicales, scolaires et liées aux activités sociales ou sportives de votre enfant.</v>
      </c>
      <c r="C199" s="498" t="str">
        <f>BIBLE!O113</f>
        <v>Toujours / Souvent / Régulièrement / Occasionnellement / Rarement / Jamais / S.O.</v>
      </c>
      <c r="D199" s="1527">
        <f>BIBLE!L113</f>
        <v>2</v>
      </c>
      <c r="E199" s="19"/>
      <c r="F199" s="19"/>
      <c r="G199" s="19"/>
      <c r="H199" s="19"/>
      <c r="I199" s="19"/>
      <c r="J199" s="19">
        <v>1</v>
      </c>
      <c r="K199" s="19"/>
      <c r="L199" s="19"/>
      <c r="M199" s="19"/>
      <c r="N199" s="19"/>
      <c r="O199" s="19"/>
      <c r="P199" s="1877">
        <f>'TEST_pour PROTOTYPE'!D180</f>
        <v>2</v>
      </c>
      <c r="Q199" s="25">
        <f t="shared" si="50"/>
        <v>4</v>
      </c>
      <c r="R199" s="8">
        <f>IF(BIBLE!K113=0,"",BIBLE!K113)</f>
        <v>7</v>
      </c>
      <c r="S199" s="298"/>
      <c r="T199" s="298"/>
      <c r="U199" s="298"/>
      <c r="V199" s="6">
        <f>IF(P199&gt;=R199,IF(Q199&gt;Q200,Q199,Q200),Q199)</f>
        <v>4</v>
      </c>
      <c r="W199" s="8"/>
      <c r="X199" s="6">
        <f t="shared" ref="X199:AC199" si="73">IF(($P199&gt;=$R199),IF($Q199&gt;$Q200,X$109*$D199,X$109*$D200),X$109*$D199)</f>
        <v>0</v>
      </c>
      <c r="Y199" s="6">
        <f t="shared" si="73"/>
        <v>2</v>
      </c>
      <c r="Z199" s="6">
        <f t="shared" si="73"/>
        <v>4</v>
      </c>
      <c r="AA199" s="6">
        <f t="shared" si="73"/>
        <v>8</v>
      </c>
      <c r="AB199" s="6">
        <f t="shared" si="73"/>
        <v>14</v>
      </c>
      <c r="AC199" s="6">
        <f t="shared" si="73"/>
        <v>20</v>
      </c>
      <c r="AE199" s="512"/>
      <c r="AF199" s="52"/>
      <c r="AG199" s="52"/>
      <c r="AH199" s="23">
        <f>IF($Q199=$V199,$Q199*BIBLE!S113,$Q200*BIBLE!S114)</f>
        <v>4</v>
      </c>
      <c r="AI199" s="23">
        <f>IF($Q199=$V199,$Q199*BIBLE!T113,$Q200*BIBLE!T114)</f>
        <v>0</v>
      </c>
      <c r="AJ199" s="23">
        <f>IF($Q199=$V199,$Q199*BIBLE!U113,$Q200*BIBLE!U114)</f>
        <v>0</v>
      </c>
      <c r="AK199" s="1458">
        <f>IF($Q199=$V199,$Q199*BIBLE!W113,$Q200*BIBLE!W114)</f>
        <v>0</v>
      </c>
      <c r="AL199" s="1458">
        <f>IF($Q199=$V199,$Q199*BIBLE!X113,$Q200*BIBLE!X114)</f>
        <v>0</v>
      </c>
      <c r="AM199" s="1458">
        <f>IF($Q199=$V199,$Q199*BIBLE!Y113,$Q200*BIBLE!Y114)</f>
        <v>0</v>
      </c>
      <c r="AN199" s="1458">
        <f>IF($Q199=$V199,$Q199*BIBLE!Z113,$Q200*BIBLE!Z114)</f>
        <v>0</v>
      </c>
      <c r="AO199" s="1458">
        <f>IF($Q199=$V199,$Q199*BIBLE!AA113,$Q200*BIBLE!AA114)</f>
        <v>4</v>
      </c>
      <c r="AP199" s="1458">
        <f>IF($Q199=$V199,$Q199*BIBLE!AB113,$Q200*BIBLE!AB114)</f>
        <v>0</v>
      </c>
      <c r="AQ199" s="1458">
        <f>IF($Q199=$V199,$Q199*BIBLE!AC113,$Q200*BIBLE!AC114)</f>
        <v>0</v>
      </c>
      <c r="AR199" s="1458">
        <f>IF($Q199=$V199,$Q199*BIBLE!AD113,$Q200*BIBLE!AD114)</f>
        <v>0</v>
      </c>
    </row>
    <row r="200" spans="1:72" s="7" customFormat="1" ht="63" customHeight="1" x14ac:dyDescent="0.2">
      <c r="A200" s="1357" t="str">
        <f>BIBLE!E114</f>
        <v>PFA19a</v>
      </c>
      <c r="B200" s="158" t="str">
        <f>IF(P199&gt;=R199,BIBLE!F114,"")</f>
        <v/>
      </c>
      <c r="C200" s="498" t="str">
        <f>BIBLE!O114</f>
        <v xml:space="preserve">Nulle / Très faible / Faible / Moyenne / Élevée / Très élevée / S.O.   </v>
      </c>
      <c r="D200" s="1527">
        <f>BIBLE!L114</f>
        <v>3</v>
      </c>
      <c r="E200" s="19"/>
      <c r="F200" s="19"/>
      <c r="G200" s="19"/>
      <c r="H200" s="19"/>
      <c r="I200" s="19">
        <v>1</v>
      </c>
      <c r="J200" s="19"/>
      <c r="K200" s="19"/>
      <c r="L200" s="19"/>
      <c r="M200" s="19"/>
      <c r="N200" s="19"/>
      <c r="O200" s="19"/>
      <c r="P200" s="1877">
        <f>'TEST_pour PROTOTYPE'!D181</f>
        <v>0</v>
      </c>
      <c r="Q200" s="25">
        <f t="shared" si="50"/>
        <v>0</v>
      </c>
      <c r="R200" s="8" t="str">
        <f>IF(BIBLE!K114=0,"",BIBLE!K114)</f>
        <v/>
      </c>
      <c r="S200" s="298"/>
      <c r="T200" s="298"/>
      <c r="U200" s="298"/>
      <c r="V200" s="6"/>
      <c r="W200" s="298"/>
      <c r="X200" s="6"/>
      <c r="Y200" s="6"/>
      <c r="Z200" s="6"/>
      <c r="AA200" s="6"/>
      <c r="AB200" s="6"/>
      <c r="AC200" s="6"/>
      <c r="AE200" s="512"/>
      <c r="AF200" s="52"/>
      <c r="AG200" s="52"/>
      <c r="AH200" s="92"/>
      <c r="AI200" s="92"/>
      <c r="AJ200" s="92"/>
      <c r="AK200" s="743"/>
      <c r="AL200" s="743"/>
      <c r="AM200" s="743"/>
      <c r="AN200" s="743"/>
      <c r="AO200" s="743"/>
      <c r="AP200" s="743"/>
      <c r="AQ200" s="743"/>
      <c r="AR200" s="743"/>
      <c r="BB200" s="17" t="s">
        <v>526</v>
      </c>
    </row>
    <row r="201" spans="1:72" s="7" customFormat="1" ht="63" customHeight="1" x14ac:dyDescent="0.2">
      <c r="A201" s="1357" t="str">
        <f>BIBLE!E115</f>
        <v>PFA20</v>
      </c>
      <c r="B201" s="157" t="str">
        <f>BIBLE!F115</f>
        <v>Il est facile de communiquer avec votre enfant lorsqu’il est chez l’autre parent.</v>
      </c>
      <c r="C201" s="498" t="str">
        <f>BIBLE!O115</f>
        <v>Toujours / Souvent / Régulièrement / Occasionnellement / Rarement / Jamais / S.O.</v>
      </c>
      <c r="D201" s="1527">
        <f>BIBLE!L115</f>
        <v>1</v>
      </c>
      <c r="E201" s="19"/>
      <c r="F201" s="19"/>
      <c r="G201" s="19"/>
      <c r="H201" s="19"/>
      <c r="I201" s="19"/>
      <c r="J201" s="19">
        <v>1</v>
      </c>
      <c r="K201" s="19"/>
      <c r="L201" s="19"/>
      <c r="M201" s="19"/>
      <c r="N201" s="19"/>
      <c r="O201" s="19"/>
      <c r="P201" s="1877">
        <f>'TEST_pour PROTOTYPE'!D182</f>
        <v>1</v>
      </c>
      <c r="Q201" s="25">
        <f t="shared" ref="Q201:Q211" si="74">P201*D201</f>
        <v>1</v>
      </c>
      <c r="R201" s="8">
        <f>IF(BIBLE!K115=0,"",BIBLE!K115)</f>
        <v>4</v>
      </c>
      <c r="S201" s="16"/>
      <c r="T201" s="16"/>
      <c r="U201" s="16"/>
      <c r="V201" s="6">
        <f>MAX(AS201:AS204)</f>
        <v>1</v>
      </c>
      <c r="W201" s="8"/>
      <c r="X201" s="6">
        <f>MAX(AU201:AU204)</f>
        <v>0</v>
      </c>
      <c r="Y201" s="6">
        <f t="shared" ref="Y201:AB201" si="75">MAX(AV201:AV204)</f>
        <v>1</v>
      </c>
      <c r="Z201" s="6">
        <f t="shared" si="75"/>
        <v>2</v>
      </c>
      <c r="AA201" s="6">
        <f t="shared" si="75"/>
        <v>4</v>
      </c>
      <c r="AB201" s="6">
        <f t="shared" si="75"/>
        <v>7</v>
      </c>
      <c r="AC201" s="6">
        <f>MAX(AZ201:AZ204)</f>
        <v>10</v>
      </c>
      <c r="AD201" s="8"/>
      <c r="AE201" s="511"/>
      <c r="AF201" s="2050"/>
      <c r="AG201" s="2050"/>
      <c r="AH201" s="23">
        <f>IF($Q201=$V201,$Q201*BIBLE!S115,(Test_Bible!$Q202*BIBLE!S116+Test_Bible!$Q204*BIBLE!S118+$Q203*BIBLE!S117))</f>
        <v>1</v>
      </c>
      <c r="AI201" s="23">
        <f>IF($Q201=$V201,$Q201*BIBLE!T115,(Test_Bible!$Q202*BIBLE!T116+Test_Bible!$Q204*BIBLE!T118+$Q203*BIBLE!T117))</f>
        <v>0</v>
      </c>
      <c r="AJ201" s="23">
        <f>IF($Q201=$V201,$Q201*BIBLE!U115,(Test_Bible!$Q202*BIBLE!U116+Test_Bible!$Q204*BIBLE!U118+$Q203*BIBLE!U117))</f>
        <v>0</v>
      </c>
      <c r="AK201" s="1458">
        <f>IF($Q201=$V201,$Q201*BIBLE!W115,(Test_Bible!$Q202*BIBLE!W116+Test_Bible!$Q204*BIBLE!W118+$Q203*BIBLE!W117))</f>
        <v>0</v>
      </c>
      <c r="AL201" s="1458">
        <f>IF($Q201=$V201,$Q201*BIBLE!X115,(Test_Bible!$Q202*BIBLE!X116+Test_Bible!$Q204*BIBLE!X118+$Q203*BIBLE!X117))</f>
        <v>0</v>
      </c>
      <c r="AM201" s="1458">
        <f>IF($Q201=$V201,$Q201*BIBLE!Y115,(Test_Bible!$Q202*BIBLE!Y116+Test_Bible!$Q204*BIBLE!Y118+$Q203*BIBLE!Y117))</f>
        <v>0</v>
      </c>
      <c r="AN201" s="1458">
        <f>IF($Q201=$V201,$Q201*BIBLE!Z115,(Test_Bible!$Q202*BIBLE!Z116+Test_Bible!$Q204*BIBLE!Z118+$Q203*BIBLE!Z117))</f>
        <v>0</v>
      </c>
      <c r="AO201" s="1458">
        <f>IF($Q201=$V201,$Q201*BIBLE!AA115,(Test_Bible!$Q202*BIBLE!AA116+Test_Bible!$Q204*BIBLE!AA118+$Q203*BIBLE!AA117))</f>
        <v>1</v>
      </c>
      <c r="AP201" s="1458">
        <f>IF($Q201=$V201,$Q201*BIBLE!AB115,(Test_Bible!$Q202*BIBLE!AB116+Test_Bible!$Q204*BIBLE!AB118+$Q203*BIBLE!AB117))</f>
        <v>0</v>
      </c>
      <c r="AQ201" s="1458">
        <f>IF($Q201=$V201,$Q201*BIBLE!AC115,(Test_Bible!$Q202*BIBLE!AC116+Test_Bible!$Q204*BIBLE!AC118+$Q203*BIBLE!AC117))</f>
        <v>0</v>
      </c>
      <c r="AR201" s="1458">
        <f>IF($Q201=$V201,$Q201*BIBLE!AD115,(Test_Bible!$Q202*BIBLE!AD116+Test_Bible!$Q204*BIBLE!AD118+$Q203*BIBLE!AD117))</f>
        <v>0</v>
      </c>
      <c r="AS201" s="6">
        <f>Q201</f>
        <v>1</v>
      </c>
      <c r="AT201" s="16"/>
      <c r="AU201" s="6">
        <f t="shared" ref="AU201:AZ204" si="76">IF($Q201&gt;0,X$109*$D201,0)</f>
        <v>0</v>
      </c>
      <c r="AV201" s="6">
        <f t="shared" si="76"/>
        <v>1</v>
      </c>
      <c r="AW201" s="6">
        <f t="shared" si="76"/>
        <v>2</v>
      </c>
      <c r="AX201" s="6">
        <f t="shared" si="76"/>
        <v>4</v>
      </c>
      <c r="AY201" s="6">
        <f t="shared" si="76"/>
        <v>7</v>
      </c>
      <c r="AZ201" s="6">
        <f t="shared" si="76"/>
        <v>10</v>
      </c>
      <c r="BA201" s="8"/>
      <c r="BB201" s="6">
        <f>AS201</f>
        <v>1</v>
      </c>
      <c r="BC201" s="8"/>
      <c r="BD201" s="6">
        <f t="shared" ref="BD201:BI201" si="77">AU201</f>
        <v>0</v>
      </c>
      <c r="BE201" s="6">
        <f t="shared" si="77"/>
        <v>1</v>
      </c>
      <c r="BF201" s="6">
        <f t="shared" si="77"/>
        <v>2</v>
      </c>
      <c r="BG201" s="6">
        <f t="shared" si="77"/>
        <v>4</v>
      </c>
      <c r="BH201" s="6">
        <f t="shared" si="77"/>
        <v>7</v>
      </c>
      <c r="BI201" s="6">
        <f t="shared" si="77"/>
        <v>10</v>
      </c>
      <c r="BJ201" s="6"/>
      <c r="BK201" s="6"/>
    </row>
    <row r="202" spans="1:72" s="7" customFormat="1" ht="63" customHeight="1" x14ac:dyDescent="0.2">
      <c r="A202" s="1357" t="str">
        <f>BIBLE!E116</f>
        <v>PFA20a</v>
      </c>
      <c r="B202" s="158" t="str">
        <f>IF(P201&gt;=R201,BIBLE!F116,"")</f>
        <v/>
      </c>
      <c r="C202" s="498" t="str">
        <f>BIBLE!O116</f>
        <v xml:space="preserve">Jamais / Rarement / Occasionnellement / Régulièrement / Souvent / Toujours / S.O. </v>
      </c>
      <c r="D202" s="1527">
        <f>BIBLE!L116</f>
        <v>2</v>
      </c>
      <c r="E202" s="19"/>
      <c r="F202" s="19"/>
      <c r="G202" s="19"/>
      <c r="H202" s="19"/>
      <c r="I202" s="19"/>
      <c r="J202" s="19">
        <v>1</v>
      </c>
      <c r="K202" s="19"/>
      <c r="L202" s="19"/>
      <c r="M202" s="19"/>
      <c r="N202" s="19"/>
      <c r="O202" s="19"/>
      <c r="P202" s="1877">
        <f>'TEST_pour PROTOTYPE'!D183</f>
        <v>0</v>
      </c>
      <c r="Q202" s="25">
        <f t="shared" si="74"/>
        <v>0</v>
      </c>
      <c r="R202" s="8">
        <f>IF(BIBLE!K116=0,"",BIBLE!K116)</f>
        <v>4</v>
      </c>
      <c r="S202" s="16"/>
      <c r="T202" s="16"/>
      <c r="U202" s="16"/>
      <c r="V202" s="8"/>
      <c r="W202" s="8"/>
      <c r="X202" s="8"/>
      <c r="Y202" s="8"/>
      <c r="Z202" s="8"/>
      <c r="AA202" s="8"/>
      <c r="AB202" s="8"/>
      <c r="AC202" s="8"/>
      <c r="AD202" s="8"/>
      <c r="AE202" s="511"/>
      <c r="AF202" s="2050"/>
      <c r="AG202" s="2050"/>
      <c r="AH202" s="23"/>
      <c r="AI202" s="23"/>
      <c r="AJ202" s="23"/>
      <c r="AK202" s="1458"/>
      <c r="AL202" s="1458"/>
      <c r="AM202" s="1458"/>
      <c r="AN202" s="1458"/>
      <c r="AO202" s="1458"/>
      <c r="AP202" s="1458"/>
      <c r="AQ202" s="1458"/>
      <c r="AR202" s="1458"/>
      <c r="AS202" s="6">
        <f>Q202</f>
        <v>0</v>
      </c>
      <c r="AT202" s="16"/>
      <c r="AU202" s="6">
        <f t="shared" si="76"/>
        <v>0</v>
      </c>
      <c r="AV202" s="6">
        <f t="shared" si="76"/>
        <v>0</v>
      </c>
      <c r="AW202" s="6">
        <f t="shared" si="76"/>
        <v>0</v>
      </c>
      <c r="AX202" s="6">
        <f t="shared" si="76"/>
        <v>0</v>
      </c>
      <c r="AY202" s="6">
        <f t="shared" si="76"/>
        <v>0</v>
      </c>
      <c r="AZ202" s="6">
        <f t="shared" si="76"/>
        <v>0</v>
      </c>
      <c r="BA202" s="8"/>
      <c r="BB202" s="6">
        <f>SUM(AS202:AS203)</f>
        <v>0</v>
      </c>
      <c r="BC202" s="8"/>
      <c r="BD202" s="6">
        <f t="shared" ref="BD202:BI202" si="78">SUM(AU202:AU203)</f>
        <v>0</v>
      </c>
      <c r="BE202" s="6">
        <f t="shared" si="78"/>
        <v>0</v>
      </c>
      <c r="BF202" s="6">
        <f t="shared" si="78"/>
        <v>0</v>
      </c>
      <c r="BG202" s="6">
        <f t="shared" si="78"/>
        <v>0</v>
      </c>
      <c r="BH202" s="6">
        <f t="shared" si="78"/>
        <v>0</v>
      </c>
      <c r="BI202" s="6">
        <f t="shared" si="78"/>
        <v>0</v>
      </c>
      <c r="BJ202" s="6"/>
      <c r="BK202" s="6"/>
    </row>
    <row r="203" spans="1:72" s="7" customFormat="1" ht="51" customHeight="1" x14ac:dyDescent="0.2">
      <c r="A203" s="1357" t="str">
        <f>BIBLE!E117</f>
        <v>PFA20a1</v>
      </c>
      <c r="B203" s="1372" t="str">
        <f>IF(P202&gt;=R202,BIBLE!F117,"")</f>
        <v/>
      </c>
      <c r="C203" s="498" t="str">
        <f>BIBLE!O117</f>
        <v xml:space="preserve">Jamais / Rarement / Occasionnellement / Régulièrement / Souvent / Toujours / S.O. </v>
      </c>
      <c r="D203" s="1527">
        <f>BIBLE!L117</f>
        <v>3</v>
      </c>
      <c r="E203" s="19"/>
      <c r="F203" s="19"/>
      <c r="G203" s="19"/>
      <c r="H203" s="19"/>
      <c r="I203" s="19"/>
      <c r="J203" s="19">
        <v>1</v>
      </c>
      <c r="K203" s="19"/>
      <c r="L203" s="19"/>
      <c r="M203" s="19"/>
      <c r="N203" s="19"/>
      <c r="O203" s="19"/>
      <c r="P203" s="1877">
        <f>'TEST_pour PROTOTYPE'!D184</f>
        <v>0</v>
      </c>
      <c r="Q203" s="25">
        <f t="shared" si="74"/>
        <v>0</v>
      </c>
      <c r="R203" s="8">
        <f>IF(BIBLE!K117=0,"",BIBLE!K117)</f>
        <v>4</v>
      </c>
      <c r="S203" s="8"/>
      <c r="T203" s="8"/>
      <c r="U203" s="8"/>
      <c r="V203" s="8"/>
      <c r="W203" s="8"/>
      <c r="X203" s="8"/>
      <c r="Y203" s="8"/>
      <c r="Z203" s="8"/>
      <c r="AA203" s="8"/>
      <c r="AB203" s="8"/>
      <c r="AC203" s="8"/>
      <c r="AD203" s="8"/>
      <c r="AE203" s="484">
        <f>Q203</f>
        <v>0</v>
      </c>
      <c r="AF203" s="2052"/>
      <c r="AG203" s="2052"/>
      <c r="AH203" s="25"/>
      <c r="AI203" s="25"/>
      <c r="AJ203" s="25"/>
      <c r="AK203" s="1460"/>
      <c r="AL203" s="1460"/>
      <c r="AM203" s="1460"/>
      <c r="AN203" s="1460"/>
      <c r="AO203" s="1460"/>
      <c r="AP203" s="1460"/>
      <c r="AQ203" s="1460"/>
      <c r="AR203" s="1460"/>
      <c r="AS203" s="6">
        <f>Q203</f>
        <v>0</v>
      </c>
      <c r="AT203" s="8"/>
      <c r="AU203" s="6">
        <f t="shared" si="76"/>
        <v>0</v>
      </c>
      <c r="AV203" s="6">
        <f t="shared" si="76"/>
        <v>0</v>
      </c>
      <c r="AW203" s="6">
        <f t="shared" si="76"/>
        <v>0</v>
      </c>
      <c r="AX203" s="6">
        <f t="shared" si="76"/>
        <v>0</v>
      </c>
      <c r="AY203" s="6">
        <f t="shared" si="76"/>
        <v>0</v>
      </c>
      <c r="AZ203" s="6">
        <f t="shared" si="76"/>
        <v>0</v>
      </c>
      <c r="BA203" s="8"/>
      <c r="BB203" s="8"/>
      <c r="BC203" s="8"/>
      <c r="BD203" s="8"/>
      <c r="BE203" s="8"/>
      <c r="BF203" s="8"/>
      <c r="BG203" s="8"/>
    </row>
    <row r="204" spans="1:72" s="7" customFormat="1" ht="51" customHeight="1" x14ac:dyDescent="0.2">
      <c r="A204" s="1357" t="str">
        <f>BIBLE!E118</f>
        <v>PFA20a1a</v>
      </c>
      <c r="B204" s="1372" t="str">
        <f>IF(P203&gt;=R203,BIBLE!F118,"")</f>
        <v/>
      </c>
      <c r="C204" s="498" t="str">
        <f>BIBLE!O118</f>
        <v xml:space="preserve">Jamais / Rarement / Occasionnellement / Régulièrement / Souvent / Toujours / S.O. </v>
      </c>
      <c r="D204" s="1527">
        <f>BIBLE!L118</f>
        <v>3</v>
      </c>
      <c r="E204" s="19"/>
      <c r="F204" s="19"/>
      <c r="G204" s="19"/>
      <c r="H204" s="19"/>
      <c r="I204" s="19"/>
      <c r="J204" s="19"/>
      <c r="K204" s="19"/>
      <c r="L204" s="19"/>
      <c r="M204" s="19"/>
      <c r="N204" s="19"/>
      <c r="O204" s="19"/>
      <c r="P204" s="1877">
        <f>'TEST_pour PROTOTYPE'!D185</f>
        <v>0</v>
      </c>
      <c r="Q204" s="25">
        <f>P204*D204</f>
        <v>0</v>
      </c>
      <c r="R204" s="8" t="str">
        <f>IF(BIBLE!K118=0,"",BIBLE!K118)</f>
        <v/>
      </c>
      <c r="S204" s="8"/>
      <c r="T204" s="8"/>
      <c r="U204" s="8"/>
      <c r="V204" s="8"/>
      <c r="W204" s="8"/>
      <c r="X204" s="8"/>
      <c r="Y204" s="8"/>
      <c r="Z204" s="8"/>
      <c r="AA204" s="8"/>
      <c r="AB204" s="8"/>
      <c r="AC204" s="8"/>
      <c r="AD204" s="8"/>
      <c r="AE204" s="484">
        <f>Q204</f>
        <v>0</v>
      </c>
      <c r="AF204" s="2052"/>
      <c r="AG204" s="2052"/>
      <c r="AH204" s="25"/>
      <c r="AI204" s="25"/>
      <c r="AJ204" s="25"/>
      <c r="AK204" s="1460"/>
      <c r="AL204" s="1460"/>
      <c r="AM204" s="1460"/>
      <c r="AN204" s="1460"/>
      <c r="AO204" s="1460"/>
      <c r="AP204" s="1460"/>
      <c r="AQ204" s="1460"/>
      <c r="AR204" s="1460"/>
      <c r="AS204" s="6">
        <f>Q204</f>
        <v>0</v>
      </c>
      <c r="AT204" s="8"/>
      <c r="AU204" s="6">
        <f t="shared" si="76"/>
        <v>0</v>
      </c>
      <c r="AV204" s="6">
        <f t="shared" si="76"/>
        <v>0</v>
      </c>
      <c r="AW204" s="6">
        <f t="shared" si="76"/>
        <v>0</v>
      </c>
      <c r="AX204" s="6">
        <f t="shared" si="76"/>
        <v>0</v>
      </c>
      <c r="AY204" s="6">
        <f t="shared" si="76"/>
        <v>0</v>
      </c>
      <c r="AZ204" s="6">
        <f t="shared" si="76"/>
        <v>0</v>
      </c>
      <c r="BA204" s="8"/>
      <c r="BB204" s="8"/>
      <c r="BC204" s="8"/>
      <c r="BD204" s="8"/>
      <c r="BE204" s="8"/>
      <c r="BF204" s="8"/>
      <c r="BG204" s="8"/>
    </row>
    <row r="205" spans="1:72" s="7" customFormat="1" ht="61" customHeight="1" x14ac:dyDescent="0.2">
      <c r="A205" s="1357" t="str">
        <f>BIBLE!E119</f>
        <v>PFA21</v>
      </c>
      <c r="B205" s="157" t="str">
        <f>BIBLE!F119</f>
        <v xml:space="preserve">Dans quelle mesure diriez-vous que l'autre parent vous considère comme étant son égal·e sur le plan parental ? </v>
      </c>
      <c r="C205" s="498" t="str">
        <f>BIBLE!O119</f>
        <v>Totalement / Grandement / Moyennement / Un peu / Très peu / Pas du tout / S.O.</v>
      </c>
      <c r="D205" s="1527">
        <f>BIBLE!L119</f>
        <v>1</v>
      </c>
      <c r="E205" s="19"/>
      <c r="F205" s="19"/>
      <c r="G205" s="19"/>
      <c r="H205" s="19"/>
      <c r="I205" s="19"/>
      <c r="J205" s="19"/>
      <c r="K205" s="19">
        <v>1</v>
      </c>
      <c r="L205" s="19"/>
      <c r="M205" s="19"/>
      <c r="N205" s="19"/>
      <c r="O205" s="19"/>
      <c r="P205" s="1877">
        <f>'TEST_pour PROTOTYPE'!D186</f>
        <v>4</v>
      </c>
      <c r="Q205" s="25">
        <f t="shared" si="74"/>
        <v>4</v>
      </c>
      <c r="R205" s="8" t="str">
        <f>IF(BIBLE!K119=0,"",BIBLE!K119)</f>
        <v/>
      </c>
      <c r="S205" s="298"/>
      <c r="T205" s="298"/>
      <c r="U205" s="298"/>
      <c r="V205" s="6">
        <f t="shared" ref="V205:V211" si="79">Q205</f>
        <v>4</v>
      </c>
      <c r="W205" s="298"/>
      <c r="X205" s="6">
        <f t="shared" ref="X205:AC211" si="80">IF($Q205&gt;0,X$109*$D205,0)</f>
        <v>0</v>
      </c>
      <c r="Y205" s="6">
        <f t="shared" si="80"/>
        <v>1</v>
      </c>
      <c r="Z205" s="6">
        <f t="shared" si="80"/>
        <v>2</v>
      </c>
      <c r="AA205" s="6">
        <f t="shared" si="80"/>
        <v>4</v>
      </c>
      <c r="AB205" s="6">
        <f t="shared" si="80"/>
        <v>7</v>
      </c>
      <c r="AC205" s="6">
        <f t="shared" si="80"/>
        <v>10</v>
      </c>
      <c r="AE205" s="512"/>
      <c r="AF205" s="52"/>
      <c r="AG205" s="52"/>
      <c r="AH205" s="23">
        <f>$V205*BIBLE!S119</f>
        <v>2</v>
      </c>
      <c r="AI205" s="23">
        <f>$V205*BIBLE!T119</f>
        <v>2</v>
      </c>
      <c r="AJ205" s="23">
        <f>$V205*BIBLE!U119</f>
        <v>0</v>
      </c>
      <c r="AK205" s="1458">
        <f>$V205*BIBLE!W119</f>
        <v>0</v>
      </c>
      <c r="AL205" s="1458">
        <f>$V205*BIBLE!X119</f>
        <v>0</v>
      </c>
      <c r="AM205" s="1458">
        <f>$V205*BIBLE!Y119</f>
        <v>0</v>
      </c>
      <c r="AN205" s="1458">
        <f>$V205*BIBLE!Z119</f>
        <v>0</v>
      </c>
      <c r="AO205" s="1458">
        <f>$V205*BIBLE!AA119</f>
        <v>0</v>
      </c>
      <c r="AP205" s="1458">
        <f>$V205*BIBLE!AB119</f>
        <v>4</v>
      </c>
      <c r="AQ205" s="1458">
        <f>$V205*BIBLE!AC119</f>
        <v>0</v>
      </c>
      <c r="AR205" s="1458">
        <f>$V205*BIBLE!AD119</f>
        <v>0</v>
      </c>
    </row>
    <row r="206" spans="1:72" s="7" customFormat="1" ht="90" customHeight="1" x14ac:dyDescent="0.2">
      <c r="A206" s="1357" t="str">
        <f>BIBLE!E120</f>
        <v>PFA40</v>
      </c>
      <c r="B206" s="157" t="str">
        <f>BIBLE!F120</f>
        <v>L'autre parent sent qu’il est en compétition avec vous pour l’amour de votre enfant.</v>
      </c>
      <c r="C206" s="498" t="str">
        <f>BIBLE!O120</f>
        <v>Nulle / Très faible / Faible / Moyenne / Élevée / Très élevée / S.O.</v>
      </c>
      <c r="D206" s="1527">
        <f>BIBLE!L120</f>
        <v>2</v>
      </c>
      <c r="E206" s="19"/>
      <c r="F206" s="19"/>
      <c r="G206" s="19"/>
      <c r="H206" s="19"/>
      <c r="I206" s="19"/>
      <c r="J206" s="19">
        <v>1</v>
      </c>
      <c r="K206" s="19"/>
      <c r="L206" s="19"/>
      <c r="M206" s="19"/>
      <c r="N206" s="19"/>
      <c r="O206" s="19"/>
      <c r="P206" s="1877">
        <f>'TEST_pour PROTOTYPE'!D187</f>
        <v>10</v>
      </c>
      <c r="Q206" s="25">
        <f t="shared" si="74"/>
        <v>20</v>
      </c>
      <c r="R206" s="8" t="str">
        <f>IF(BIBLE!K120=0,"",BIBLE!K120)</f>
        <v/>
      </c>
      <c r="S206" s="298"/>
      <c r="T206" s="298"/>
      <c r="U206" s="298"/>
      <c r="V206" s="6">
        <f t="shared" si="79"/>
        <v>20</v>
      </c>
      <c r="W206" s="298"/>
      <c r="X206" s="6">
        <f t="shared" si="80"/>
        <v>0</v>
      </c>
      <c r="Y206" s="6">
        <f t="shared" si="80"/>
        <v>2</v>
      </c>
      <c r="Z206" s="6">
        <f t="shared" si="80"/>
        <v>4</v>
      </c>
      <c r="AA206" s="6">
        <f t="shared" si="80"/>
        <v>8</v>
      </c>
      <c r="AB206" s="6">
        <f t="shared" si="80"/>
        <v>14</v>
      </c>
      <c r="AC206" s="6">
        <f t="shared" si="80"/>
        <v>20</v>
      </c>
      <c r="AE206" s="512"/>
      <c r="AF206" s="52"/>
      <c r="AG206" s="52"/>
      <c r="AH206" s="23">
        <f>$V206*BIBLE!S120</f>
        <v>0</v>
      </c>
      <c r="AI206" s="23">
        <f>$V206*BIBLE!T120</f>
        <v>20</v>
      </c>
      <c r="AJ206" s="23">
        <f>$V206*BIBLE!U120</f>
        <v>0</v>
      </c>
      <c r="AK206" s="1458">
        <f>$V206*BIBLE!W120</f>
        <v>0</v>
      </c>
      <c r="AL206" s="1458">
        <f>$V206*BIBLE!X120</f>
        <v>0</v>
      </c>
      <c r="AM206" s="1458">
        <f>$V206*BIBLE!Y120</f>
        <v>0</v>
      </c>
      <c r="AN206" s="1458">
        <f>$V206*BIBLE!Z120</f>
        <v>0</v>
      </c>
      <c r="AO206" s="1458">
        <f>$V206*BIBLE!AA120</f>
        <v>0</v>
      </c>
      <c r="AP206" s="1458">
        <f>$V206*BIBLE!AB120</f>
        <v>20</v>
      </c>
      <c r="AQ206" s="1458">
        <f>$V206*BIBLE!AC120</f>
        <v>0</v>
      </c>
      <c r="AR206" s="1458">
        <f>$V206*BIBLE!AD120</f>
        <v>0</v>
      </c>
    </row>
    <row r="207" spans="1:72" s="7" customFormat="1" ht="90" customHeight="1" x14ac:dyDescent="0.2">
      <c r="A207" s="1357" t="str">
        <f>BIBLE!E121</f>
        <v>PFA22</v>
      </c>
      <c r="B207" s="157" t="str">
        <f>BIBLE!F121</f>
        <v>Dans quelle mesure diriez-vous que l'autre parent accepte ou vit bien avec les exigences de la coparentalité (logistique horaire, transport, vacances, etc.) ?</v>
      </c>
      <c r="C207" s="498" t="str">
        <f>BIBLE!O121</f>
        <v>Totalement / Grandement / Moyennement / Un peu / Très peu / Pas du tout / S.O.</v>
      </c>
      <c r="D207" s="1527">
        <f>BIBLE!L121</f>
        <v>1</v>
      </c>
      <c r="E207" s="19"/>
      <c r="F207" s="19"/>
      <c r="G207" s="19"/>
      <c r="H207" s="19"/>
      <c r="I207" s="19"/>
      <c r="J207" s="19"/>
      <c r="K207" s="19">
        <v>1</v>
      </c>
      <c r="L207" s="19"/>
      <c r="M207" s="19"/>
      <c r="N207" s="19"/>
      <c r="O207" s="19"/>
      <c r="P207" s="1877">
        <f>'TEST_pour PROTOTYPE'!D188</f>
        <v>2</v>
      </c>
      <c r="Q207" s="25">
        <f t="shared" si="74"/>
        <v>2</v>
      </c>
      <c r="R207" s="8" t="str">
        <f>IF(BIBLE!K121=0,"",BIBLE!K121)</f>
        <v/>
      </c>
      <c r="S207" s="298"/>
      <c r="T207" s="298"/>
      <c r="U207" s="298"/>
      <c r="V207" s="6">
        <f t="shared" si="79"/>
        <v>2</v>
      </c>
      <c r="W207" s="298"/>
      <c r="X207" s="6">
        <f t="shared" si="80"/>
        <v>0</v>
      </c>
      <c r="Y207" s="6">
        <f t="shared" si="80"/>
        <v>1</v>
      </c>
      <c r="Z207" s="6">
        <f t="shared" si="80"/>
        <v>2</v>
      </c>
      <c r="AA207" s="6">
        <f t="shared" si="80"/>
        <v>4</v>
      </c>
      <c r="AB207" s="6">
        <f t="shared" si="80"/>
        <v>7</v>
      </c>
      <c r="AC207" s="6">
        <f t="shared" si="80"/>
        <v>10</v>
      </c>
      <c r="AE207" s="512"/>
      <c r="AF207" s="52"/>
      <c r="AG207" s="52"/>
      <c r="AH207" s="23">
        <f>$V207*BIBLE!S121</f>
        <v>1</v>
      </c>
      <c r="AI207" s="23">
        <f>$V207*BIBLE!T121</f>
        <v>1</v>
      </c>
      <c r="AJ207" s="23">
        <f>$V207*BIBLE!U121</f>
        <v>0</v>
      </c>
      <c r="AK207" s="1458">
        <f>$V207*BIBLE!W121</f>
        <v>0</v>
      </c>
      <c r="AL207" s="1458">
        <f>$V207*BIBLE!X121</f>
        <v>0</v>
      </c>
      <c r="AM207" s="1458">
        <f>$V207*BIBLE!Y121</f>
        <v>0</v>
      </c>
      <c r="AN207" s="1458">
        <f>$V207*BIBLE!Z121</f>
        <v>0</v>
      </c>
      <c r="AO207" s="1458">
        <f>$V207*BIBLE!AA121</f>
        <v>0</v>
      </c>
      <c r="AP207" s="1458">
        <f>$V207*BIBLE!AB121</f>
        <v>2</v>
      </c>
      <c r="AQ207" s="1458">
        <f>$V207*BIBLE!AC121</f>
        <v>0</v>
      </c>
      <c r="AR207" s="1458">
        <f>$V207*BIBLE!AD121</f>
        <v>0</v>
      </c>
    </row>
    <row r="208" spans="1:72" s="7" customFormat="1" ht="90" customHeight="1" x14ac:dyDescent="0.2">
      <c r="A208" s="1357" t="str">
        <f>BIBLE!E122</f>
        <v>PFA23</v>
      </c>
      <c r="B208" s="157" t="str">
        <f>BIBLE!F122</f>
        <v>L'identité et la valeur sociale de l'autre parent passe par sa paternité ou sa maternité.</v>
      </c>
      <c r="C208" s="498" t="str">
        <f>BIBLE!O122</f>
        <v>Nulle / Très faible / Faible / Moyenne / Élevée / Très élevée / S.O.</v>
      </c>
      <c r="D208" s="1527">
        <f>BIBLE!L122</f>
        <v>1</v>
      </c>
      <c r="E208" s="19"/>
      <c r="F208" s="19"/>
      <c r="G208" s="19"/>
      <c r="H208" s="19"/>
      <c r="I208" s="19">
        <v>1</v>
      </c>
      <c r="J208" s="19"/>
      <c r="K208" s="19"/>
      <c r="L208" s="19"/>
      <c r="M208" s="19"/>
      <c r="N208" s="19"/>
      <c r="O208" s="19"/>
      <c r="P208" s="1877">
        <f>'TEST_pour PROTOTYPE'!D189</f>
        <v>2</v>
      </c>
      <c r="Q208" s="25">
        <f t="shared" si="74"/>
        <v>2</v>
      </c>
      <c r="R208" s="8">
        <f>BIBLE!K122</f>
        <v>4</v>
      </c>
      <c r="S208" s="298"/>
      <c r="T208" s="298"/>
      <c r="U208" s="298"/>
      <c r="V208" s="6">
        <f>IF(P208&gt;=R208,IF(Q208&gt;Q209,Q208,Q209),Q208)</f>
        <v>2</v>
      </c>
      <c r="W208" s="8"/>
      <c r="X208" s="6">
        <f t="shared" ref="X208:AC208" si="81">IF(($P208&gt;=$R208),IF($Q208&gt;$Q209,X$109*$D208,X$109*$D209),X$109*$D208)</f>
        <v>0</v>
      </c>
      <c r="Y208" s="6">
        <f t="shared" si="81"/>
        <v>1</v>
      </c>
      <c r="Z208" s="6">
        <f t="shared" si="81"/>
        <v>2</v>
      </c>
      <c r="AA208" s="6">
        <f t="shared" si="81"/>
        <v>4</v>
      </c>
      <c r="AB208" s="6">
        <f t="shared" si="81"/>
        <v>7</v>
      </c>
      <c r="AC208" s="6">
        <f t="shared" si="81"/>
        <v>10</v>
      </c>
      <c r="AE208" s="512"/>
      <c r="AF208" s="52"/>
      <c r="AG208" s="52"/>
      <c r="AH208" s="23">
        <f>IF($Q208=$V208,$Q208*BIBLE!S122,$Q209*BIBLE!S123)</f>
        <v>0</v>
      </c>
      <c r="AI208" s="23">
        <f>IF($Q208=$V208,$Q208*BIBLE!T122,$Q209*BIBLE!T123)</f>
        <v>2</v>
      </c>
      <c r="AJ208" s="23">
        <f>IF($Q208=$V208,$Q208*BIBLE!U122,$Q209*BIBLE!U123)</f>
        <v>0</v>
      </c>
      <c r="AK208" s="1458">
        <f>IF($Q208=$V208,$Q208*BIBLE!W122,$Q209*BIBLE!W123)</f>
        <v>0</v>
      </c>
      <c r="AL208" s="1458">
        <f>IF($Q208=$V208,$Q208*BIBLE!X122,$Q209*BIBLE!X123)</f>
        <v>0</v>
      </c>
      <c r="AM208" s="1458">
        <f>IF($Q208=$V208,$Q208*BIBLE!Y122,$Q209*BIBLE!Y123)</f>
        <v>0</v>
      </c>
      <c r="AN208" s="1458">
        <f>IF($Q208=$V208,$Q208*BIBLE!Z122,$Q209*BIBLE!Z123)</f>
        <v>0</v>
      </c>
      <c r="AO208" s="1458">
        <f>IF($Q208=$V208,$Q208*BIBLE!AA122,$Q209*BIBLE!AA123)</f>
        <v>0</v>
      </c>
      <c r="AP208" s="1458">
        <f>IF($Q208=$V208,$Q208*BIBLE!AB122,$Q209*BIBLE!AB123)</f>
        <v>2</v>
      </c>
      <c r="AQ208" s="1458">
        <f>IF($Q208=$V208,$Q208*BIBLE!AC122,$Q209*BIBLE!AC123)</f>
        <v>0</v>
      </c>
      <c r="AR208" s="1458">
        <f>IF($Q208=$V208,$Q208*BIBLE!AD122,$Q209*BIBLE!AD123)</f>
        <v>0</v>
      </c>
    </row>
    <row r="209" spans="1:44" s="7" customFormat="1" ht="66" customHeight="1" x14ac:dyDescent="0.2">
      <c r="A209" s="1357" t="str">
        <f>BIBLE!E123</f>
        <v>PFA23a</v>
      </c>
      <c r="B209" s="158" t="str">
        <f>IF(P208&gt;=R208,BIBLE!F123,"")</f>
        <v/>
      </c>
      <c r="C209" s="498" t="str">
        <f>BIBLE!O123</f>
        <v xml:space="preserve">Jamais / Rarement / Occasionnellement / Régulièrement / Souvent / Toujours / S.O. </v>
      </c>
      <c r="D209" s="1527">
        <f>BIBLE!L123</f>
        <v>2</v>
      </c>
      <c r="E209" s="19"/>
      <c r="F209" s="19"/>
      <c r="G209" s="19"/>
      <c r="H209" s="19">
        <v>1</v>
      </c>
      <c r="I209" s="19"/>
      <c r="J209" s="19"/>
      <c r="K209" s="19"/>
      <c r="L209" s="19"/>
      <c r="M209" s="19"/>
      <c r="N209" s="19"/>
      <c r="O209" s="19"/>
      <c r="P209" s="1877">
        <f>'TEST_pour PROTOTYPE'!D190</f>
        <v>0</v>
      </c>
      <c r="Q209" s="25">
        <f t="shared" si="74"/>
        <v>0</v>
      </c>
      <c r="R209" s="8" t="str">
        <f>IF(BIBLE!K123=0,"",BIBLE!K123)</f>
        <v/>
      </c>
      <c r="S209" s="298"/>
      <c r="T209" s="298"/>
      <c r="U209" s="298"/>
      <c r="V209" s="6"/>
      <c r="W209" s="298"/>
      <c r="X209" s="6"/>
      <c r="Y209" s="6"/>
      <c r="Z209" s="6"/>
      <c r="AA209" s="6"/>
      <c r="AB209" s="6"/>
      <c r="AC209" s="6"/>
      <c r="AE209" s="512"/>
      <c r="AF209" s="52"/>
      <c r="AG209" s="52"/>
      <c r="AH209" s="92"/>
      <c r="AI209" s="92"/>
      <c r="AJ209" s="92"/>
      <c r="AK209" s="743"/>
      <c r="AL209" s="743"/>
      <c r="AM209" s="743"/>
      <c r="AN209" s="743"/>
      <c r="AO209" s="743"/>
      <c r="AP209" s="743"/>
      <c r="AQ209" s="743"/>
      <c r="AR209" s="743"/>
    </row>
    <row r="210" spans="1:44" s="7" customFormat="1" ht="76" customHeight="1" x14ac:dyDescent="0.2">
      <c r="A210" s="1357" t="str">
        <f>BIBLE!E124</f>
        <v>PFA24</v>
      </c>
      <c r="B210" s="157" t="str">
        <f>BIBLE!F124</f>
        <v>Depuis la séparation, l’autre parent cherche à vous blesser parce qu'il considère que vous avez brisé ou abandonné la famille.</v>
      </c>
      <c r="C210" s="498" t="str">
        <f>BIBLE!O124</f>
        <v>Nulle / Très faible / Faible / Moyenne / Élevée / Très élevée / S.O.</v>
      </c>
      <c r="D210" s="1978">
        <f>IF(AND(P210&gt;=4,P27&gt;=3),BIBLE!M124,BIBLE!L124)</f>
        <v>3</v>
      </c>
      <c r="E210" s="19"/>
      <c r="F210" s="19"/>
      <c r="G210" s="19"/>
      <c r="H210" s="19"/>
      <c r="I210" s="19"/>
      <c r="J210" s="19">
        <v>1</v>
      </c>
      <c r="K210" s="19"/>
      <c r="L210" s="19"/>
      <c r="M210" s="19"/>
      <c r="N210" s="19"/>
      <c r="O210" s="19"/>
      <c r="P210" s="1877">
        <f>'TEST_pour PROTOTYPE'!D191</f>
        <v>7</v>
      </c>
      <c r="Q210" s="25">
        <f t="shared" si="74"/>
        <v>21</v>
      </c>
      <c r="R210" s="8">
        <f>IF(BIBLE!K124=0,"",BIBLE!K124)</f>
        <v>4</v>
      </c>
      <c r="S210" s="298"/>
      <c r="T210" s="298"/>
      <c r="U210" s="298"/>
      <c r="V210" s="6">
        <f t="shared" si="79"/>
        <v>21</v>
      </c>
      <c r="W210" s="298"/>
      <c r="X210" s="6">
        <f t="shared" si="80"/>
        <v>0</v>
      </c>
      <c r="Y210" s="6">
        <f t="shared" si="80"/>
        <v>3</v>
      </c>
      <c r="Z210" s="6">
        <f t="shared" si="80"/>
        <v>6</v>
      </c>
      <c r="AA210" s="6">
        <f t="shared" si="80"/>
        <v>12</v>
      </c>
      <c r="AB210" s="6">
        <f t="shared" si="80"/>
        <v>21</v>
      </c>
      <c r="AC210" s="6">
        <f t="shared" si="80"/>
        <v>30</v>
      </c>
      <c r="AE210" s="512"/>
      <c r="AF210" s="52"/>
      <c r="AG210" s="52"/>
      <c r="AH210" s="23">
        <f>$V210*BIBLE!S124</f>
        <v>21</v>
      </c>
      <c r="AI210" s="23">
        <f>$V210*BIBLE!T124</f>
        <v>0</v>
      </c>
      <c r="AJ210" s="23">
        <f>$V210*BIBLE!U124</f>
        <v>0</v>
      </c>
      <c r="AK210" s="1458">
        <f>$V210*BIBLE!W124</f>
        <v>0</v>
      </c>
      <c r="AL210" s="1458">
        <f>$V210*BIBLE!X124</f>
        <v>0</v>
      </c>
      <c r="AM210" s="1458">
        <f>$V210*BIBLE!Y124</f>
        <v>0</v>
      </c>
      <c r="AN210" s="1458">
        <f>$V210*BIBLE!Z124</f>
        <v>0</v>
      </c>
      <c r="AO210" s="1458">
        <f>$V210*BIBLE!AA124</f>
        <v>0</v>
      </c>
      <c r="AP210" s="1458">
        <f>$V210*BIBLE!AB124</f>
        <v>21</v>
      </c>
      <c r="AQ210" s="1458">
        <f>$V210*BIBLE!AC124</f>
        <v>0</v>
      </c>
      <c r="AR210" s="1458">
        <f>$V210*BIBLE!AD124</f>
        <v>0</v>
      </c>
    </row>
    <row r="211" spans="1:44" s="7" customFormat="1" ht="70" customHeight="1" x14ac:dyDescent="0.2">
      <c r="A211" s="1357" t="str">
        <f>BIBLE!E125</f>
        <v>PFA25</v>
      </c>
      <c r="B211" s="157" t="str">
        <f>BIBLE!F125</f>
        <v>L'autre parent vous appelle par votre prénom devant votre enfant (versus maman ou papa).</v>
      </c>
      <c r="C211" s="498" t="str">
        <f>BIBLE!O125</f>
        <v xml:space="preserve">Jamais / Rarement / Occasionnellement / Régulièrement / Souvent / Toujours / S.O. </v>
      </c>
      <c r="D211" s="1978">
        <f>IF(P212=2,BIBLE!M125,BIBLE!L125)</f>
        <v>1</v>
      </c>
      <c r="E211" s="19"/>
      <c r="F211" s="19"/>
      <c r="G211" s="19"/>
      <c r="H211" s="19"/>
      <c r="I211" s="19">
        <v>1</v>
      </c>
      <c r="J211" s="19"/>
      <c r="K211" s="19"/>
      <c r="L211" s="19"/>
      <c r="M211" s="19"/>
      <c r="N211" s="19"/>
      <c r="O211" s="19"/>
      <c r="P211" s="1877">
        <f>'TEST_pour PROTOTYPE'!D192</f>
        <v>4</v>
      </c>
      <c r="Q211" s="25">
        <f t="shared" si="74"/>
        <v>4</v>
      </c>
      <c r="R211" s="8">
        <f>IF(BIBLE!K125=0,"",BIBLE!K125)</f>
        <v>2</v>
      </c>
      <c r="S211" s="298"/>
      <c r="T211" s="298"/>
      <c r="U211" s="298"/>
      <c r="V211" s="6">
        <f t="shared" si="79"/>
        <v>4</v>
      </c>
      <c r="W211" s="298"/>
      <c r="X211" s="6">
        <f t="shared" si="80"/>
        <v>0</v>
      </c>
      <c r="Y211" s="6">
        <f t="shared" si="80"/>
        <v>1</v>
      </c>
      <c r="Z211" s="6">
        <f t="shared" si="80"/>
        <v>2</v>
      </c>
      <c r="AA211" s="6">
        <f t="shared" si="80"/>
        <v>4</v>
      </c>
      <c r="AB211" s="6">
        <f t="shared" si="80"/>
        <v>7</v>
      </c>
      <c r="AC211" s="6">
        <f t="shared" si="80"/>
        <v>10</v>
      </c>
      <c r="AE211" s="512"/>
      <c r="AF211" s="52"/>
      <c r="AG211" s="52"/>
      <c r="AH211" s="23">
        <f>$V211*BIBLE!S125</f>
        <v>2</v>
      </c>
      <c r="AI211" s="23">
        <f>$V211*BIBLE!T125</f>
        <v>2</v>
      </c>
      <c r="AJ211" s="23">
        <f>$V211*BIBLE!U125</f>
        <v>0</v>
      </c>
      <c r="AK211" s="1458">
        <f>$V211*BIBLE!W125</f>
        <v>0</v>
      </c>
      <c r="AL211" s="1458">
        <f>$V211*BIBLE!X125</f>
        <v>0</v>
      </c>
      <c r="AM211" s="1458">
        <f>$V211*BIBLE!Y125</f>
        <v>0</v>
      </c>
      <c r="AN211" s="1458">
        <f>$V211*BIBLE!Z125</f>
        <v>0</v>
      </c>
      <c r="AO211" s="1458">
        <f>$V211*BIBLE!AA125</f>
        <v>0</v>
      </c>
      <c r="AP211" s="1458">
        <f>$V211*BIBLE!AB125</f>
        <v>4</v>
      </c>
      <c r="AQ211" s="1458">
        <f>$V211*BIBLE!AC125</f>
        <v>0</v>
      </c>
      <c r="AR211" s="1458">
        <f>$V211*BIBLE!AD125</f>
        <v>0</v>
      </c>
    </row>
    <row r="212" spans="1:44" s="7" customFormat="1" ht="60" customHeight="1" x14ac:dyDescent="0.2">
      <c r="A212" s="1357" t="str">
        <f>BIBLE!E126</f>
        <v>PFA25a</v>
      </c>
      <c r="B212" s="503" t="str">
        <f>IF(P211&gt;=R211,BIBLE!F126,"")</f>
        <v>Cette façon de s'adresser à vous devant votre enfant (prénom versus maman ou papa) est-elle habituelle ou est-ce nouveau depuis la séparation ?</v>
      </c>
      <c r="C212" s="92"/>
      <c r="D212" s="1978"/>
      <c r="E212" s="8"/>
      <c r="F212" s="19"/>
      <c r="G212" s="19"/>
      <c r="H212" s="19"/>
      <c r="I212" s="19"/>
      <c r="J212" s="19"/>
      <c r="K212" s="19"/>
      <c r="L212" s="19"/>
      <c r="M212" s="19"/>
      <c r="N212" s="19"/>
      <c r="O212" s="19"/>
      <c r="P212" s="1880">
        <f>'TEST_pour PROTOTYPE'!D193</f>
        <v>1</v>
      </c>
      <c r="Q212" s="25"/>
      <c r="R212" s="8" t="str">
        <f>IF(BIBLE!K126=0,"",BIBLE!K126)</f>
        <v/>
      </c>
      <c r="S212" s="298"/>
      <c r="T212" s="298"/>
      <c r="U212" s="298"/>
      <c r="V212" s="6"/>
      <c r="W212" s="298"/>
      <c r="X212" s="8"/>
      <c r="Y212" s="8"/>
      <c r="Z212" s="8"/>
      <c r="AA212" s="8"/>
      <c r="AB212" s="8"/>
      <c r="AC212" s="8"/>
      <c r="AE212" s="512"/>
      <c r="AF212" s="52"/>
      <c r="AG212" s="52"/>
      <c r="AH212" s="92"/>
      <c r="AI212" s="92"/>
      <c r="AJ212" s="92"/>
      <c r="AK212" s="743"/>
      <c r="AL212" s="743"/>
      <c r="AM212" s="743"/>
      <c r="AN212" s="743"/>
      <c r="AO212" s="743"/>
      <c r="AP212" s="743"/>
      <c r="AQ212" s="743"/>
      <c r="AR212" s="743"/>
    </row>
    <row r="213" spans="1:44" s="7" customFormat="1" ht="16" customHeight="1" x14ac:dyDescent="0.2">
      <c r="A213" s="1357"/>
      <c r="B213" s="503" t="str">
        <f>IF(P211&gt;=R211,"Normal / Usuel","")</f>
        <v>Normal / Usuel</v>
      </c>
      <c r="C213" s="92"/>
      <c r="D213" s="1976">
        <v>1</v>
      </c>
      <c r="E213" s="1782">
        <f>IF(P$212=D213,1,"x")</f>
        <v>1</v>
      </c>
      <c r="F213" s="19"/>
      <c r="G213" s="19"/>
      <c r="H213" s="19"/>
      <c r="I213" s="19"/>
      <c r="J213" s="19"/>
      <c r="K213" s="19"/>
      <c r="L213" s="19"/>
      <c r="M213" s="19"/>
      <c r="N213" s="19"/>
      <c r="O213" s="19"/>
      <c r="P213" s="24"/>
      <c r="Q213" s="25"/>
      <c r="R213" s="8"/>
      <c r="S213" s="298"/>
      <c r="T213" s="298"/>
      <c r="U213" s="298"/>
      <c r="V213" s="6"/>
      <c r="W213" s="298"/>
      <c r="X213" s="8"/>
      <c r="Y213" s="8"/>
      <c r="Z213" s="8"/>
      <c r="AA213" s="8"/>
      <c r="AB213" s="8"/>
      <c r="AC213" s="8"/>
      <c r="AE213" s="512"/>
      <c r="AF213" s="52"/>
      <c r="AG213" s="52"/>
      <c r="AH213" s="92"/>
      <c r="AI213" s="92"/>
      <c r="AJ213" s="92"/>
      <c r="AK213" s="743"/>
      <c r="AL213" s="743"/>
      <c r="AM213" s="743"/>
      <c r="AN213" s="743"/>
      <c r="AO213" s="743"/>
      <c r="AP213" s="743"/>
      <c r="AQ213" s="743"/>
      <c r="AR213" s="743"/>
    </row>
    <row r="214" spans="1:44" s="7" customFormat="1" ht="16" customHeight="1" x14ac:dyDescent="0.2">
      <c r="A214" s="1357"/>
      <c r="B214" s="503" t="str">
        <f>IF(P211&gt;=R211,"Nouveau","")</f>
        <v>Nouveau</v>
      </c>
      <c r="C214" s="92"/>
      <c r="D214" s="1976">
        <v>2</v>
      </c>
      <c r="E214" s="1782" t="str">
        <f>IF(P$212=D214,1,"x")</f>
        <v>x</v>
      </c>
      <c r="F214" s="19"/>
      <c r="G214" s="19"/>
      <c r="H214" s="19"/>
      <c r="I214" s="19"/>
      <c r="J214" s="19"/>
      <c r="K214" s="19"/>
      <c r="L214" s="19"/>
      <c r="M214" s="19"/>
      <c r="N214" s="19"/>
      <c r="O214" s="19"/>
      <c r="P214" s="24"/>
      <c r="Q214" s="25"/>
      <c r="R214" s="8"/>
      <c r="S214" s="298"/>
      <c r="T214" s="298"/>
      <c r="U214" s="298"/>
      <c r="V214" s="6"/>
      <c r="W214" s="298"/>
      <c r="X214" s="8"/>
      <c r="Y214" s="8"/>
      <c r="Z214" s="8"/>
      <c r="AA214" s="8"/>
      <c r="AB214" s="8"/>
      <c r="AC214" s="8"/>
      <c r="AE214" s="512"/>
      <c r="AF214" s="52"/>
      <c r="AG214" s="52"/>
      <c r="AH214" s="92"/>
      <c r="AI214" s="92"/>
      <c r="AJ214" s="92"/>
      <c r="AK214" s="743"/>
      <c r="AL214" s="743"/>
      <c r="AM214" s="743"/>
      <c r="AN214" s="743"/>
      <c r="AO214" s="743"/>
      <c r="AP214" s="743"/>
      <c r="AQ214" s="743"/>
      <c r="AR214" s="743"/>
    </row>
    <row r="215" spans="1:44" s="7" customFormat="1" ht="16" customHeight="1" x14ac:dyDescent="0.2">
      <c r="A215" s="1357"/>
      <c r="B215" s="503"/>
      <c r="C215" s="92"/>
      <c r="D215" s="1527"/>
      <c r="E215" s="19"/>
      <c r="F215" s="19"/>
      <c r="G215" s="19"/>
      <c r="H215" s="19"/>
      <c r="I215" s="19"/>
      <c r="J215" s="19"/>
      <c r="K215" s="19"/>
      <c r="L215" s="19"/>
      <c r="M215" s="19"/>
      <c r="N215" s="19"/>
      <c r="O215" s="19"/>
      <c r="P215" s="24"/>
      <c r="Q215" s="25"/>
      <c r="R215" s="8"/>
      <c r="S215" s="298"/>
      <c r="T215" s="298"/>
      <c r="U215" s="298"/>
      <c r="V215" s="6"/>
      <c r="W215" s="298"/>
      <c r="X215" s="8"/>
      <c r="Y215" s="8"/>
      <c r="Z215" s="8"/>
      <c r="AA215" s="8"/>
      <c r="AB215" s="8"/>
      <c r="AC215" s="8"/>
      <c r="AE215" s="512"/>
      <c r="AF215" s="52"/>
      <c r="AG215" s="52"/>
      <c r="AH215" s="92"/>
      <c r="AI215" s="92"/>
      <c r="AJ215" s="92"/>
      <c r="AK215" s="743"/>
      <c r="AL215" s="743"/>
      <c r="AM215" s="743"/>
      <c r="AN215" s="743"/>
      <c r="AO215" s="743"/>
      <c r="AP215" s="743"/>
      <c r="AQ215" s="743"/>
      <c r="AR215" s="743"/>
    </row>
    <row r="216" spans="1:44" s="7" customFormat="1" ht="65" customHeight="1" x14ac:dyDescent="0.2">
      <c r="A216" s="1357" t="str">
        <f>BIBLE!E127</f>
        <v>PFA26</v>
      </c>
      <c r="B216" s="157" t="str">
        <f>IF(P46&lt;&gt;1,BIBLE!F127,"")</f>
        <v>L’autre parent considère que son nouveau ou nouvelle conjoint·e est un meilleur parent que vous.</v>
      </c>
      <c r="C216" s="498" t="str">
        <f>BIBLE!O127</f>
        <v>Nulle / Très faible / Faible / Moyenne / Élevée / Très élevée / S.O.</v>
      </c>
      <c r="D216" s="1527">
        <f>BIBLE!L127</f>
        <v>2</v>
      </c>
      <c r="E216" s="19"/>
      <c r="F216" s="19"/>
      <c r="G216" s="19"/>
      <c r="H216" s="19"/>
      <c r="I216" s="19"/>
      <c r="J216" s="19"/>
      <c r="K216" s="19">
        <v>1</v>
      </c>
      <c r="L216" s="19"/>
      <c r="M216" s="19"/>
      <c r="N216" s="19"/>
      <c r="O216" s="19"/>
      <c r="P216" s="1877">
        <f>'TEST_pour PROTOTYPE'!D194</f>
        <v>1</v>
      </c>
      <c r="Q216" s="25">
        <f t="shared" ref="Q216:Q221" si="82">P216*D216</f>
        <v>2</v>
      </c>
      <c r="R216" s="8">
        <f>IF(BIBLE!K127=0,"",BIBLE!K127)</f>
        <v>4</v>
      </c>
      <c r="S216" s="8"/>
      <c r="T216" s="8"/>
      <c r="U216" s="8"/>
      <c r="V216" s="6">
        <f>Q216</f>
        <v>2</v>
      </c>
      <c r="W216" s="8"/>
      <c r="X216" s="6">
        <f t="shared" ref="X216:AC221" si="83">IF($Q216&gt;0,X$109*$D216,0)</f>
        <v>0</v>
      </c>
      <c r="Y216" s="6">
        <f t="shared" si="83"/>
        <v>2</v>
      </c>
      <c r="Z216" s="6">
        <f t="shared" si="83"/>
        <v>4</v>
      </c>
      <c r="AA216" s="6">
        <f t="shared" si="83"/>
        <v>8</v>
      </c>
      <c r="AB216" s="6">
        <f t="shared" si="83"/>
        <v>14</v>
      </c>
      <c r="AC216" s="6">
        <f t="shared" si="83"/>
        <v>20</v>
      </c>
      <c r="AE216" s="512"/>
      <c r="AF216" s="52"/>
      <c r="AG216" s="52"/>
      <c r="AH216" s="23">
        <f>$V216*BIBLE!S127</f>
        <v>1</v>
      </c>
      <c r="AI216" s="23">
        <f>$V216*BIBLE!T127</f>
        <v>1</v>
      </c>
      <c r="AJ216" s="23">
        <f>$V216*BIBLE!U127</f>
        <v>0</v>
      </c>
      <c r="AK216" s="1458">
        <f>$V216*BIBLE!W127</f>
        <v>0</v>
      </c>
      <c r="AL216" s="1458">
        <f>$V216*BIBLE!X127</f>
        <v>0</v>
      </c>
      <c r="AM216" s="1458">
        <f>$V216*BIBLE!Y127</f>
        <v>0</v>
      </c>
      <c r="AN216" s="1458">
        <f>$V216*BIBLE!Z127</f>
        <v>0</v>
      </c>
      <c r="AO216" s="1458">
        <f>$V216*BIBLE!AA127</f>
        <v>0</v>
      </c>
      <c r="AP216" s="1458">
        <f>$V216*BIBLE!AB127</f>
        <v>2</v>
      </c>
      <c r="AQ216" s="1458">
        <f>$V216*BIBLE!AC127</f>
        <v>0</v>
      </c>
      <c r="AR216" s="1458">
        <f>$V216*BIBLE!AD127</f>
        <v>0</v>
      </c>
    </row>
    <row r="217" spans="1:44" s="7" customFormat="1" ht="65" customHeight="1" x14ac:dyDescent="0.2">
      <c r="A217" s="1357" t="str">
        <f>BIBLE!E128</f>
        <v>PFA27</v>
      </c>
      <c r="B217" s="157" t="str">
        <f>IF($P$53&gt;=$R$53,BIBLE!F128,"")</f>
        <v/>
      </c>
      <c r="C217" s="498" t="str">
        <f>BIBLE!O128</f>
        <v>Nulle / Très faible / Faible / Moyenne / Élevée / Très élevée / S.O.</v>
      </c>
      <c r="D217" s="1527">
        <f>BIBLE!L128</f>
        <v>2</v>
      </c>
      <c r="E217" s="19"/>
      <c r="F217" s="19"/>
      <c r="G217" s="19"/>
      <c r="H217" s="19"/>
      <c r="I217" s="19"/>
      <c r="J217" s="19"/>
      <c r="K217" s="19"/>
      <c r="L217" s="19"/>
      <c r="M217" s="19"/>
      <c r="N217" s="19"/>
      <c r="O217" s="19"/>
      <c r="P217" s="1877">
        <f>'TEST_pour PROTOTYPE'!D195</f>
        <v>0</v>
      </c>
      <c r="Q217" s="25">
        <f t="shared" si="82"/>
        <v>0</v>
      </c>
      <c r="R217" s="8" t="str">
        <f>IF(BIBLE!K128=0,"",BIBLE!K128)</f>
        <v/>
      </c>
      <c r="S217" s="8"/>
      <c r="T217" s="8"/>
      <c r="U217" s="8"/>
      <c r="V217" s="6">
        <f>Q217</f>
        <v>0</v>
      </c>
      <c r="W217" s="8"/>
      <c r="X217" s="6">
        <f t="shared" si="83"/>
        <v>0</v>
      </c>
      <c r="Y217" s="6">
        <f t="shared" si="83"/>
        <v>0</v>
      </c>
      <c r="Z217" s="6">
        <f t="shared" si="83"/>
        <v>0</v>
      </c>
      <c r="AA217" s="6">
        <f t="shared" si="83"/>
        <v>0</v>
      </c>
      <c r="AB217" s="6">
        <f t="shared" si="83"/>
        <v>0</v>
      </c>
      <c r="AC217" s="6">
        <f t="shared" si="83"/>
        <v>0</v>
      </c>
      <c r="AE217" s="512"/>
      <c r="AF217" s="52"/>
      <c r="AG217" s="52"/>
      <c r="AH217" s="23">
        <f>$V217*BIBLE!S128</f>
        <v>0</v>
      </c>
      <c r="AI217" s="23">
        <f>$V217*BIBLE!T128</f>
        <v>0</v>
      </c>
      <c r="AJ217" s="23">
        <f>$V217*BIBLE!U128</f>
        <v>0</v>
      </c>
      <c r="AK217" s="1458">
        <f>$V217*BIBLE!W128</f>
        <v>0</v>
      </c>
      <c r="AL217" s="1458">
        <f>$V217*BIBLE!X128</f>
        <v>0</v>
      </c>
      <c r="AM217" s="1458">
        <f>$V217*BIBLE!Y128</f>
        <v>0</v>
      </c>
      <c r="AN217" s="1458">
        <f>$V217*BIBLE!Z128</f>
        <v>0</v>
      </c>
      <c r="AO217" s="1458">
        <f>$V217*BIBLE!AA128</f>
        <v>0</v>
      </c>
      <c r="AP217" s="1458">
        <f>$V217*BIBLE!AB128</f>
        <v>0</v>
      </c>
      <c r="AQ217" s="1458">
        <f>$V217*BIBLE!AC128</f>
        <v>0</v>
      </c>
      <c r="AR217" s="1458">
        <f>$V217*BIBLE!AD128</f>
        <v>0</v>
      </c>
    </row>
    <row r="218" spans="1:44" s="7" customFormat="1" ht="65" customHeight="1" x14ac:dyDescent="0.2">
      <c r="A218" s="1357" t="str">
        <f>BIBLE!E129</f>
        <v>PFA28</v>
      </c>
      <c r="B218" s="157" t="str">
        <f>BIBLE!F129</f>
        <v xml:space="preserve">L’autre parent permet à votre enfant d'apporter des objets (jouets ou cadeaux reçus) provenant de chez vous. </v>
      </c>
      <c r="C218" s="498" t="str">
        <f>BIBLE!O129</f>
        <v>Toujours / Souvent / Régulièrement / Occasionnellement / Rarement / Jamais / S.O.</v>
      </c>
      <c r="D218" s="1527">
        <f>BIBLE!L129</f>
        <v>2</v>
      </c>
      <c r="E218" s="19"/>
      <c r="F218" s="19"/>
      <c r="G218" s="19"/>
      <c r="H218" s="19"/>
      <c r="I218" s="19"/>
      <c r="J218" s="19">
        <v>1</v>
      </c>
      <c r="K218" s="19"/>
      <c r="L218" s="19"/>
      <c r="M218" s="19"/>
      <c r="N218" s="19"/>
      <c r="O218" s="19"/>
      <c r="P218" s="1877">
        <f>'TEST_pour PROTOTYPE'!D196</f>
        <v>4</v>
      </c>
      <c r="Q218" s="25">
        <f t="shared" si="82"/>
        <v>8</v>
      </c>
      <c r="R218" s="8">
        <f>IF(BIBLE!K129=0,"",BIBLE!K129)</f>
        <v>4</v>
      </c>
      <c r="S218" s="8"/>
      <c r="T218" s="8"/>
      <c r="U218" s="8"/>
      <c r="V218" s="6">
        <f>IF(P218&gt;=R218,IF(Q218&gt;Q219,Q218,Q219),Q218)</f>
        <v>12</v>
      </c>
      <c r="W218" s="8"/>
      <c r="X218" s="6">
        <f t="shared" ref="X218:AC218" si="84">IF(($P218&gt;=$R218),IF($Q218&gt;$Q219,X$109*$D218,X$109*$D219),X$109*$D218)</f>
        <v>0</v>
      </c>
      <c r="Y218" s="6">
        <f t="shared" si="84"/>
        <v>3</v>
      </c>
      <c r="Z218" s="6">
        <f t="shared" si="84"/>
        <v>6</v>
      </c>
      <c r="AA218" s="6">
        <f t="shared" si="84"/>
        <v>12</v>
      </c>
      <c r="AB218" s="6">
        <f t="shared" si="84"/>
        <v>21</v>
      </c>
      <c r="AC218" s="6">
        <f t="shared" si="84"/>
        <v>30</v>
      </c>
      <c r="AE218" s="512"/>
      <c r="AF218" s="52"/>
      <c r="AG218" s="52"/>
      <c r="AH218" s="23">
        <f>IF($Q218=$V218,$Q218*BIBLE!S129,$Q219*BIBLE!S130)</f>
        <v>6</v>
      </c>
      <c r="AI218" s="23">
        <f>IF($Q218=$V218,$Q218*BIBLE!T129,$Q219*BIBLE!T130)</f>
        <v>6</v>
      </c>
      <c r="AJ218" s="23">
        <f>IF($Q218=$V218,$Q218*BIBLE!U129,$Q219*BIBLE!U130)</f>
        <v>0</v>
      </c>
      <c r="AK218" s="1458">
        <f>IF($Q218=$V218,$Q218*BIBLE!W129,$Q219*BIBLE!W130)</f>
        <v>0</v>
      </c>
      <c r="AL218" s="1458">
        <f>IF($Q218=$V218,$Q218*BIBLE!X129,$Q219*BIBLE!X130)</f>
        <v>0</v>
      </c>
      <c r="AM218" s="1458">
        <f>IF($Q218=$V218,$Q218*BIBLE!Y129,$Q219*BIBLE!Y130)</f>
        <v>0</v>
      </c>
      <c r="AN218" s="1458">
        <f>IF($Q218=$V218,$Q218*BIBLE!Z129,$Q219*BIBLE!Z130)</f>
        <v>0</v>
      </c>
      <c r="AO218" s="1458">
        <f>IF($Q218=$V218,$Q218*BIBLE!AA129,$Q219*BIBLE!AA130)</f>
        <v>0</v>
      </c>
      <c r="AP218" s="1458">
        <f>IF($Q218=$V218,$Q218*BIBLE!AB129,$Q219*BIBLE!AB130)</f>
        <v>12</v>
      </c>
      <c r="AQ218" s="1458">
        <f>IF($Q218=$V218,$Q218*BIBLE!AC129,$Q219*BIBLE!AC130)</f>
        <v>0</v>
      </c>
      <c r="AR218" s="1458">
        <f>IF($Q218=$V218,$Q218*BIBLE!AD129,$Q219*BIBLE!AD130)</f>
        <v>0</v>
      </c>
    </row>
    <row r="219" spans="1:44" s="7" customFormat="1" ht="65" customHeight="1" x14ac:dyDescent="0.2">
      <c r="A219" s="1357" t="str">
        <f>BIBLE!E130</f>
        <v>PFA28a</v>
      </c>
      <c r="B219" s="158" t="str">
        <f>IF(P218&gt;=R218,BIBLE!F130,"")</f>
        <v xml:space="preserve">L’autre parent jette les cadeaux que vous avez offerts à votre enfant ou proscrit les photographies de vous dans sa demeure. </v>
      </c>
      <c r="C219" s="498" t="str">
        <f>BIBLE!O130</f>
        <v>Nulle / Très faible / Faible / Moyenne / Élevée / Très élevée / S.O.</v>
      </c>
      <c r="D219" s="1527">
        <f>BIBLE!L130</f>
        <v>3</v>
      </c>
      <c r="E219" s="19"/>
      <c r="F219" s="19"/>
      <c r="G219" s="19"/>
      <c r="H219" s="19"/>
      <c r="I219" s="19">
        <v>1</v>
      </c>
      <c r="J219" s="19"/>
      <c r="K219" s="19"/>
      <c r="L219" s="19"/>
      <c r="M219" s="19"/>
      <c r="N219" s="19"/>
      <c r="O219" s="19"/>
      <c r="P219" s="1877">
        <f>'TEST_pour PROTOTYPE'!D197</f>
        <v>4</v>
      </c>
      <c r="Q219" s="25">
        <f t="shared" si="82"/>
        <v>12</v>
      </c>
      <c r="R219" s="8" t="str">
        <f>IF(BIBLE!K130=0,"",BIBLE!K130)</f>
        <v/>
      </c>
      <c r="S219" s="8"/>
      <c r="T219" s="8"/>
      <c r="U219" s="8"/>
      <c r="V219" s="6"/>
      <c r="W219" s="8"/>
      <c r="X219" s="6"/>
      <c r="Y219" s="6"/>
      <c r="Z219" s="6"/>
      <c r="AA219" s="6"/>
      <c r="AB219" s="6"/>
      <c r="AC219" s="6"/>
      <c r="AE219" s="512"/>
      <c r="AF219" s="52"/>
      <c r="AG219" s="52"/>
      <c r="AH219" s="92"/>
      <c r="AI219" s="92"/>
      <c r="AJ219" s="92"/>
      <c r="AK219" s="743"/>
      <c r="AL219" s="743"/>
      <c r="AM219" s="743"/>
      <c r="AN219" s="743"/>
      <c r="AO219" s="743"/>
      <c r="AP219" s="743"/>
      <c r="AQ219" s="743"/>
      <c r="AR219" s="743"/>
    </row>
    <row r="220" spans="1:44" s="7" customFormat="1" ht="65" customHeight="1" x14ac:dyDescent="0.2">
      <c r="A220" s="1357" t="str">
        <f>BIBLE!E131</f>
        <v>PFA39</v>
      </c>
      <c r="B220" s="157" t="str">
        <f>IF($P$53&gt;=$R$53,BIBLE!F131,"")</f>
        <v/>
      </c>
      <c r="C220" s="498" t="str">
        <f>BIBLE!O131</f>
        <v>Nulle / Très faible / Faible / Moyenne / Élevée / Très élevée / S.O.</v>
      </c>
      <c r="D220" s="1527">
        <f>BIBLE!L131</f>
        <v>3</v>
      </c>
      <c r="E220" s="19"/>
      <c r="F220" s="19"/>
      <c r="G220" s="19"/>
      <c r="H220" s="19"/>
      <c r="I220" s="19"/>
      <c r="J220" s="19"/>
      <c r="K220" s="19"/>
      <c r="L220" s="19"/>
      <c r="M220" s="19"/>
      <c r="N220" s="19"/>
      <c r="O220" s="19"/>
      <c r="P220" s="1877">
        <f>'TEST_pour PROTOTYPE'!D198</f>
        <v>0</v>
      </c>
      <c r="Q220" s="25">
        <f t="shared" si="82"/>
        <v>0</v>
      </c>
      <c r="R220" s="8" t="str">
        <f>IF(BIBLE!K131=0,"",BIBLE!K131)</f>
        <v/>
      </c>
      <c r="S220" s="8"/>
      <c r="T220" s="8"/>
      <c r="U220" s="8"/>
      <c r="V220" s="6">
        <f>Q220</f>
        <v>0</v>
      </c>
      <c r="W220" s="8"/>
      <c r="X220" s="6">
        <f>IF($Q220&gt;0,X$109*$D220,0)</f>
        <v>0</v>
      </c>
      <c r="Y220" s="6">
        <f>IF($Q220&gt;0,Y$109*$D220,0)</f>
        <v>0</v>
      </c>
      <c r="Z220" s="6">
        <f t="shared" si="83"/>
        <v>0</v>
      </c>
      <c r="AA220" s="6">
        <f t="shared" si="83"/>
        <v>0</v>
      </c>
      <c r="AB220" s="6">
        <f t="shared" si="83"/>
        <v>0</v>
      </c>
      <c r="AC220" s="6">
        <f t="shared" si="83"/>
        <v>0</v>
      </c>
      <c r="AE220" s="512"/>
      <c r="AF220" s="52"/>
      <c r="AG220" s="52"/>
      <c r="AH220" s="92"/>
      <c r="AI220" s="92"/>
      <c r="AJ220" s="92"/>
      <c r="AK220" s="743"/>
      <c r="AL220" s="743"/>
      <c r="AM220" s="743"/>
      <c r="AN220" s="743"/>
      <c r="AO220" s="743"/>
      <c r="AP220" s="743"/>
      <c r="AQ220" s="743"/>
      <c r="AR220" s="743"/>
    </row>
    <row r="221" spans="1:44" s="7" customFormat="1" ht="65" customHeight="1" x14ac:dyDescent="0.2">
      <c r="A221" s="1357" t="str">
        <f>BIBLE!E132</f>
        <v>PFA29</v>
      </c>
      <c r="B221" s="157" t="str">
        <f>BIBLE!F132</f>
        <v>L'autre parent de prend des décisions sans vous consulter.</v>
      </c>
      <c r="C221" s="498" t="str">
        <f>BIBLE!O132</f>
        <v xml:space="preserve">Jamais / Rarement / Occasionnellement / Régulièrement / Souvent / Toujours / S.O. </v>
      </c>
      <c r="D221" s="1527">
        <f>BIBLE!L132</f>
        <v>3</v>
      </c>
      <c r="E221" s="8"/>
      <c r="F221" s="19"/>
      <c r="G221" s="19"/>
      <c r="H221" s="19"/>
      <c r="I221" s="19"/>
      <c r="J221" s="19">
        <v>1</v>
      </c>
      <c r="K221" s="19"/>
      <c r="L221" s="19"/>
      <c r="M221" s="19"/>
      <c r="N221" s="19"/>
      <c r="O221" s="19"/>
      <c r="P221" s="1877">
        <f>'TEST_pour PROTOTYPE'!D199</f>
        <v>1</v>
      </c>
      <c r="Q221" s="25">
        <f t="shared" si="82"/>
        <v>3</v>
      </c>
      <c r="R221" s="8">
        <f>IF(BIBLE!K132=0,"",BIBLE!K132)</f>
        <v>2</v>
      </c>
      <c r="S221" s="8"/>
      <c r="T221" s="8"/>
      <c r="U221" s="8"/>
      <c r="V221" s="6">
        <f>Q221</f>
        <v>3</v>
      </c>
      <c r="W221" s="8"/>
      <c r="X221" s="6">
        <f>IF($Q221&gt;0,X$109*$D221,0)</f>
        <v>0</v>
      </c>
      <c r="Y221" s="6">
        <f>IF($Q221&gt;0,Y$109*$D221,0)</f>
        <v>3</v>
      </c>
      <c r="Z221" s="6">
        <f t="shared" si="83"/>
        <v>6</v>
      </c>
      <c r="AA221" s="6">
        <f t="shared" si="83"/>
        <v>12</v>
      </c>
      <c r="AB221" s="6">
        <f t="shared" si="83"/>
        <v>21</v>
      </c>
      <c r="AC221" s="6">
        <f t="shared" si="83"/>
        <v>30</v>
      </c>
      <c r="AE221" s="512"/>
      <c r="AF221" s="52"/>
      <c r="AG221" s="52"/>
      <c r="AH221" s="92"/>
      <c r="AI221" s="92"/>
      <c r="AJ221" s="92"/>
      <c r="AK221" s="743"/>
      <c r="AL221" s="743"/>
      <c r="AM221" s="743"/>
      <c r="AN221" s="743"/>
      <c r="AO221" s="743"/>
      <c r="AP221" s="743"/>
      <c r="AQ221" s="743"/>
      <c r="AR221" s="743"/>
    </row>
    <row r="222" spans="1:44" s="7" customFormat="1" ht="43" customHeight="1" x14ac:dyDescent="0.2">
      <c r="A222" s="1357" t="str">
        <f>BIBLE!E133</f>
        <v>PFA29a</v>
      </c>
      <c r="B222" s="158" t="str">
        <f>IF(P$221&gt;=R$221,BIBLE!F133,"")</f>
        <v/>
      </c>
      <c r="C222" s="596"/>
      <c r="D222" s="1527"/>
      <c r="E222" s="8">
        <f>(D223*E223)+(D224*E224)+(D225*E225)+(D226*E226)+(D227*E227)</f>
        <v>0</v>
      </c>
      <c r="F222" s="19"/>
      <c r="G222" s="19"/>
      <c r="H222" s="19"/>
      <c r="I222" s="19"/>
      <c r="J222" s="19"/>
      <c r="K222" s="19"/>
      <c r="L222" s="19"/>
      <c r="M222" s="19"/>
      <c r="N222" s="19"/>
      <c r="O222" s="1879" t="s">
        <v>1621</v>
      </c>
      <c r="P222" s="25">
        <f>SUM(P223:P228)</f>
        <v>0</v>
      </c>
      <c r="Q222" s="25"/>
      <c r="R222" s="8" t="str">
        <f>IF(BIBLE!K133=0,"",BIBLE!K133)</f>
        <v/>
      </c>
      <c r="S222" s="8"/>
      <c r="T222" s="8"/>
      <c r="U222" s="8"/>
      <c r="V222" s="6"/>
      <c r="W222" s="8"/>
      <c r="X222" s="8"/>
      <c r="Y222" s="8"/>
      <c r="Z222" s="8"/>
      <c r="AA222" s="8"/>
      <c r="AB222" s="8"/>
      <c r="AC222" s="8"/>
      <c r="AE222" s="512"/>
      <c r="AF222" s="52"/>
      <c r="AG222" s="52"/>
      <c r="AH222" s="92"/>
      <c r="AI222" s="92"/>
      <c r="AJ222" s="92"/>
      <c r="AK222" s="743"/>
      <c r="AL222" s="743"/>
      <c r="AM222" s="743"/>
      <c r="AN222" s="743"/>
      <c r="AO222" s="743"/>
      <c r="AP222" s="743"/>
      <c r="AQ222" s="743"/>
      <c r="AR222" s="743"/>
    </row>
    <row r="223" spans="1:44" s="7" customFormat="1" ht="31" customHeight="1" x14ac:dyDescent="0.2">
      <c r="A223" s="1357"/>
      <c r="B223" s="161" t="str">
        <f>IF(P$221&gt;=R$221,"Choix d'école et/ou inscription (primaire et secondaire)","")</f>
        <v/>
      </c>
      <c r="C223" s="596" t="str">
        <f>IF(BIBLE!H135=0,"",BIBLE!H135)</f>
        <v/>
      </c>
      <c r="D223" s="1775">
        <v>7</v>
      </c>
      <c r="E223" s="1793">
        <f>'TEST_pour PROTOTYPE'!D200</f>
        <v>0</v>
      </c>
      <c r="F223" s="19"/>
      <c r="G223" s="19"/>
      <c r="H223" s="19"/>
      <c r="I223" s="19"/>
      <c r="J223" s="19"/>
      <c r="K223" s="19"/>
      <c r="L223" s="19"/>
      <c r="M223" s="19"/>
      <c r="N223" s="19"/>
      <c r="O223" s="19"/>
      <c r="P223" s="1801">
        <f>D223*E223</f>
        <v>0</v>
      </c>
      <c r="Q223" s="25"/>
      <c r="R223" s="8"/>
      <c r="S223" s="8"/>
      <c r="T223" s="8"/>
      <c r="U223" s="8"/>
      <c r="V223" s="6"/>
      <c r="W223" s="8"/>
      <c r="X223" s="8"/>
      <c r="Y223" s="8"/>
      <c r="Z223" s="8"/>
      <c r="AA223" s="8"/>
      <c r="AB223" s="8"/>
      <c r="AC223" s="8"/>
      <c r="AE223" s="512"/>
      <c r="AF223" s="52"/>
      <c r="AG223" s="52"/>
      <c r="AH223" s="92"/>
      <c r="AI223" s="92"/>
      <c r="AJ223" s="92"/>
      <c r="AK223" s="743"/>
      <c r="AL223" s="743"/>
      <c r="AM223" s="743"/>
      <c r="AN223" s="743"/>
      <c r="AO223" s="743"/>
      <c r="AP223" s="743"/>
      <c r="AQ223" s="743"/>
      <c r="AR223" s="743"/>
    </row>
    <row r="224" spans="1:44" s="7" customFormat="1" ht="31" customHeight="1" x14ac:dyDescent="0.2">
      <c r="A224" s="1357"/>
      <c r="B224" s="161" t="str">
        <f>IF(P$221&gt;=R$221,"Choix de club|programme sportif ou calendrier sportif","")</f>
        <v/>
      </c>
      <c r="C224" s="596" t="str">
        <f>IF(BIBLE!H136=0,"",BIBLE!H136)</f>
        <v/>
      </c>
      <c r="D224" s="1775">
        <v>3</v>
      </c>
      <c r="E224" s="1793">
        <f>'TEST_pour PROTOTYPE'!D201</f>
        <v>0</v>
      </c>
      <c r="F224" s="19"/>
      <c r="G224" s="19"/>
      <c r="H224" s="19"/>
      <c r="I224" s="19"/>
      <c r="J224" s="19"/>
      <c r="K224" s="19"/>
      <c r="L224" s="19"/>
      <c r="M224" s="19"/>
      <c r="N224" s="19"/>
      <c r="O224" s="19"/>
      <c r="P224" s="1801">
        <f t="shared" ref="P224:P228" si="85">D224*E224</f>
        <v>0</v>
      </c>
      <c r="Q224" s="25"/>
      <c r="R224" s="8"/>
      <c r="S224" s="8"/>
      <c r="T224" s="8"/>
      <c r="U224" s="8"/>
      <c r="V224" s="6"/>
      <c r="W224" s="8"/>
      <c r="X224" s="8"/>
      <c r="Y224" s="8"/>
      <c r="Z224" s="8"/>
      <c r="AA224" s="8"/>
      <c r="AB224" s="8"/>
      <c r="AC224" s="8"/>
      <c r="AE224" s="512"/>
      <c r="AF224" s="52"/>
      <c r="AG224" s="52"/>
      <c r="AH224" s="92"/>
      <c r="AI224" s="92"/>
      <c r="AJ224" s="92"/>
      <c r="AK224" s="743"/>
      <c r="AL224" s="743"/>
      <c r="AM224" s="743"/>
      <c r="AN224" s="743"/>
      <c r="AO224" s="743"/>
      <c r="AP224" s="743"/>
      <c r="AQ224" s="743"/>
      <c r="AR224" s="743"/>
    </row>
    <row r="225" spans="1:54" s="7" customFormat="1" ht="31" customHeight="1" x14ac:dyDescent="0.2">
      <c r="A225" s="1357"/>
      <c r="B225" s="161" t="str">
        <f>IF(P$221&gt;=R$221,"Soins médicaux ou dentaires","")</f>
        <v/>
      </c>
      <c r="C225" s="596"/>
      <c r="D225" s="1775">
        <v>3</v>
      </c>
      <c r="E225" s="1793">
        <f>'TEST_pour PROTOTYPE'!D202</f>
        <v>0</v>
      </c>
      <c r="F225" s="19"/>
      <c r="G225" s="19"/>
      <c r="H225" s="19"/>
      <c r="I225" s="19"/>
      <c r="J225" s="19"/>
      <c r="K225" s="19"/>
      <c r="L225" s="19"/>
      <c r="M225" s="19"/>
      <c r="N225" s="19"/>
      <c r="O225" s="19"/>
      <c r="P225" s="1801">
        <f t="shared" si="85"/>
        <v>0</v>
      </c>
      <c r="Q225" s="25"/>
      <c r="R225" s="8"/>
      <c r="S225" s="8"/>
      <c r="T225" s="8"/>
      <c r="U225" s="8"/>
      <c r="V225" s="6"/>
      <c r="W225" s="8"/>
      <c r="X225" s="8"/>
      <c r="Y225" s="8"/>
      <c r="Z225" s="8"/>
      <c r="AA225" s="8"/>
      <c r="AB225" s="8"/>
      <c r="AC225" s="8"/>
      <c r="AE225" s="512"/>
      <c r="AF225" s="52"/>
      <c r="AG225" s="52"/>
      <c r="AH225" s="92"/>
      <c r="AI225" s="92"/>
      <c r="AJ225" s="92"/>
      <c r="AK225" s="743"/>
      <c r="AL225" s="743"/>
      <c r="AM225" s="743"/>
      <c r="AN225" s="743"/>
      <c r="AO225" s="743"/>
      <c r="AP225" s="743"/>
      <c r="AQ225" s="743"/>
      <c r="AR225" s="743"/>
    </row>
    <row r="226" spans="1:54" s="7" customFormat="1" ht="31" customHeight="1" x14ac:dyDescent="0.2">
      <c r="A226" s="1357"/>
      <c r="B226" s="161" t="str">
        <f>IF(P$221&gt;=R$221,"Déménagement (forçant un changement majeur ou autres)","")</f>
        <v/>
      </c>
      <c r="C226" s="596"/>
      <c r="D226" s="1775">
        <v>10</v>
      </c>
      <c r="E226" s="1793">
        <f>'TEST_pour PROTOTYPE'!D203</f>
        <v>0</v>
      </c>
      <c r="F226" s="19"/>
      <c r="G226" s="19"/>
      <c r="H226" s="19"/>
      <c r="I226" s="19"/>
      <c r="J226" s="19"/>
      <c r="K226" s="19"/>
      <c r="L226" s="19"/>
      <c r="M226" s="19"/>
      <c r="N226" s="19"/>
      <c r="O226" s="19"/>
      <c r="P226" s="1801">
        <f t="shared" si="85"/>
        <v>0</v>
      </c>
      <c r="Q226" s="25"/>
      <c r="R226" s="8"/>
      <c r="S226" s="8"/>
      <c r="T226" s="8"/>
      <c r="U226" s="8"/>
      <c r="V226" s="6"/>
      <c r="W226" s="8"/>
      <c r="X226" s="8"/>
      <c r="Y226" s="8"/>
      <c r="Z226" s="8"/>
      <c r="AA226" s="8"/>
      <c r="AB226" s="8"/>
      <c r="AC226" s="8"/>
      <c r="AE226" s="512"/>
      <c r="AF226" s="52"/>
      <c r="AG226" s="52"/>
      <c r="AH226" s="92"/>
      <c r="AI226" s="92"/>
      <c r="AJ226" s="92"/>
      <c r="AK226" s="743"/>
      <c r="AL226" s="743"/>
      <c r="AM226" s="743"/>
      <c r="AN226" s="743"/>
      <c r="AO226" s="743"/>
      <c r="AP226" s="743"/>
      <c r="AQ226" s="743"/>
      <c r="AR226" s="743"/>
    </row>
    <row r="227" spans="1:54" s="7" customFormat="1" ht="31" customHeight="1" x14ac:dyDescent="0.2">
      <c r="A227" s="1357"/>
      <c r="B227" s="161" t="str">
        <f>IF(P$221&gt;=R$221,"Achat d'une valeur significative (auto, animal,…)","")</f>
        <v/>
      </c>
      <c r="C227" s="596"/>
      <c r="D227" s="1775">
        <v>5</v>
      </c>
      <c r="E227" s="1793">
        <f>'TEST_pour PROTOTYPE'!D204</f>
        <v>0</v>
      </c>
      <c r="F227" s="19"/>
      <c r="G227" s="19"/>
      <c r="H227" s="19"/>
      <c r="I227" s="19"/>
      <c r="J227" s="19"/>
      <c r="K227" s="19"/>
      <c r="L227" s="19"/>
      <c r="M227" s="19"/>
      <c r="N227" s="19"/>
      <c r="O227" s="19"/>
      <c r="P227" s="1801">
        <f t="shared" si="85"/>
        <v>0</v>
      </c>
      <c r="Q227" s="25"/>
      <c r="R227" s="8"/>
      <c r="S227" s="8"/>
      <c r="T227" s="8"/>
      <c r="U227" s="8"/>
      <c r="V227" s="6"/>
      <c r="W227" s="8"/>
      <c r="X227" s="8"/>
      <c r="Y227" s="8"/>
      <c r="Z227" s="8"/>
      <c r="AA227" s="8"/>
      <c r="AB227" s="8"/>
      <c r="AC227" s="8"/>
      <c r="AE227" s="512"/>
      <c r="AF227" s="52"/>
      <c r="AG227" s="52"/>
      <c r="AH227" s="92"/>
      <c r="AI227" s="92"/>
      <c r="AJ227" s="92"/>
      <c r="AK227" s="743"/>
      <c r="AL227" s="743"/>
      <c r="AM227" s="743"/>
      <c r="AN227" s="743"/>
      <c r="AO227" s="743"/>
      <c r="AP227" s="743"/>
      <c r="AQ227" s="743"/>
      <c r="AR227" s="743"/>
    </row>
    <row r="228" spans="1:54" s="7" customFormat="1" ht="31" customHeight="1" x14ac:dyDescent="0.2">
      <c r="A228" s="1357"/>
      <c r="B228" s="161" t="str">
        <f>IF(P$221&gt;=R$221,"Décisions engendrant des coûts significatifs sans votre consentement préalable","")</f>
        <v/>
      </c>
      <c r="C228" s="596"/>
      <c r="D228" s="1775">
        <v>1</v>
      </c>
      <c r="E228" s="1793">
        <f>'TEST_pour PROTOTYPE'!D205</f>
        <v>0</v>
      </c>
      <c r="F228" s="19"/>
      <c r="G228" s="19"/>
      <c r="H228" s="19"/>
      <c r="I228" s="19"/>
      <c r="J228" s="19"/>
      <c r="K228" s="19"/>
      <c r="L228" s="19"/>
      <c r="M228" s="19"/>
      <c r="N228" s="19"/>
      <c r="O228" s="19"/>
      <c r="P228" s="1801">
        <f t="shared" si="85"/>
        <v>0</v>
      </c>
      <c r="Q228" s="25"/>
      <c r="R228" s="8"/>
      <c r="S228" s="8"/>
      <c r="T228" s="8"/>
      <c r="U228" s="8"/>
      <c r="V228" s="6"/>
      <c r="W228" s="8"/>
      <c r="X228" s="8"/>
      <c r="Y228" s="8"/>
      <c r="Z228" s="8"/>
      <c r="AA228" s="8"/>
      <c r="AB228" s="8"/>
      <c r="AC228" s="8"/>
      <c r="AE228" s="512"/>
      <c r="AF228" s="52"/>
      <c r="AG228" s="52"/>
      <c r="AH228" s="92"/>
      <c r="AI228" s="92"/>
      <c r="AJ228" s="92"/>
      <c r="AK228" s="743"/>
      <c r="AL228" s="743"/>
      <c r="AM228" s="743"/>
      <c r="AN228" s="743"/>
      <c r="AO228" s="743"/>
      <c r="AP228" s="743"/>
      <c r="AQ228" s="743"/>
      <c r="AR228" s="743"/>
    </row>
    <row r="229" spans="1:54" s="7" customFormat="1" ht="31" customHeight="1" x14ac:dyDescent="0.2">
      <c r="A229" s="1357"/>
      <c r="B229" s="161" t="str">
        <f>IF(P$221&gt;=R$221,"Autre (spécifiez)","")</f>
        <v/>
      </c>
      <c r="C229" s="596"/>
      <c r="D229" s="1775" t="s">
        <v>1492</v>
      </c>
      <c r="E229" s="19"/>
      <c r="F229" s="19"/>
      <c r="G229" s="19"/>
      <c r="H229" s="19"/>
      <c r="I229" s="19"/>
      <c r="J229" s="19"/>
      <c r="K229" s="19"/>
      <c r="L229" s="19"/>
      <c r="M229" s="19"/>
      <c r="N229" s="19"/>
      <c r="O229" s="19"/>
      <c r="P229" s="1801"/>
      <c r="Q229" s="25"/>
      <c r="R229" s="8"/>
      <c r="S229" s="8"/>
      <c r="T229" s="8"/>
      <c r="U229" s="8"/>
      <c r="V229" s="6"/>
      <c r="W229" s="8"/>
      <c r="X229" s="8"/>
      <c r="Y229" s="8"/>
      <c r="Z229" s="8"/>
      <c r="AA229" s="8"/>
      <c r="AB229" s="8"/>
      <c r="AC229" s="8"/>
      <c r="AE229" s="512"/>
      <c r="AF229" s="52"/>
      <c r="AG229" s="52"/>
      <c r="AH229" s="92"/>
      <c r="AI229" s="92"/>
      <c r="AJ229" s="92"/>
      <c r="AK229" s="743"/>
      <c r="AL229" s="743"/>
      <c r="AM229" s="743"/>
      <c r="AN229" s="743"/>
      <c r="AO229" s="743"/>
      <c r="AP229" s="743"/>
      <c r="AQ229" s="743"/>
      <c r="AR229" s="743"/>
    </row>
    <row r="230" spans="1:54" s="7" customFormat="1" ht="22" customHeight="1" x14ac:dyDescent="0.2">
      <c r="A230" s="1357"/>
      <c r="B230" s="161"/>
      <c r="C230" s="596"/>
      <c r="D230" s="25"/>
      <c r="E230" s="25"/>
      <c r="F230" s="19"/>
      <c r="G230" s="19"/>
      <c r="H230" s="19"/>
      <c r="I230" s="19"/>
      <c r="J230" s="19"/>
      <c r="K230" s="19"/>
      <c r="L230" s="19"/>
      <c r="M230" s="19"/>
      <c r="N230" s="19"/>
      <c r="O230" s="19"/>
      <c r="P230" s="25"/>
      <c r="Q230" s="25"/>
      <c r="R230" s="8"/>
      <c r="S230" s="8"/>
      <c r="T230" s="8"/>
      <c r="U230" s="8"/>
      <c r="V230" s="6"/>
      <c r="W230" s="8"/>
      <c r="X230" s="8"/>
      <c r="Y230" s="8"/>
      <c r="Z230" s="8"/>
      <c r="AA230" s="8"/>
      <c r="AB230" s="8"/>
      <c r="AC230" s="8"/>
      <c r="AE230" s="512"/>
      <c r="AF230" s="52"/>
      <c r="AG230" s="52"/>
      <c r="AH230" s="92"/>
      <c r="AI230" s="92"/>
      <c r="AJ230" s="92"/>
      <c r="AK230" s="743"/>
      <c r="AL230" s="743"/>
      <c r="AM230" s="743"/>
      <c r="AN230" s="743"/>
      <c r="AO230" s="743"/>
      <c r="AP230" s="743"/>
      <c r="AQ230" s="743"/>
      <c r="AR230" s="743"/>
    </row>
    <row r="231" spans="1:54" s="7" customFormat="1" ht="39" customHeight="1" x14ac:dyDescent="0.2">
      <c r="A231" s="1357" t="str">
        <f>BIBLE!E134</f>
        <v>PFA29b</v>
      </c>
      <c r="B231" s="158" t="str">
        <f>IF(P221&gt;=R221,BIBLE!F134,"")</f>
        <v/>
      </c>
      <c r="C231" s="124" t="s">
        <v>235</v>
      </c>
      <c r="D231" s="1976">
        <v>1</v>
      </c>
      <c r="E231" s="51" t="str">
        <f>IF(P$231=D231,1,"x")</f>
        <v>x</v>
      </c>
      <c r="F231" s="19"/>
      <c r="G231" s="19"/>
      <c r="H231" s="19"/>
      <c r="I231" s="19"/>
      <c r="J231" s="19"/>
      <c r="K231" s="19"/>
      <c r="L231" s="19"/>
      <c r="M231" s="19"/>
      <c r="N231" s="19"/>
      <c r="O231" s="19"/>
      <c r="P231" s="1816">
        <f>'TEST_pour PROTOTYPE'!D206</f>
        <v>0</v>
      </c>
      <c r="Q231" s="25"/>
      <c r="R231" s="8" t="str">
        <f>IF(BIBLE!K134=0,"",BIBLE!K134)</f>
        <v/>
      </c>
      <c r="S231" s="8"/>
      <c r="T231" s="8"/>
      <c r="U231" s="8"/>
      <c r="V231" s="6"/>
      <c r="W231" s="8"/>
      <c r="X231" s="8"/>
      <c r="Y231" s="8"/>
      <c r="Z231" s="8"/>
      <c r="AA231" s="8"/>
      <c r="AB231" s="8"/>
      <c r="AC231" s="8"/>
      <c r="AE231" s="512"/>
      <c r="AF231" s="52"/>
      <c r="AG231" s="52"/>
      <c r="AH231" s="92"/>
      <c r="AI231" s="92"/>
      <c r="AJ231" s="92"/>
      <c r="AK231" s="743"/>
      <c r="AL231" s="743"/>
      <c r="AM231" s="743"/>
      <c r="AN231" s="743"/>
      <c r="AO231" s="743"/>
      <c r="AP231" s="743"/>
      <c r="AQ231" s="743"/>
      <c r="AR231" s="743"/>
    </row>
    <row r="232" spans="1:54" s="7" customFormat="1" ht="25" customHeight="1" x14ac:dyDescent="0.2">
      <c r="A232" s="1357"/>
      <c r="B232" s="158"/>
      <c r="C232" s="124" t="s">
        <v>236</v>
      </c>
      <c r="D232" s="1977">
        <v>0</v>
      </c>
      <c r="E232" s="51">
        <f>IF(P$231=D232,1,"x")</f>
        <v>1</v>
      </c>
      <c r="F232" s="19"/>
      <c r="G232" s="19"/>
      <c r="H232" s="19"/>
      <c r="I232" s="19"/>
      <c r="J232" s="19"/>
      <c r="K232" s="19"/>
      <c r="L232" s="19"/>
      <c r="M232" s="19"/>
      <c r="N232" s="19"/>
      <c r="O232" s="19"/>
      <c r="P232" s="25"/>
      <c r="Q232" s="25"/>
      <c r="R232" s="8"/>
      <c r="S232" s="8"/>
      <c r="T232" s="8"/>
      <c r="U232" s="8"/>
      <c r="V232" s="6"/>
      <c r="W232" s="8"/>
      <c r="X232" s="8"/>
      <c r="Y232" s="8"/>
      <c r="Z232" s="8"/>
      <c r="AA232" s="8"/>
      <c r="AB232" s="8"/>
      <c r="AC232" s="8"/>
      <c r="AE232" s="512"/>
      <c r="AF232" s="52"/>
      <c r="AG232" s="52"/>
      <c r="AH232" s="92"/>
      <c r="AI232" s="92"/>
      <c r="AJ232" s="92"/>
      <c r="AK232" s="743"/>
      <c r="AL232" s="743"/>
      <c r="AM232" s="743"/>
      <c r="AN232" s="743"/>
      <c r="AO232" s="743"/>
      <c r="AP232" s="743"/>
      <c r="AQ232" s="743"/>
      <c r="AR232" s="743"/>
    </row>
    <row r="233" spans="1:54" s="7" customFormat="1" ht="15" customHeight="1" x14ac:dyDescent="0.2">
      <c r="A233" s="1357"/>
      <c r="C233" s="23" t="str">
        <f>IF(BIBLE!H137=0,"",BIBLE!H137)</f>
        <v/>
      </c>
      <c r="D233" s="1527"/>
      <c r="E233" s="19"/>
      <c r="F233" s="19"/>
      <c r="G233" s="19"/>
      <c r="H233" s="19"/>
      <c r="I233" s="19"/>
      <c r="J233" s="19"/>
      <c r="K233" s="19"/>
      <c r="L233" s="19"/>
      <c r="M233" s="19"/>
      <c r="N233" s="19"/>
      <c r="O233" s="19"/>
      <c r="P233" s="25"/>
      <c r="Q233" s="25"/>
      <c r="R233" s="8"/>
      <c r="S233" s="8"/>
      <c r="T233" s="8"/>
      <c r="U233" s="8"/>
      <c r="V233" s="6"/>
      <c r="W233" s="8"/>
      <c r="X233" s="8"/>
      <c r="Y233" s="8"/>
      <c r="Z233" s="8"/>
      <c r="AA233" s="8"/>
      <c r="AB233" s="8"/>
      <c r="AC233" s="8"/>
      <c r="AE233" s="512"/>
      <c r="AF233" s="52"/>
      <c r="AG233" s="52"/>
      <c r="AH233" s="92"/>
      <c r="AI233" s="92"/>
      <c r="AJ233" s="92"/>
      <c r="AK233" s="743"/>
      <c r="AL233" s="743"/>
      <c r="AM233" s="743"/>
      <c r="AN233" s="743"/>
      <c r="AO233" s="743"/>
      <c r="AP233" s="743"/>
      <c r="AQ233" s="743"/>
      <c r="AR233" s="743"/>
    </row>
    <row r="234" spans="1:54" s="7" customFormat="1" ht="79" customHeight="1" x14ac:dyDescent="0.2">
      <c r="A234" s="1357" t="str">
        <f>BIBLE!E135</f>
        <v>PFA30</v>
      </c>
      <c r="B234" s="157" t="str">
        <f>IF(OR($P$53&gt;=$R$53,$P$59&gt;=3),BIBLE!F135,"")</f>
        <v>L’autre parent incite, consciemment ou inconsciemment, votre enfant à choisir entre ses deux parents.</v>
      </c>
      <c r="C234" s="498" t="str">
        <f>BIBLE!O135</f>
        <v>Nulle / Très faible / Faible / Moyenne / Élevée / Très élevée / S.O.</v>
      </c>
      <c r="D234" s="1527">
        <f>BIBLE!L135</f>
        <v>3</v>
      </c>
      <c r="E234" s="19"/>
      <c r="F234" s="19"/>
      <c r="G234" s="19"/>
      <c r="H234" s="19"/>
      <c r="I234" s="19"/>
      <c r="J234" s="19">
        <v>1</v>
      </c>
      <c r="K234" s="19"/>
      <c r="L234" s="19"/>
      <c r="M234" s="19"/>
      <c r="N234" s="19"/>
      <c r="O234" s="19"/>
      <c r="P234" s="1877">
        <f>'TEST_pour PROTOTYPE'!D207</f>
        <v>0</v>
      </c>
      <c r="Q234" s="25">
        <f>P234*D234</f>
        <v>0</v>
      </c>
      <c r="R234" s="8">
        <f>IF(BIBLE!K135=0,"",BIBLE!K135)</f>
        <v>4</v>
      </c>
      <c r="S234" s="298"/>
      <c r="T234" s="298"/>
      <c r="U234" s="298"/>
      <c r="V234" s="6">
        <f>MAX(AS234:AS236)</f>
        <v>0</v>
      </c>
      <c r="W234" s="8"/>
      <c r="X234" s="6">
        <f t="shared" ref="X234:AC234" si="86">MAX(AU234:AU236)</f>
        <v>0</v>
      </c>
      <c r="Y234" s="6">
        <f t="shared" si="86"/>
        <v>0</v>
      </c>
      <c r="Z234" s="6">
        <f t="shared" si="86"/>
        <v>0</v>
      </c>
      <c r="AA234" s="6">
        <f t="shared" si="86"/>
        <v>0</v>
      </c>
      <c r="AB234" s="6">
        <f t="shared" si="86"/>
        <v>0</v>
      </c>
      <c r="AC234" s="6">
        <f t="shared" si="86"/>
        <v>0</v>
      </c>
      <c r="AE234" s="512"/>
      <c r="AF234" s="52"/>
      <c r="AG234" s="52"/>
      <c r="AH234" s="92">
        <f>IF($Q234=$V234,$Q234*BIBLE!S136,IF(Test_Bible!$Q235=Test_Bible!$V234,Test_Bible!$Q235*BIBLE!S137,Test_Bible!$Q236*BIBLE!S138))</f>
        <v>0</v>
      </c>
      <c r="AI234" s="92">
        <f>IF($Q234=$V234,$Q234*BIBLE!T136,IF(Test_Bible!$Q235=Test_Bible!$V234,Test_Bible!$Q235*BIBLE!T137,Test_Bible!$Q236*BIBLE!T138))</f>
        <v>0</v>
      </c>
      <c r="AJ234" s="92">
        <f>IF($Q234=$V234,$Q234*BIBLE!U136,IF(Test_Bible!$Q235=Test_Bible!$V234,Test_Bible!$Q235*BIBLE!U137,Test_Bible!$Q236*BIBLE!U138))</f>
        <v>0</v>
      </c>
      <c r="AK234" s="743">
        <f>IF($Q234=$V234,$Q234*BIBLE!W136,IF(Test_Bible!$Q235=Test_Bible!$V234,Test_Bible!$Q235*BIBLE!W137,Test_Bible!$Q236*BIBLE!W138))</f>
        <v>0</v>
      </c>
      <c r="AL234" s="743">
        <f>IF($Q234=$V234,$Q234*BIBLE!X136,IF(Test_Bible!$Q235=Test_Bible!$V234,Test_Bible!$Q235*BIBLE!X137,Test_Bible!$Q236*BIBLE!X138))</f>
        <v>0</v>
      </c>
      <c r="AM234" s="743">
        <f>IF($Q234=$V234,$Q234*BIBLE!Y136,IF(Test_Bible!$Q235=Test_Bible!$V234,Test_Bible!$Q235*BIBLE!Y137,Test_Bible!$Q236*BIBLE!Y138))</f>
        <v>0</v>
      </c>
      <c r="AN234" s="743">
        <f>IF($Q234=$V234,$Q234*BIBLE!Z136,IF(Test_Bible!$Q235=Test_Bible!$V234,Test_Bible!$Q235*BIBLE!Z137,Test_Bible!$Q236*BIBLE!Z138))</f>
        <v>0</v>
      </c>
      <c r="AO234" s="743">
        <f>IF($Q234=$V234,$Q234*BIBLE!AA136,IF(Test_Bible!$Q235=Test_Bible!$V234,Test_Bible!$Q235*BIBLE!AA137,Test_Bible!$Q236*BIBLE!AA138))</f>
        <v>0</v>
      </c>
      <c r="AP234" s="743">
        <f>IF($Q234=$V234,$Q234*BIBLE!AB136,IF(Test_Bible!$Q235=Test_Bible!$V234,Test_Bible!$Q235*BIBLE!AB137,Test_Bible!$Q236*BIBLE!AB138))</f>
        <v>0</v>
      </c>
      <c r="AQ234" s="743">
        <f>IF($Q234=$V234,$Q234*BIBLE!AC136,IF(Test_Bible!$Q235=Test_Bible!$V234,Test_Bible!$Q235*BIBLE!AC137,Test_Bible!$Q236*BIBLE!AC138))</f>
        <v>0</v>
      </c>
      <c r="AR234" s="743">
        <f>IF($Q234=$V234,$Q234*BIBLE!AD136,IF(Test_Bible!$Q235=Test_Bible!$V234,Test_Bible!$Q235*BIBLE!AD137,Test_Bible!$Q236*BIBLE!AD138))</f>
        <v>0</v>
      </c>
      <c r="AS234" s="6">
        <f>Q234</f>
        <v>0</v>
      </c>
      <c r="AT234" s="298"/>
      <c r="AU234" s="6">
        <f t="shared" ref="AU234:AZ236" si="87">IF($Q234&gt;0,X$109*$D234,0)</f>
        <v>0</v>
      </c>
      <c r="AV234" s="6">
        <f t="shared" si="87"/>
        <v>0</v>
      </c>
      <c r="AW234" s="6">
        <f t="shared" si="87"/>
        <v>0</v>
      </c>
      <c r="AX234" s="6">
        <f t="shared" si="87"/>
        <v>0</v>
      </c>
      <c r="AY234" s="6">
        <f t="shared" si="87"/>
        <v>0</v>
      </c>
      <c r="AZ234" s="6">
        <f t="shared" si="87"/>
        <v>0</v>
      </c>
    </row>
    <row r="235" spans="1:54" s="7" customFormat="1" ht="79" customHeight="1" x14ac:dyDescent="0.2">
      <c r="A235" s="1357" t="str">
        <f>BIBLE!E136</f>
        <v>PFA30a</v>
      </c>
      <c r="B235" s="158" t="str">
        <f>IF(P234&gt;=R234,BIBLE!F136,"")</f>
        <v/>
      </c>
      <c r="C235" s="498" t="str">
        <f>BIBLE!O136</f>
        <v>Nulle / Très faible / Faible / Moyenne / Élevée / Très élevée / S.O.</v>
      </c>
      <c r="D235" s="1527">
        <f>BIBLE!L136</f>
        <v>3</v>
      </c>
      <c r="E235" s="19"/>
      <c r="F235" s="19"/>
      <c r="G235" s="19"/>
      <c r="H235" s="19"/>
      <c r="I235" s="19"/>
      <c r="J235" s="19">
        <v>1</v>
      </c>
      <c r="K235" s="19"/>
      <c r="L235" s="19"/>
      <c r="M235" s="19"/>
      <c r="N235" s="19"/>
      <c r="O235" s="19"/>
      <c r="P235" s="1877">
        <f>'TEST_pour PROTOTYPE'!D208</f>
        <v>0</v>
      </c>
      <c r="Q235" s="25">
        <f>P235*D235</f>
        <v>0</v>
      </c>
      <c r="R235" s="8">
        <f>IF(BIBLE!K136=0,"",BIBLE!K136)</f>
        <v>4</v>
      </c>
      <c r="S235" s="298"/>
      <c r="T235" s="298"/>
      <c r="U235" s="298"/>
      <c r="V235" s="8"/>
      <c r="AE235" s="512"/>
      <c r="AF235" s="52"/>
      <c r="AG235" s="52"/>
      <c r="AH235" s="92"/>
      <c r="AI235" s="92"/>
      <c r="AJ235" s="92"/>
      <c r="AK235" s="743"/>
      <c r="AL235" s="743"/>
      <c r="AM235" s="743"/>
      <c r="AN235" s="743"/>
      <c r="AO235" s="743"/>
      <c r="AP235" s="743"/>
      <c r="AQ235" s="743"/>
      <c r="AR235" s="743"/>
      <c r="AS235" s="6">
        <f>Q235</f>
        <v>0</v>
      </c>
      <c r="AT235" s="298"/>
      <c r="AU235" s="6">
        <f t="shared" si="87"/>
        <v>0</v>
      </c>
      <c r="AV235" s="6">
        <f t="shared" si="87"/>
        <v>0</v>
      </c>
      <c r="AW235" s="6">
        <f t="shared" si="87"/>
        <v>0</v>
      </c>
      <c r="AX235" s="6">
        <f t="shared" si="87"/>
        <v>0</v>
      </c>
      <c r="AY235" s="6">
        <f t="shared" si="87"/>
        <v>0</v>
      </c>
      <c r="AZ235" s="6">
        <f t="shared" si="87"/>
        <v>0</v>
      </c>
      <c r="BB235" s="17" t="s">
        <v>527</v>
      </c>
    </row>
    <row r="236" spans="1:54" s="7" customFormat="1" ht="79" customHeight="1" x14ac:dyDescent="0.2">
      <c r="A236" s="1357" t="str">
        <f>BIBLE!E137</f>
        <v>PFA30a1</v>
      </c>
      <c r="B236" s="1372" t="str">
        <f>IF(AND(P235&gt;=R235,$P$181=0,$P$188=0),BIBLE!F137,"")</f>
        <v/>
      </c>
      <c r="C236" s="498" t="str">
        <f>BIBLE!O137</f>
        <v xml:space="preserve">Jamais / Rarement / Occasionnellement / Régulièrement / Souvent / Toujours / S.O. </v>
      </c>
      <c r="D236" s="1527">
        <f>BIBLE!L137</f>
        <v>3</v>
      </c>
      <c r="E236" s="19"/>
      <c r="F236" s="19"/>
      <c r="G236" s="19"/>
      <c r="H236" s="19"/>
      <c r="I236" s="19"/>
      <c r="J236" s="19"/>
      <c r="K236" s="19"/>
      <c r="L236" s="19"/>
      <c r="M236" s="19"/>
      <c r="N236" s="19"/>
      <c r="O236" s="19"/>
      <c r="P236" s="1877">
        <f>'TEST_pour PROTOTYPE'!D209</f>
        <v>0</v>
      </c>
      <c r="Q236" s="25">
        <f>P236*D236</f>
        <v>0</v>
      </c>
      <c r="R236" s="8" t="str">
        <f>IF(BIBLE!K137=0,"",BIBLE!K137)</f>
        <v/>
      </c>
      <c r="S236" s="298"/>
      <c r="T236" s="298"/>
      <c r="U236" s="298"/>
      <c r="V236" s="8"/>
      <c r="AE236" s="484">
        <f>Q236</f>
        <v>0</v>
      </c>
      <c r="AF236" s="2052"/>
      <c r="AG236" s="2052"/>
      <c r="AH236" s="25"/>
      <c r="AI236" s="25"/>
      <c r="AJ236" s="25"/>
      <c r="AK236" s="1460"/>
      <c r="AL236" s="1460"/>
      <c r="AM236" s="1460"/>
      <c r="AN236" s="1460"/>
      <c r="AO236" s="1460"/>
      <c r="AP236" s="1460"/>
      <c r="AQ236" s="1460"/>
      <c r="AR236" s="1460"/>
      <c r="AS236" s="6">
        <f>Q236</f>
        <v>0</v>
      </c>
      <c r="AT236" s="298"/>
      <c r="AU236" s="6">
        <f t="shared" si="87"/>
        <v>0</v>
      </c>
      <c r="AV236" s="6">
        <f t="shared" si="87"/>
        <v>0</v>
      </c>
      <c r="AW236" s="6">
        <f t="shared" si="87"/>
        <v>0</v>
      </c>
      <c r="AX236" s="6">
        <f t="shared" si="87"/>
        <v>0</v>
      </c>
      <c r="AY236" s="6">
        <f t="shared" si="87"/>
        <v>0</v>
      </c>
      <c r="AZ236" s="6">
        <f t="shared" si="87"/>
        <v>0</v>
      </c>
    </row>
    <row r="237" spans="1:54" s="7" customFormat="1" ht="55.5" customHeight="1" x14ac:dyDescent="0.2">
      <c r="A237" s="1357" t="str">
        <f>BIBLE!E138</f>
        <v>PFA30a2</v>
      </c>
      <c r="B237" s="158" t="str">
        <f>IF(P235&gt;=R235,BIBLE!F138,"")</f>
        <v/>
      </c>
      <c r="C237" s="23"/>
      <c r="D237" s="1527"/>
      <c r="E237" s="8"/>
      <c r="F237" s="19"/>
      <c r="G237" s="19"/>
      <c r="H237" s="19"/>
      <c r="I237" s="19"/>
      <c r="J237" s="19"/>
      <c r="K237" s="19"/>
      <c r="L237" s="19"/>
      <c r="M237" s="19"/>
      <c r="N237" s="19"/>
      <c r="O237" s="1879" t="s">
        <v>1619</v>
      </c>
      <c r="P237" s="25">
        <f>SUM(P238:P241)</f>
        <v>0</v>
      </c>
      <c r="Q237" s="25"/>
      <c r="R237" s="8" t="str">
        <f>IF(BIBLE!K138=0,"",BIBLE!K138)</f>
        <v/>
      </c>
      <c r="S237" s="298"/>
      <c r="T237" s="298"/>
      <c r="U237" s="298"/>
      <c r="V237" s="6"/>
      <c r="W237" s="298"/>
      <c r="X237" s="8"/>
      <c r="Y237" s="8"/>
      <c r="Z237" s="8"/>
      <c r="AA237" s="8"/>
      <c r="AB237" s="8"/>
      <c r="AC237" s="8"/>
      <c r="AE237" s="512"/>
      <c r="AF237" s="52"/>
      <c r="AG237" s="52"/>
      <c r="AH237" s="92"/>
      <c r="AI237" s="92"/>
      <c r="AJ237" s="92"/>
      <c r="AK237" s="743"/>
      <c r="AL237" s="743"/>
      <c r="AM237" s="743"/>
      <c r="AN237" s="743"/>
      <c r="AO237" s="743"/>
      <c r="AP237" s="743"/>
      <c r="AQ237" s="743"/>
      <c r="AR237" s="743"/>
    </row>
    <row r="238" spans="1:54" s="7" customFormat="1" ht="46" customHeight="1" x14ac:dyDescent="0.2">
      <c r="A238" s="1357"/>
      <c r="B238" s="161" t="str">
        <f>IF(P235&gt;=R235,"Changement d'école ou d'équipe sportive (rupture d'environnement de l'enfant, problème de transport","")</f>
        <v/>
      </c>
      <c r="C238" s="23"/>
      <c r="D238" s="1775">
        <v>10</v>
      </c>
      <c r="E238" s="1793">
        <f>'TEST_pour PROTOTYPE'!D210</f>
        <v>0</v>
      </c>
      <c r="F238" s="19"/>
      <c r="G238" s="19"/>
      <c r="H238" s="19"/>
      <c r="I238" s="19"/>
      <c r="J238" s="19"/>
      <c r="K238" s="19"/>
      <c r="L238" s="19"/>
      <c r="M238" s="19"/>
      <c r="N238" s="19"/>
      <c r="O238" s="19"/>
      <c r="P238" s="1789">
        <f>D238*E238</f>
        <v>0</v>
      </c>
      <c r="Q238" s="25"/>
      <c r="R238" s="8"/>
      <c r="S238" s="298"/>
      <c r="T238" s="298"/>
      <c r="U238" s="298"/>
      <c r="V238" s="6"/>
      <c r="W238" s="298"/>
      <c r="X238" s="8"/>
      <c r="Y238" s="8"/>
      <c r="Z238" s="8"/>
      <c r="AA238" s="8"/>
      <c r="AB238" s="8"/>
      <c r="AC238" s="8"/>
      <c r="AE238" s="512"/>
      <c r="AF238" s="52"/>
      <c r="AG238" s="52"/>
      <c r="AH238" s="92"/>
      <c r="AI238" s="92"/>
      <c r="AJ238" s="92"/>
      <c r="AK238" s="743"/>
      <c r="AL238" s="743"/>
      <c r="AM238" s="743"/>
      <c r="AN238" s="743"/>
      <c r="AO238" s="743"/>
      <c r="AP238" s="743"/>
      <c r="AQ238" s="743"/>
      <c r="AR238" s="743"/>
    </row>
    <row r="239" spans="1:54" s="7" customFormat="1" ht="32" customHeight="1" x14ac:dyDescent="0.2">
      <c r="A239" s="1357"/>
      <c r="B239" s="161" t="str">
        <f>IF(P235&gt;=R235,"Changement de nom","")</f>
        <v/>
      </c>
      <c r="C239" s="23"/>
      <c r="D239" s="1775">
        <v>10</v>
      </c>
      <c r="E239" s="1793">
        <f>'TEST_pour PROTOTYPE'!D211</f>
        <v>0</v>
      </c>
      <c r="F239" s="19"/>
      <c r="G239" s="19"/>
      <c r="H239" s="19"/>
      <c r="I239" s="19"/>
      <c r="J239" s="19"/>
      <c r="K239" s="19"/>
      <c r="L239" s="19"/>
      <c r="M239" s="19"/>
      <c r="N239" s="19"/>
      <c r="O239" s="19"/>
      <c r="P239" s="1789">
        <f t="shared" ref="P239:P241" si="88">D239*E239</f>
        <v>0</v>
      </c>
      <c r="Q239" s="25"/>
      <c r="R239" s="8"/>
      <c r="S239" s="298"/>
      <c r="T239" s="298"/>
      <c r="U239" s="298"/>
      <c r="V239" s="6"/>
      <c r="W239" s="298"/>
      <c r="X239" s="8"/>
      <c r="Y239" s="8"/>
      <c r="Z239" s="8"/>
      <c r="AA239" s="8"/>
      <c r="AB239" s="8"/>
      <c r="AC239" s="8"/>
      <c r="AE239" s="512"/>
      <c r="AF239" s="52"/>
      <c r="AG239" s="52"/>
      <c r="AH239" s="92"/>
      <c r="AI239" s="92"/>
      <c r="AJ239" s="92"/>
      <c r="AK239" s="743"/>
      <c r="AL239" s="743"/>
      <c r="AM239" s="743"/>
      <c r="AN239" s="743"/>
      <c r="AO239" s="743"/>
      <c r="AP239" s="743"/>
      <c r="AQ239" s="743"/>
      <c r="AR239" s="743"/>
    </row>
    <row r="240" spans="1:54" s="7" customFormat="1" ht="42" customHeight="1" x14ac:dyDescent="0.2">
      <c r="A240" s="1357"/>
      <c r="B240" s="161" t="str">
        <f>IF(P235&gt;=R235,"Éloignement physique (ex.: déménagement causant un changement d’école, perte d’amis, etc.)","")</f>
        <v/>
      </c>
      <c r="C240" s="23"/>
      <c r="D240" s="1775">
        <v>10</v>
      </c>
      <c r="E240" s="1793">
        <f>'TEST_pour PROTOTYPE'!D212</f>
        <v>0</v>
      </c>
      <c r="F240" s="19"/>
      <c r="G240" s="19"/>
      <c r="H240" s="19"/>
      <c r="I240" s="19"/>
      <c r="J240" s="19"/>
      <c r="K240" s="19"/>
      <c r="L240" s="19"/>
      <c r="M240" s="19"/>
      <c r="N240" s="19"/>
      <c r="O240" s="19"/>
      <c r="P240" s="1789">
        <f t="shared" si="88"/>
        <v>0</v>
      </c>
      <c r="Q240" s="25"/>
      <c r="R240" s="8"/>
      <c r="S240" s="298"/>
      <c r="T240" s="298"/>
      <c r="U240" s="298"/>
      <c r="V240" s="6"/>
      <c r="W240" s="298"/>
      <c r="X240" s="8"/>
      <c r="Y240" s="8"/>
      <c r="Z240" s="8"/>
      <c r="AA240" s="8"/>
      <c r="AB240" s="8"/>
      <c r="AC240" s="8"/>
      <c r="AE240" s="512"/>
      <c r="AF240" s="52"/>
      <c r="AG240" s="52"/>
      <c r="AH240" s="92"/>
      <c r="AI240" s="92"/>
      <c r="AJ240" s="92"/>
      <c r="AK240" s="743"/>
      <c r="AL240" s="743"/>
      <c r="AM240" s="743"/>
      <c r="AN240" s="743"/>
      <c r="AO240" s="743"/>
      <c r="AP240" s="743"/>
      <c r="AQ240" s="743"/>
      <c r="AR240" s="743"/>
    </row>
    <row r="241" spans="1:54" s="7" customFormat="1" ht="47" customHeight="1" x14ac:dyDescent="0.2">
      <c r="A241" s="1357"/>
      <c r="B241" s="161" t="str">
        <f>IF(P235&gt;=R235,"Manœuvre pour vous isoler de l’entourage de votre enfant (cercle d'influence inaccessible : professeur, entraîneur, parents des amis, etc.)","")</f>
        <v/>
      </c>
      <c r="C241" s="23"/>
      <c r="D241" s="1775">
        <v>10</v>
      </c>
      <c r="E241" s="1793">
        <f>'TEST_pour PROTOTYPE'!D213</f>
        <v>0</v>
      </c>
      <c r="F241" s="19"/>
      <c r="G241" s="19"/>
      <c r="H241" s="19"/>
      <c r="I241" s="19"/>
      <c r="J241" s="19"/>
      <c r="K241" s="19"/>
      <c r="L241" s="19"/>
      <c r="M241" s="19"/>
      <c r="N241" s="19"/>
      <c r="O241" s="19"/>
      <c r="P241" s="1789">
        <f t="shared" si="88"/>
        <v>0</v>
      </c>
      <c r="Q241" s="25"/>
      <c r="R241" s="8"/>
      <c r="S241" s="298"/>
      <c r="T241" s="298"/>
      <c r="U241" s="298"/>
      <c r="V241" s="6"/>
      <c r="W241" s="298"/>
      <c r="X241" s="8"/>
      <c r="Y241" s="8"/>
      <c r="Z241" s="8"/>
      <c r="AA241" s="8"/>
      <c r="AB241" s="8"/>
      <c r="AC241" s="8"/>
      <c r="AE241" s="512"/>
      <c r="AF241" s="52"/>
      <c r="AG241" s="52"/>
      <c r="AH241" s="92"/>
      <c r="AI241" s="92"/>
      <c r="AJ241" s="92"/>
      <c r="AK241" s="743"/>
      <c r="AL241" s="743"/>
      <c r="AM241" s="743"/>
      <c r="AN241" s="743"/>
      <c r="AO241" s="743"/>
      <c r="AP241" s="743"/>
      <c r="AQ241" s="743"/>
      <c r="AR241" s="743"/>
    </row>
    <row r="242" spans="1:54" s="7" customFormat="1" ht="38" customHeight="1" x14ac:dyDescent="0.2">
      <c r="A242" s="1357"/>
      <c r="B242" s="161" t="str">
        <f>IF(P235&gt;=R235,"Autre (spécifiez)","")</f>
        <v/>
      </c>
      <c r="C242" s="23"/>
      <c r="D242" s="1775" t="s">
        <v>1492</v>
      </c>
      <c r="E242" s="19"/>
      <c r="F242" s="19"/>
      <c r="G242" s="19"/>
      <c r="H242" s="19"/>
      <c r="I242" s="19"/>
      <c r="J242" s="19"/>
      <c r="K242" s="19"/>
      <c r="L242" s="19"/>
      <c r="M242" s="19"/>
      <c r="N242" s="19"/>
      <c r="O242" s="19"/>
      <c r="P242" s="1789"/>
      <c r="Q242" s="25"/>
      <c r="R242" s="8"/>
      <c r="S242" s="298"/>
      <c r="T242" s="298"/>
      <c r="U242" s="298"/>
      <c r="V242" s="6"/>
      <c r="W242" s="298"/>
      <c r="X242" s="8"/>
      <c r="Y242" s="8"/>
      <c r="Z242" s="8"/>
      <c r="AA242" s="8"/>
      <c r="AB242" s="8"/>
      <c r="AC242" s="8"/>
      <c r="AE242" s="512"/>
      <c r="AF242" s="52"/>
      <c r="AG242" s="52"/>
      <c r="AH242" s="92"/>
      <c r="AI242" s="92"/>
      <c r="AJ242" s="92"/>
      <c r="AK242" s="743"/>
      <c r="AL242" s="743"/>
      <c r="AM242" s="743"/>
      <c r="AN242" s="743"/>
      <c r="AO242" s="743"/>
      <c r="AP242" s="743"/>
      <c r="AQ242" s="743"/>
      <c r="AR242" s="743"/>
    </row>
    <row r="243" spans="1:54" s="7" customFormat="1" ht="75" customHeight="1" x14ac:dyDescent="0.2">
      <c r="A243" s="1357" t="str">
        <f>BIBLE!E139</f>
        <v>PFA31</v>
      </c>
      <c r="B243" s="503" t="str">
        <f>BIBLE!F139</f>
        <v xml:space="preserve">Dans quelle mesure diriez-vous que l'autre parent accepte ou vit bien avec la séparation (de couple ou familiale) ? </v>
      </c>
      <c r="C243" s="1600" t="str">
        <f>BIBLE!O139</f>
        <v>Totalement / Grandement / Moyennement / Un peu / Très peu / Pas du tout / S.O.</v>
      </c>
      <c r="D243" s="1978">
        <f>IF(P243&lt;=2,BIBLE!M139,BIBLE!L139)</f>
        <v>1</v>
      </c>
      <c r="E243" s="19">
        <v>1</v>
      </c>
      <c r="F243" s="19"/>
      <c r="G243" s="19"/>
      <c r="H243" s="19"/>
      <c r="I243" s="19"/>
      <c r="J243" s="19"/>
      <c r="K243" s="19"/>
      <c r="L243" s="19"/>
      <c r="M243" s="19"/>
      <c r="N243" s="19"/>
      <c r="O243" s="19"/>
      <c r="P243" s="1877">
        <f>'TEST_pour PROTOTYPE'!D214</f>
        <v>7</v>
      </c>
      <c r="Q243" s="24">
        <f t="shared" ref="Q243:Q249" si="89">P243*D243</f>
        <v>7</v>
      </c>
      <c r="R243" s="8">
        <f>IF(BIBLE!K139=0,"",BIBLE!K139)</f>
        <v>4</v>
      </c>
      <c r="S243" s="8"/>
      <c r="T243" s="8"/>
      <c r="U243" s="8"/>
      <c r="V243" s="6">
        <f>MAX(AS243:AS245)</f>
        <v>8</v>
      </c>
      <c r="W243" s="8"/>
      <c r="X243" s="8">
        <f t="shared" ref="X243:AC243" si="90">MAX(AU243:AU245)</f>
        <v>0</v>
      </c>
      <c r="Y243" s="8">
        <f t="shared" si="90"/>
        <v>2</v>
      </c>
      <c r="Z243" s="8">
        <f t="shared" si="90"/>
        <v>4</v>
      </c>
      <c r="AA243" s="8">
        <f t="shared" si="90"/>
        <v>8</v>
      </c>
      <c r="AB243" s="8">
        <f t="shared" si="90"/>
        <v>14</v>
      </c>
      <c r="AC243" s="8">
        <f t="shared" si="90"/>
        <v>20</v>
      </c>
      <c r="AD243" s="8"/>
      <c r="AE243" s="512"/>
      <c r="AF243" s="52"/>
      <c r="AG243" s="52"/>
      <c r="AH243" s="92">
        <f>IF($Q243=$V243,$Q243*BIBLE!S139,IF(Test_Bible!$Q244=Test_Bible!$V243,Test_Bible!$Q244*BIBLE!S140,Test_Bible!$Q245*BIBLE!S141))</f>
        <v>0</v>
      </c>
      <c r="AI243" s="92">
        <f>IF($Q243=$V243,$Q243*BIBLE!T139,IF(Test_Bible!$Q244=Test_Bible!$V243,Test_Bible!$Q244*BIBLE!T140,Test_Bible!$Q245*BIBLE!T141))</f>
        <v>8</v>
      </c>
      <c r="AJ243" s="92">
        <f>IF($Q243=$V243,$Q243*BIBLE!U139,IF(Test_Bible!$Q244=Test_Bible!$V243,Test_Bible!$Q244*BIBLE!U140,Test_Bible!$Q245*BIBLE!U141))</f>
        <v>0</v>
      </c>
      <c r="AK243" s="1458">
        <f>IF($Q243=$V243,$Q243*BIBLE!W139,IF(Test_Bible!$Q244=Test_Bible!$V243,Test_Bible!$Q244*BIBLE!W140,Test_Bible!$Q245*BIBLE!W141))</f>
        <v>0</v>
      </c>
      <c r="AL243" s="1458">
        <f>IF($Q243=$V243,$Q243*BIBLE!X139,IF(Test_Bible!$Q244=Test_Bible!$V243,Test_Bible!$Q244*BIBLE!X140,Test_Bible!$Q245*BIBLE!X141))</f>
        <v>0</v>
      </c>
      <c r="AM243" s="1458">
        <f>IF($Q243=$V243,$Q243*BIBLE!Y139,IF(Test_Bible!$Q244=Test_Bible!$V243,Test_Bible!$Q244*BIBLE!Y140,Test_Bible!$Q245*BIBLE!Y141))</f>
        <v>0</v>
      </c>
      <c r="AN243" s="1458">
        <f>IF($Q243=$V243,$Q243*BIBLE!Z139,IF(Test_Bible!$Q244=Test_Bible!$V243,Test_Bible!$Q244*BIBLE!Z140,Test_Bible!$Q245*BIBLE!Z141))</f>
        <v>0</v>
      </c>
      <c r="AO243" s="1458">
        <f>IF($Q243=$V243,$Q243*BIBLE!AA139,IF(Test_Bible!$Q244=Test_Bible!$V243,Test_Bible!$Q244*BIBLE!AA140,Test_Bible!$Q245*BIBLE!AA141))</f>
        <v>0</v>
      </c>
      <c r="AP243" s="1458">
        <f>IF($Q243=$V243,$Q243*BIBLE!AB139,IF(Test_Bible!$Q244=Test_Bible!$V243,Test_Bible!$Q244*BIBLE!AB140,Test_Bible!$Q245*BIBLE!AB141))</f>
        <v>0</v>
      </c>
      <c r="AQ243" s="1458">
        <f>IF($Q243=$V243,$Q243*BIBLE!AC139,IF(Test_Bible!$Q244=Test_Bible!$V243,Test_Bible!$Q244*BIBLE!AC140,Test_Bible!$Q245*BIBLE!AC141))</f>
        <v>8</v>
      </c>
      <c r="AR243" s="1458">
        <f>IF($Q243=$V243,$Q243*BIBLE!AD139,IF(Test_Bible!$Q244=Test_Bible!$V243,Test_Bible!$Q244*BIBLE!AD140,Test_Bible!$Q245*BIBLE!AD141))</f>
        <v>0</v>
      </c>
      <c r="AS243" s="6">
        <f>Q243</f>
        <v>7</v>
      </c>
      <c r="AT243" s="298"/>
      <c r="AU243" s="6">
        <f t="shared" ref="AU243:AZ245" si="91">IF($Q243&gt;0,X$109*$D243,0)</f>
        <v>0</v>
      </c>
      <c r="AV243" s="6">
        <f t="shared" si="91"/>
        <v>1</v>
      </c>
      <c r="AW243" s="6">
        <f t="shared" si="91"/>
        <v>2</v>
      </c>
      <c r="AX243" s="6">
        <f t="shared" si="91"/>
        <v>4</v>
      </c>
      <c r="AY243" s="6">
        <f t="shared" si="91"/>
        <v>7</v>
      </c>
      <c r="AZ243" s="6">
        <f t="shared" si="91"/>
        <v>10</v>
      </c>
    </row>
    <row r="244" spans="1:54" s="7" customFormat="1" ht="75" customHeight="1" x14ac:dyDescent="0.2">
      <c r="A244" s="1357" t="str">
        <f>BIBLE!E140</f>
        <v>PFA31a</v>
      </c>
      <c r="B244" s="309" t="str">
        <f>IF(P243&gt;=R243,BIBLE!F140,"")</f>
        <v>L’autre parent confie à votre enfant sa peine concernant la séparation.</v>
      </c>
      <c r="C244" s="1600" t="str">
        <f>BIBLE!O140</f>
        <v>Nulle / Très faible / Faible / Moyenne / Élevée / Très élevée / S.O.</v>
      </c>
      <c r="D244" s="1527">
        <f>BIBLE!L140</f>
        <v>2</v>
      </c>
      <c r="E244" s="19"/>
      <c r="F244" s="19"/>
      <c r="G244" s="19"/>
      <c r="H244" s="19"/>
      <c r="I244" s="19"/>
      <c r="J244" s="19"/>
      <c r="K244" s="19"/>
      <c r="L244" s="19"/>
      <c r="M244" s="19"/>
      <c r="N244" s="19"/>
      <c r="O244" s="19"/>
      <c r="P244" s="1877">
        <f>'TEST_pour PROTOTYPE'!D215</f>
        <v>4</v>
      </c>
      <c r="Q244" s="24">
        <f t="shared" si="89"/>
        <v>8</v>
      </c>
      <c r="R244" s="8">
        <f>IF(BIBLE!K140=0,"",BIBLE!K140)</f>
        <v>4</v>
      </c>
      <c r="S244" s="8"/>
      <c r="T244" s="8"/>
      <c r="U244" s="8"/>
      <c r="V244" s="8"/>
      <c r="W244" s="8"/>
      <c r="X244" s="8"/>
      <c r="Y244" s="8"/>
      <c r="Z244" s="8"/>
      <c r="AA244" s="8"/>
      <c r="AB244" s="8"/>
      <c r="AC244" s="8"/>
      <c r="AD244" s="8"/>
      <c r="AE244" s="512"/>
      <c r="AF244" s="52"/>
      <c r="AG244" s="52"/>
      <c r="AH244" s="92"/>
      <c r="AI244" s="92"/>
      <c r="AJ244" s="92"/>
      <c r="AK244" s="743"/>
      <c r="AL244" s="743"/>
      <c r="AM244" s="743"/>
      <c r="AN244" s="743"/>
      <c r="AO244" s="743"/>
      <c r="AP244" s="743"/>
      <c r="AQ244" s="743"/>
      <c r="AR244" s="743"/>
      <c r="AS244" s="6">
        <f>Q244</f>
        <v>8</v>
      </c>
      <c r="AT244" s="298"/>
      <c r="AU244" s="6">
        <f t="shared" si="91"/>
        <v>0</v>
      </c>
      <c r="AV244" s="6">
        <f t="shared" si="91"/>
        <v>2</v>
      </c>
      <c r="AW244" s="6">
        <f t="shared" si="91"/>
        <v>4</v>
      </c>
      <c r="AX244" s="6">
        <f t="shared" si="91"/>
        <v>8</v>
      </c>
      <c r="AY244" s="6">
        <f t="shared" si="91"/>
        <v>14</v>
      </c>
      <c r="AZ244" s="6">
        <f t="shared" si="91"/>
        <v>20</v>
      </c>
      <c r="BB244" s="17" t="s">
        <v>527</v>
      </c>
    </row>
    <row r="245" spans="1:54" s="7" customFormat="1" ht="75" customHeight="1" x14ac:dyDescent="0.2">
      <c r="A245" s="1357" t="str">
        <f>BIBLE!E141</f>
        <v>PFA31a1</v>
      </c>
      <c r="B245" s="309" t="str">
        <f>IF(P244&gt;=R244,BIBLE!F141,"")</f>
        <v>Dans quelle mesure diriez-vous que l'autre parent se confie à votre enfant sur des sujets qui vous sont personnels ou qui concernent votre passé (intime) ?</v>
      </c>
      <c r="C245" s="1600" t="str">
        <f>BIBLE!O141</f>
        <v xml:space="preserve">Jamais / Rarement / Occasionnellement / Régulièrement / Souvent / Toujours / S.O. </v>
      </c>
      <c r="D245" s="1527">
        <f>BIBLE!L141</f>
        <v>2</v>
      </c>
      <c r="E245" s="19"/>
      <c r="F245" s="19"/>
      <c r="G245" s="19"/>
      <c r="H245" s="19"/>
      <c r="I245" s="19"/>
      <c r="J245" s="19"/>
      <c r="K245" s="19"/>
      <c r="L245" s="19"/>
      <c r="M245" s="19"/>
      <c r="N245" s="19"/>
      <c r="O245" s="19"/>
      <c r="P245" s="1877">
        <f>'TEST_pour PROTOTYPE'!D216</f>
        <v>2</v>
      </c>
      <c r="Q245" s="24">
        <f t="shared" si="89"/>
        <v>4</v>
      </c>
      <c r="R245" s="8" t="str">
        <f>IF(BIBLE!K141=0,"",BIBLE!K141)</f>
        <v/>
      </c>
      <c r="S245" s="8"/>
      <c r="T245" s="8"/>
      <c r="U245" s="8"/>
      <c r="V245" s="8"/>
      <c r="W245" s="8"/>
      <c r="X245" s="8"/>
      <c r="Y245" s="8"/>
      <c r="Z245" s="8"/>
      <c r="AA245" s="8"/>
      <c r="AB245" s="8"/>
      <c r="AC245" s="8"/>
      <c r="AD245" s="8"/>
      <c r="AE245" s="512"/>
      <c r="AF245" s="52"/>
      <c r="AG245" s="52"/>
      <c r="AH245" s="92"/>
      <c r="AI245" s="92"/>
      <c r="AJ245" s="92"/>
      <c r="AK245" s="743"/>
      <c r="AL245" s="743"/>
      <c r="AM245" s="743"/>
      <c r="AN245" s="743"/>
      <c r="AO245" s="743"/>
      <c r="AP245" s="743"/>
      <c r="AQ245" s="743"/>
      <c r="AR245" s="743"/>
      <c r="AS245" s="6">
        <f>Q245</f>
        <v>4</v>
      </c>
      <c r="AT245" s="298"/>
      <c r="AU245" s="6">
        <f t="shared" si="91"/>
        <v>0</v>
      </c>
      <c r="AV245" s="6">
        <f t="shared" si="91"/>
        <v>2</v>
      </c>
      <c r="AW245" s="6">
        <f t="shared" si="91"/>
        <v>4</v>
      </c>
      <c r="AX245" s="6">
        <f t="shared" si="91"/>
        <v>8</v>
      </c>
      <c r="AY245" s="6">
        <f t="shared" si="91"/>
        <v>14</v>
      </c>
      <c r="AZ245" s="6">
        <f t="shared" si="91"/>
        <v>20</v>
      </c>
    </row>
    <row r="246" spans="1:54" s="7" customFormat="1" ht="75" customHeight="1" x14ac:dyDescent="0.2">
      <c r="A246" s="1357" t="str">
        <f>BIBLE!E142</f>
        <v>PFA32</v>
      </c>
      <c r="B246" s="157" t="str">
        <f>BIBLE!F142</f>
        <v>L'autre parent fait lire vos échanges et communications (courriels, textos, etc.) à votre enfant.</v>
      </c>
      <c r="C246" s="498" t="str">
        <f>BIBLE!O142</f>
        <v>Nulle / Très faible / Faible / Moyenne / Élevée / Très élevée / S.O.</v>
      </c>
      <c r="D246" s="1527">
        <f>BIBLE!L142</f>
        <v>2</v>
      </c>
      <c r="E246" s="19"/>
      <c r="F246" s="19"/>
      <c r="G246" s="19"/>
      <c r="H246" s="19"/>
      <c r="I246" s="19">
        <v>1</v>
      </c>
      <c r="J246" s="19"/>
      <c r="K246" s="19"/>
      <c r="L246" s="19"/>
      <c r="M246" s="19"/>
      <c r="N246" s="19"/>
      <c r="O246" s="19"/>
      <c r="P246" s="1877">
        <f>'TEST_pour PROTOTYPE'!D217</f>
        <v>7</v>
      </c>
      <c r="Q246" s="25">
        <f t="shared" si="89"/>
        <v>14</v>
      </c>
      <c r="R246" s="8" t="str">
        <f>IF(BIBLE!K142=0,"",BIBLE!K142)</f>
        <v/>
      </c>
      <c r="S246" s="298"/>
      <c r="T246" s="298"/>
      <c r="U246" s="298"/>
      <c r="V246" s="6">
        <f>Q246</f>
        <v>14</v>
      </c>
      <c r="W246" s="298"/>
      <c r="X246" s="6">
        <f t="shared" ref="X246:AC250" si="92">IF($Q246&gt;0,X$109*$D246,0)</f>
        <v>0</v>
      </c>
      <c r="Y246" s="6">
        <f>IF($Q246&gt;0,Y$109*$D246,0)</f>
        <v>2</v>
      </c>
      <c r="Z246" s="6">
        <f t="shared" si="92"/>
        <v>4</v>
      </c>
      <c r="AA246" s="6">
        <f t="shared" si="92"/>
        <v>8</v>
      </c>
      <c r="AB246" s="6">
        <f t="shared" si="92"/>
        <v>14</v>
      </c>
      <c r="AC246" s="6">
        <f t="shared" si="92"/>
        <v>20</v>
      </c>
      <c r="AE246" s="512"/>
      <c r="AF246" s="52"/>
      <c r="AG246" s="52"/>
      <c r="AH246" s="23">
        <f>$V246*BIBLE!S142</f>
        <v>14</v>
      </c>
      <c r="AI246" s="23">
        <f>$V246*BIBLE!T142</f>
        <v>0</v>
      </c>
      <c r="AJ246" s="23">
        <f>$V246*BIBLE!U142</f>
        <v>0</v>
      </c>
      <c r="AK246" s="1458">
        <f>$V246*BIBLE!W142</f>
        <v>0</v>
      </c>
      <c r="AL246" s="1458">
        <f>$V246*BIBLE!X142</f>
        <v>0</v>
      </c>
      <c r="AM246" s="1458">
        <f>$V246*BIBLE!Y142</f>
        <v>0</v>
      </c>
      <c r="AN246" s="1458">
        <f>$V246*BIBLE!Z142</f>
        <v>0</v>
      </c>
      <c r="AO246" s="1458">
        <f>$V246*BIBLE!AA142</f>
        <v>0</v>
      </c>
      <c r="AP246" s="1458">
        <f>$V246*BIBLE!AB142</f>
        <v>0</v>
      </c>
      <c r="AQ246" s="1458">
        <f>$V246*BIBLE!AC142</f>
        <v>14</v>
      </c>
      <c r="AR246" s="1458">
        <f>$V246*BIBLE!AD142</f>
        <v>0</v>
      </c>
    </row>
    <row r="247" spans="1:54" s="7" customFormat="1" ht="75" customHeight="1" x14ac:dyDescent="0.2">
      <c r="A247" s="1357" t="str">
        <f>BIBLE!E143</f>
        <v>PFA33</v>
      </c>
      <c r="B247" s="157" t="str">
        <f>IF(P42&lt;&gt;1,BIBLE!F143,"")</f>
        <v>L'autre parent encourage ou entretient un discours dénigrant ou haineux à l’égard de votre nouveau ou nouvelle conjoint·e.</v>
      </c>
      <c r="C247" s="498" t="str">
        <f>BIBLE!O143</f>
        <v>Nulle / Très faible / Faible / Moyenne / Élevée / Très élevée / S.O.</v>
      </c>
      <c r="D247" s="1527">
        <f>BIBLE!L143</f>
        <v>2</v>
      </c>
      <c r="E247" s="19"/>
      <c r="F247" s="19"/>
      <c r="G247" s="19"/>
      <c r="H247" s="19"/>
      <c r="I247" s="19"/>
      <c r="J247" s="19"/>
      <c r="K247" s="19"/>
      <c r="L247" s="19"/>
      <c r="M247" s="19"/>
      <c r="N247" s="19"/>
      <c r="O247" s="19"/>
      <c r="P247" s="1877">
        <f>'TEST_pour PROTOTYPE'!D218</f>
        <v>4</v>
      </c>
      <c r="Q247" s="25">
        <f t="shared" si="89"/>
        <v>8</v>
      </c>
      <c r="R247" s="8" t="str">
        <f>IF(BIBLE!K143=0,"",BIBLE!K143)</f>
        <v/>
      </c>
      <c r="S247" s="298"/>
      <c r="T247" s="298"/>
      <c r="U247" s="298"/>
      <c r="V247" s="6">
        <f>Q247</f>
        <v>8</v>
      </c>
      <c r="W247" s="298"/>
      <c r="X247" s="6">
        <f t="shared" si="92"/>
        <v>0</v>
      </c>
      <c r="Y247" s="6">
        <f t="shared" si="92"/>
        <v>2</v>
      </c>
      <c r="Z247" s="6">
        <f t="shared" si="92"/>
        <v>4</v>
      </c>
      <c r="AA247" s="6">
        <f t="shared" si="92"/>
        <v>8</v>
      </c>
      <c r="AB247" s="6">
        <f>IF($Q247&gt;0,AB$109*$D247,0)</f>
        <v>14</v>
      </c>
      <c r="AC247" s="6">
        <f t="shared" si="92"/>
        <v>20</v>
      </c>
      <c r="AE247" s="512"/>
      <c r="AF247" s="52"/>
      <c r="AG247" s="52"/>
      <c r="AH247" s="23">
        <f>$V247*BIBLE!S143</f>
        <v>0</v>
      </c>
      <c r="AI247" s="23">
        <f>$V247*BIBLE!T143</f>
        <v>0</v>
      </c>
      <c r="AJ247" s="23">
        <f>$V247*BIBLE!U143</f>
        <v>8</v>
      </c>
      <c r="AK247" s="1458">
        <f>$V247*BIBLE!W143</f>
        <v>0</v>
      </c>
      <c r="AL247" s="1458">
        <f>$V247*BIBLE!X143</f>
        <v>0</v>
      </c>
      <c r="AM247" s="1458">
        <f>$V247*BIBLE!Y143</f>
        <v>0</v>
      </c>
      <c r="AN247" s="1458">
        <f>$V247*BIBLE!Z143</f>
        <v>0</v>
      </c>
      <c r="AO247" s="1458">
        <f>$V247*BIBLE!AA143</f>
        <v>0</v>
      </c>
      <c r="AP247" s="1458">
        <f>$V247*BIBLE!AB143</f>
        <v>0</v>
      </c>
      <c r="AQ247" s="1458">
        <f>$V247*BIBLE!AC143</f>
        <v>0</v>
      </c>
      <c r="AR247" s="1458">
        <f>$V247*BIBLE!AD143</f>
        <v>8</v>
      </c>
    </row>
    <row r="248" spans="1:54" s="7" customFormat="1" ht="75" customHeight="1" x14ac:dyDescent="0.2">
      <c r="A248" s="1357" t="str">
        <f>BIBLE!E144</f>
        <v>PFA34</v>
      </c>
      <c r="B248" s="157" t="str">
        <f>BIBLE!F144</f>
        <v>L’autre parent refuse de vous parler et demande à votre enfant de faire les messages et autres demandes entourant la logistique familiale.</v>
      </c>
      <c r="C248" s="498" t="str">
        <f>BIBLE!O144</f>
        <v xml:space="preserve">Jamais / Rarement / Occasionnellement / Régulièrement / Souvent / Toujours / S.O. </v>
      </c>
      <c r="D248" s="1978">
        <f>IF(AND(P248&gt;=2,$P$27&gt;=3,$E$40&gt;8),BIBLE!M144,BIBLE!L144)</f>
        <v>3</v>
      </c>
      <c r="E248" s="19"/>
      <c r="F248" s="19"/>
      <c r="G248" s="19"/>
      <c r="H248" s="19"/>
      <c r="I248" s="19">
        <v>1</v>
      </c>
      <c r="J248" s="19"/>
      <c r="K248" s="19"/>
      <c r="L248" s="19"/>
      <c r="M248" s="19"/>
      <c r="N248" s="19"/>
      <c r="O248" s="19"/>
      <c r="P248" s="1877">
        <f>'TEST_pour PROTOTYPE'!D219</f>
        <v>7</v>
      </c>
      <c r="Q248" s="25">
        <f t="shared" si="89"/>
        <v>21</v>
      </c>
      <c r="R248" s="8">
        <f>IF(BIBLE!K144=0,"",BIBLE!K144)</f>
        <v>2</v>
      </c>
      <c r="S248" s="298"/>
      <c r="T248" s="298"/>
      <c r="U248" s="298"/>
      <c r="V248" s="6">
        <f>Q248</f>
        <v>21</v>
      </c>
      <c r="W248" s="298"/>
      <c r="X248" s="6">
        <f t="shared" si="92"/>
        <v>0</v>
      </c>
      <c r="Y248" s="6">
        <f t="shared" si="92"/>
        <v>3</v>
      </c>
      <c r="Z248" s="6">
        <f t="shared" si="92"/>
        <v>6</v>
      </c>
      <c r="AA248" s="6">
        <f t="shared" si="92"/>
        <v>12</v>
      </c>
      <c r="AB248" s="6">
        <f t="shared" si="92"/>
        <v>21</v>
      </c>
      <c r="AC248" s="6">
        <f t="shared" si="92"/>
        <v>30</v>
      </c>
      <c r="AE248" s="512"/>
      <c r="AF248" s="52"/>
      <c r="AG248" s="52"/>
      <c r="AH248" s="23">
        <f>$V248*BIBLE!S144</f>
        <v>0</v>
      </c>
      <c r="AI248" s="23">
        <f>$V248*BIBLE!T144</f>
        <v>0</v>
      </c>
      <c r="AJ248" s="23">
        <f>$V248*BIBLE!U144</f>
        <v>21</v>
      </c>
      <c r="AK248" s="1458">
        <f>$V248*BIBLE!W144</f>
        <v>0</v>
      </c>
      <c r="AL248" s="1458">
        <f>$V248*BIBLE!X144</f>
        <v>0</v>
      </c>
      <c r="AM248" s="1458">
        <f>$V248*BIBLE!Y144</f>
        <v>0</v>
      </c>
      <c r="AN248" s="1458">
        <f>$V248*BIBLE!Z144</f>
        <v>0</v>
      </c>
      <c r="AO248" s="1458">
        <f>$V248*BIBLE!AA144</f>
        <v>0</v>
      </c>
      <c r="AP248" s="1458">
        <f>$V248*BIBLE!AB144</f>
        <v>0</v>
      </c>
      <c r="AQ248" s="1458">
        <f>$V248*BIBLE!AC144</f>
        <v>0</v>
      </c>
      <c r="AR248" s="1458">
        <f>$V248*BIBLE!AD144</f>
        <v>21</v>
      </c>
    </row>
    <row r="249" spans="1:54" s="7" customFormat="1" ht="75" customHeight="1" x14ac:dyDescent="0.2">
      <c r="A249" s="1357" t="str">
        <f>BIBLE!E145</f>
        <v>PFA35</v>
      </c>
      <c r="B249" s="157" t="str">
        <f>IF($P$53&gt;=$R$53,BIBLE!F145,"")</f>
        <v/>
      </c>
      <c r="C249" s="498" t="str">
        <f>BIBLE!O145</f>
        <v xml:space="preserve">Jamais / Rarement / Occasionnellement / Régulièrement / Souvent / Toujours / S.O. </v>
      </c>
      <c r="D249" s="1527">
        <f>BIBLE!L145</f>
        <v>3</v>
      </c>
      <c r="E249" s="19"/>
      <c r="F249" s="19"/>
      <c r="G249" s="19"/>
      <c r="H249" s="19"/>
      <c r="I249" s="19"/>
      <c r="J249" s="19"/>
      <c r="K249" s="19">
        <v>1</v>
      </c>
      <c r="L249" s="19"/>
      <c r="M249" s="19"/>
      <c r="N249" s="19"/>
      <c r="O249" s="19"/>
      <c r="P249" s="1877">
        <f>'TEST_pour PROTOTYPE'!D220</f>
        <v>0</v>
      </c>
      <c r="Q249" s="25">
        <f t="shared" si="89"/>
        <v>0</v>
      </c>
      <c r="R249" s="8" t="str">
        <f>IF(BIBLE!K145=0,"",BIBLE!K145)</f>
        <v/>
      </c>
      <c r="S249" s="298"/>
      <c r="T249" s="298"/>
      <c r="U249" s="298"/>
      <c r="V249" s="6">
        <f>Q249</f>
        <v>0</v>
      </c>
      <c r="W249" s="298"/>
      <c r="X249" s="6">
        <f t="shared" si="92"/>
        <v>0</v>
      </c>
      <c r="Y249" s="6">
        <f t="shared" si="92"/>
        <v>0</v>
      </c>
      <c r="Z249" s="6">
        <f t="shared" si="92"/>
        <v>0</v>
      </c>
      <c r="AA249" s="6">
        <f t="shared" si="92"/>
        <v>0</v>
      </c>
      <c r="AB249" s="6">
        <f t="shared" si="92"/>
        <v>0</v>
      </c>
      <c r="AC249" s="6">
        <f t="shared" si="92"/>
        <v>0</v>
      </c>
      <c r="AE249" s="512"/>
      <c r="AF249" s="52"/>
      <c r="AG249" s="52"/>
      <c r="AH249" s="23">
        <f>$V249*BIBLE!S145</f>
        <v>0</v>
      </c>
      <c r="AI249" s="23">
        <f>$V249*BIBLE!T145</f>
        <v>0</v>
      </c>
      <c r="AJ249" s="23">
        <f>$V249*BIBLE!U145</f>
        <v>0</v>
      </c>
      <c r="AK249" s="1458">
        <f>$V249*BIBLE!W145</f>
        <v>0</v>
      </c>
      <c r="AL249" s="1458">
        <f>$V249*BIBLE!X145</f>
        <v>0</v>
      </c>
      <c r="AM249" s="1458">
        <f>$V249*BIBLE!Y145</f>
        <v>0</v>
      </c>
      <c r="AN249" s="1458">
        <f>$V249*BIBLE!Z145</f>
        <v>0</v>
      </c>
      <c r="AO249" s="1458">
        <f>$V249*BIBLE!AA145</f>
        <v>0</v>
      </c>
      <c r="AP249" s="1458">
        <f>$V249*BIBLE!AB145</f>
        <v>0</v>
      </c>
      <c r="AQ249" s="1458">
        <f>$V249*BIBLE!AC145</f>
        <v>0</v>
      </c>
      <c r="AR249" s="1458">
        <f>$V249*BIBLE!AD145</f>
        <v>0</v>
      </c>
    </row>
    <row r="250" spans="1:54" s="7" customFormat="1" ht="68" customHeight="1" x14ac:dyDescent="0.2">
      <c r="A250" s="1357" t="str">
        <f>BIBLE!E146</f>
        <v>PFA36</v>
      </c>
      <c r="B250" s="157" t="str">
        <f>IF($P$53&gt;=$R$53,BIBLE!F146,"")</f>
        <v/>
      </c>
      <c r="C250" s="498" t="str">
        <f>BIBLE!O146</f>
        <v>Nulle / Très faible / Faible / Moyenne / Élevée / Très élevée / S.O.</v>
      </c>
      <c r="D250" s="1527">
        <f>BIBLE!L146</f>
        <v>3</v>
      </c>
      <c r="E250" s="19"/>
      <c r="F250" s="19"/>
      <c r="G250" s="19"/>
      <c r="H250" s="19"/>
      <c r="I250" s="19"/>
      <c r="J250" s="19">
        <v>1</v>
      </c>
      <c r="K250" s="19"/>
      <c r="L250" s="19"/>
      <c r="M250" s="19"/>
      <c r="N250" s="19"/>
      <c r="O250" s="19"/>
      <c r="P250" s="1877">
        <f>'TEST_pour PROTOTYPE'!D221</f>
        <v>0</v>
      </c>
      <c r="Q250" s="25">
        <f>P250*D250</f>
        <v>0</v>
      </c>
      <c r="R250" s="8" t="str">
        <f>IF(BIBLE!K146=0,"",BIBLE!K146)</f>
        <v/>
      </c>
      <c r="S250" s="298"/>
      <c r="T250" s="298"/>
      <c r="U250" s="298"/>
      <c r="V250" s="6">
        <f>Q250</f>
        <v>0</v>
      </c>
      <c r="W250" s="298"/>
      <c r="X250" s="6">
        <f>IF($Q250&gt;0,X$109*$D250,0)</f>
        <v>0</v>
      </c>
      <c r="Y250" s="6">
        <f t="shared" si="92"/>
        <v>0</v>
      </c>
      <c r="Z250" s="6">
        <f t="shared" si="92"/>
        <v>0</v>
      </c>
      <c r="AA250" s="6">
        <f t="shared" si="92"/>
        <v>0</v>
      </c>
      <c r="AB250" s="6">
        <f t="shared" si="92"/>
        <v>0</v>
      </c>
      <c r="AC250" s="6">
        <f t="shared" si="92"/>
        <v>0</v>
      </c>
      <c r="AE250" s="512"/>
      <c r="AF250" s="52"/>
      <c r="AG250" s="52"/>
      <c r="AH250" s="23">
        <f>$V250*BIBLE!S146</f>
        <v>0</v>
      </c>
      <c r="AI250" s="23">
        <f>$V250*BIBLE!T146</f>
        <v>0</v>
      </c>
      <c r="AJ250" s="23">
        <f>$V250*BIBLE!U146</f>
        <v>0</v>
      </c>
      <c r="AK250" s="1458">
        <f>$V250*BIBLE!W146</f>
        <v>0</v>
      </c>
      <c r="AL250" s="1458">
        <f>$V250*BIBLE!X146</f>
        <v>0</v>
      </c>
      <c r="AM250" s="1458">
        <f>$V250*BIBLE!Y146</f>
        <v>0</v>
      </c>
      <c r="AN250" s="1458">
        <f>$V250*BIBLE!Z146</f>
        <v>0</v>
      </c>
      <c r="AO250" s="1458">
        <f>$V250*BIBLE!AA146</f>
        <v>0</v>
      </c>
      <c r="AP250" s="1458">
        <f>$V250*BIBLE!AB146</f>
        <v>0</v>
      </c>
      <c r="AQ250" s="1458">
        <f>$V250*BIBLE!AC146</f>
        <v>0</v>
      </c>
      <c r="AR250" s="1458">
        <f>$V250*BIBLE!AD146</f>
        <v>0</v>
      </c>
    </row>
    <row r="251" spans="1:54" s="7" customFormat="1" ht="45" customHeight="1" x14ac:dyDescent="0.2">
      <c r="A251" s="1357" t="str">
        <f>BIBLE!E147</f>
        <v>PFA38</v>
      </c>
      <c r="B251" s="157" t="str">
        <f>IF($P$53&gt;=$R$53,BIBLE!F147,"")</f>
        <v/>
      </c>
      <c r="C251" s="23"/>
      <c r="D251" s="1527"/>
      <c r="E251" s="8">
        <f>(D252*E252)+(D253*E253)+(D254*E254)+(D255*E255)+(D256*E256)</f>
        <v>0</v>
      </c>
      <c r="F251" s="19"/>
      <c r="G251" s="19"/>
      <c r="H251" s="19"/>
      <c r="I251" s="19"/>
      <c r="J251" s="19"/>
      <c r="K251" s="19"/>
      <c r="L251" s="19"/>
      <c r="M251" s="19"/>
      <c r="N251" s="19"/>
      <c r="O251" s="1879" t="s">
        <v>1619</v>
      </c>
      <c r="P251" s="25">
        <f>SUM(P252:P257)</f>
        <v>0</v>
      </c>
      <c r="Q251" s="25"/>
      <c r="R251" s="8"/>
      <c r="S251" s="298"/>
      <c r="T251" s="298"/>
      <c r="U251" s="298"/>
      <c r="V251" s="6"/>
      <c r="W251" s="298"/>
      <c r="X251" s="6"/>
      <c r="Y251" s="6"/>
      <c r="Z251" s="6"/>
      <c r="AA251" s="6"/>
      <c r="AB251" s="6"/>
      <c r="AC251" s="6"/>
      <c r="AE251" s="512"/>
      <c r="AF251" s="52"/>
      <c r="AG251" s="52"/>
      <c r="AH251" s="92"/>
      <c r="AI251" s="92"/>
      <c r="AJ251" s="92"/>
      <c r="AK251" s="743"/>
      <c r="AL251" s="743"/>
      <c r="AM251" s="743"/>
      <c r="AN251" s="743"/>
      <c r="AO251" s="743"/>
      <c r="AP251" s="743"/>
      <c r="AQ251" s="743"/>
      <c r="AR251" s="743"/>
    </row>
    <row r="252" spans="1:54" s="7" customFormat="1" ht="32" customHeight="1" x14ac:dyDescent="0.2">
      <c r="A252" s="1357"/>
      <c r="B252" s="157" t="str">
        <f>IF($P$53&gt;=$R$53,"Pension alimentaire (enjeux financiers) ","")</f>
        <v/>
      </c>
      <c r="C252" s="1528"/>
      <c r="D252" s="1775">
        <v>3</v>
      </c>
      <c r="E252" s="1793">
        <f>'TEST_pour PROTOTYPE'!D222</f>
        <v>0</v>
      </c>
      <c r="F252" s="54"/>
      <c r="G252" s="8"/>
      <c r="H252" s="8"/>
      <c r="I252" s="8"/>
      <c r="J252" s="8"/>
      <c r="N252" s="54"/>
      <c r="O252" s="54"/>
      <c r="P252" s="1789">
        <f>D252*E252</f>
        <v>0</v>
      </c>
      <c r="Q252" s="25"/>
      <c r="R252" s="8"/>
      <c r="S252" s="298"/>
      <c r="T252" s="298"/>
      <c r="U252" s="298"/>
      <c r="V252" s="298"/>
      <c r="W252" s="298"/>
      <c r="X252" s="8"/>
      <c r="Y252" s="8"/>
      <c r="Z252" s="8"/>
      <c r="AA252" s="8"/>
      <c r="AB252" s="8"/>
      <c r="AC252" s="8"/>
      <c r="AE252" s="512"/>
      <c r="AF252" s="52"/>
      <c r="AG252" s="52"/>
      <c r="AH252" s="92"/>
      <c r="AI252" s="92"/>
      <c r="AJ252" s="92"/>
      <c r="AK252" s="743"/>
      <c r="AL252" s="743"/>
      <c r="AM252" s="743"/>
      <c r="AN252" s="743"/>
      <c r="AO252" s="743"/>
      <c r="AP252" s="743"/>
      <c r="AQ252" s="743"/>
      <c r="AR252" s="743"/>
    </row>
    <row r="253" spans="1:54" s="7" customFormat="1" ht="32" customHeight="1" x14ac:dyDescent="0.2">
      <c r="A253" s="1357"/>
      <c r="B253" s="157" t="str">
        <f>IF($P$53&gt;=$R$53,"Souhaite refaire sa vie / nouvelle vie et vous êtes de trop","")</f>
        <v/>
      </c>
      <c r="C253" s="1528"/>
      <c r="D253" s="1775">
        <v>7</v>
      </c>
      <c r="E253" s="1793">
        <f>'TEST_pour PROTOTYPE'!D223</f>
        <v>0</v>
      </c>
      <c r="F253" s="54"/>
      <c r="G253" s="8"/>
      <c r="H253" s="8"/>
      <c r="I253" s="8"/>
      <c r="J253" s="8"/>
      <c r="N253" s="54"/>
      <c r="O253" s="54"/>
      <c r="P253" s="1789">
        <f t="shared" ref="P253:P257" si="93">D253*E253</f>
        <v>0</v>
      </c>
      <c r="Q253" s="25"/>
      <c r="R253" s="8"/>
      <c r="S253" s="298"/>
      <c r="T253" s="298"/>
      <c r="U253" s="298"/>
      <c r="V253" s="298"/>
      <c r="W253" s="298"/>
      <c r="X253" s="8"/>
      <c r="Y253" s="8"/>
      <c r="Z253" s="8"/>
      <c r="AA253" s="8"/>
      <c r="AB253" s="8"/>
      <c r="AC253" s="8"/>
      <c r="AE253" s="512"/>
      <c r="AF253" s="52"/>
      <c r="AG253" s="52"/>
      <c r="AH253" s="92"/>
      <c r="AI253" s="92"/>
      <c r="AJ253" s="92"/>
      <c r="AK253" s="743"/>
      <c r="AL253" s="743"/>
      <c r="AM253" s="743"/>
      <c r="AN253" s="743"/>
      <c r="AO253" s="743"/>
      <c r="AP253" s="743"/>
      <c r="AQ253" s="743"/>
      <c r="AR253" s="743"/>
    </row>
    <row r="254" spans="1:54" s="7" customFormat="1" ht="32" customHeight="1" x14ac:dyDescent="0.2">
      <c r="A254" s="1357"/>
      <c r="B254" s="157" t="str">
        <f>IF($P$53&gt;=$R$53,"Ne veut pas faire de compromis sur la logistique familiale ou le temps passé avec les enfants ","")</f>
        <v/>
      </c>
      <c r="C254" s="1529"/>
      <c r="D254" s="1775">
        <v>5</v>
      </c>
      <c r="E254" s="1793">
        <f>'TEST_pour PROTOTYPE'!D224</f>
        <v>0</v>
      </c>
      <c r="F254" s="54"/>
      <c r="G254" s="8"/>
      <c r="H254" s="8"/>
      <c r="I254" s="8"/>
      <c r="J254" s="8"/>
      <c r="N254" s="54"/>
      <c r="O254" s="54"/>
      <c r="P254" s="1789">
        <f t="shared" si="93"/>
        <v>0</v>
      </c>
      <c r="Q254" s="25"/>
      <c r="R254" s="8" t="str">
        <f>IF(BIBLE!K145=0,"",BIBLE!#REF!)</f>
        <v/>
      </c>
      <c r="S254" s="298"/>
      <c r="T254" s="298"/>
      <c r="U254" s="298"/>
      <c r="V254" s="298"/>
      <c r="W254" s="298"/>
      <c r="X254" s="8"/>
      <c r="Y254" s="8"/>
      <c r="Z254" s="8"/>
      <c r="AA254" s="8"/>
      <c r="AB254" s="8"/>
      <c r="AC254" s="8"/>
      <c r="AE254" s="512"/>
      <c r="AF254" s="52"/>
      <c r="AG254" s="52"/>
      <c r="AH254" s="92"/>
      <c r="AI254" s="92"/>
      <c r="AJ254" s="92"/>
      <c r="AK254" s="743"/>
      <c r="AL254" s="743"/>
      <c r="AM254" s="743"/>
      <c r="AN254" s="743"/>
      <c r="AO254" s="743"/>
      <c r="AP254" s="743"/>
      <c r="AQ254" s="743"/>
      <c r="AR254" s="743"/>
    </row>
    <row r="255" spans="1:54" s="7" customFormat="1" ht="32" customHeight="1" x14ac:dyDescent="0.2">
      <c r="A255" s="1357"/>
      <c r="B255" s="157" t="str">
        <f>IF($P$53&gt;=$R$53,"Souhaite vous blesser et se venger en vous retirant les enfants ","")</f>
        <v/>
      </c>
      <c r="C255" s="1529"/>
      <c r="D255" s="1775">
        <v>10</v>
      </c>
      <c r="E255" s="1793">
        <f>'TEST_pour PROTOTYPE'!D225</f>
        <v>0</v>
      </c>
      <c r="F255" s="54"/>
      <c r="G255" s="8"/>
      <c r="H255" s="8"/>
      <c r="I255" s="8"/>
      <c r="J255" s="8"/>
      <c r="N255" s="54"/>
      <c r="O255" s="54"/>
      <c r="P255" s="1789">
        <f t="shared" si="93"/>
        <v>0</v>
      </c>
      <c r="Q255" s="25"/>
      <c r="R255" s="8"/>
      <c r="S255" s="298"/>
      <c r="T255" s="298"/>
      <c r="U255" s="298"/>
      <c r="V255" s="298"/>
      <c r="W255" s="298"/>
      <c r="X255" s="8"/>
      <c r="Y255" s="8"/>
      <c r="Z255" s="8"/>
      <c r="AA255" s="8"/>
      <c r="AB255" s="8"/>
      <c r="AC255" s="8"/>
      <c r="AE255" s="512"/>
      <c r="AF255" s="52"/>
      <c r="AG255" s="52"/>
      <c r="AH255" s="92"/>
      <c r="AI255" s="92"/>
      <c r="AJ255" s="92"/>
      <c r="AK255" s="743"/>
      <c r="AL255" s="743"/>
      <c r="AM255" s="743"/>
      <c r="AN255" s="743"/>
      <c r="AO255" s="743"/>
      <c r="AP255" s="743"/>
      <c r="AQ255" s="743"/>
      <c r="AR255" s="743"/>
    </row>
    <row r="256" spans="1:54" s="7" customFormat="1" ht="32" customHeight="1" x14ac:dyDescent="0.2">
      <c r="A256" s="1357"/>
      <c r="B256" s="157" t="str">
        <f>IF($P$53&gt;=$R$53,"S'approprie les enfants (désir de garde exclusive)","")</f>
        <v/>
      </c>
      <c r="C256" s="1529"/>
      <c r="D256" s="1775">
        <v>7</v>
      </c>
      <c r="E256" s="1793">
        <f>'TEST_pour PROTOTYPE'!D226</f>
        <v>0</v>
      </c>
      <c r="F256" s="54"/>
      <c r="G256" s="8"/>
      <c r="H256" s="8"/>
      <c r="I256" s="8"/>
      <c r="J256" s="8"/>
      <c r="N256" s="54"/>
      <c r="O256" s="54"/>
      <c r="P256" s="1789">
        <f t="shared" si="93"/>
        <v>0</v>
      </c>
      <c r="Q256" s="25"/>
      <c r="R256" s="8"/>
      <c r="S256" s="298"/>
      <c r="T256" s="298"/>
      <c r="U256" s="298"/>
      <c r="V256" s="298"/>
      <c r="W256" s="298"/>
      <c r="X256" s="8"/>
      <c r="Y256" s="8"/>
      <c r="Z256" s="8"/>
      <c r="AA256" s="8"/>
      <c r="AB256" s="8"/>
      <c r="AC256" s="8"/>
      <c r="AE256" s="512"/>
      <c r="AF256" s="52"/>
      <c r="AG256" s="52"/>
      <c r="AH256" s="92"/>
      <c r="AI256" s="92"/>
      <c r="AJ256" s="92"/>
      <c r="AK256" s="743"/>
      <c r="AL256" s="743"/>
      <c r="AM256" s="743"/>
      <c r="AN256" s="743"/>
      <c r="AO256" s="743"/>
      <c r="AP256" s="743"/>
      <c r="AQ256" s="743"/>
      <c r="AR256" s="743"/>
    </row>
    <row r="257" spans="1:60" s="7" customFormat="1" ht="32" customHeight="1" x14ac:dyDescent="0.2">
      <c r="A257" s="1357"/>
      <c r="B257" s="157" t="str">
        <f>IF($P$53&gt;=$R$53,"Aucun","")</f>
        <v/>
      </c>
      <c r="C257" s="1528"/>
      <c r="D257" s="1775">
        <v>0</v>
      </c>
      <c r="E257" s="1793">
        <f>'TEST_pour PROTOTYPE'!D227</f>
        <v>0</v>
      </c>
      <c r="F257" s="54"/>
      <c r="G257" s="8"/>
      <c r="H257" s="8"/>
      <c r="I257" s="8"/>
      <c r="J257" s="8"/>
      <c r="N257" s="54"/>
      <c r="O257" s="54"/>
      <c r="P257" s="1789">
        <f t="shared" si="93"/>
        <v>0</v>
      </c>
      <c r="Q257" s="25"/>
      <c r="R257" s="8"/>
      <c r="S257" s="298"/>
      <c r="T257" s="298"/>
      <c r="U257" s="298"/>
      <c r="V257" s="298"/>
      <c r="W257" s="298"/>
      <c r="X257" s="8"/>
      <c r="Y257" s="8"/>
      <c r="Z257" s="8"/>
      <c r="AA257" s="8"/>
      <c r="AB257" s="8"/>
      <c r="AC257" s="8"/>
      <c r="AE257" s="512"/>
      <c r="AF257" s="52"/>
      <c r="AG257" s="52"/>
      <c r="AH257" s="92"/>
      <c r="AI257" s="92"/>
      <c r="AJ257" s="92"/>
      <c r="AK257" s="743"/>
      <c r="AL257" s="743"/>
      <c r="AM257" s="743"/>
      <c r="AN257" s="743"/>
      <c r="AO257" s="743"/>
      <c r="AP257" s="743"/>
      <c r="AQ257" s="743"/>
      <c r="AR257" s="743"/>
    </row>
    <row r="258" spans="1:60" s="7" customFormat="1" ht="32" customHeight="1" x14ac:dyDescent="0.2">
      <c r="A258" s="1357"/>
      <c r="B258" s="157" t="str">
        <f>IF($P$53&gt;=$R$53,"Autre (spécifiez)","")</f>
        <v/>
      </c>
      <c r="C258" s="1528"/>
      <c r="D258" s="1775" t="s">
        <v>1492</v>
      </c>
      <c r="E258" s="54"/>
      <c r="F258" s="54"/>
      <c r="G258" s="8"/>
      <c r="H258" s="8"/>
      <c r="I258" s="8"/>
      <c r="J258" s="8"/>
      <c r="N258" s="54"/>
      <c r="O258" s="54"/>
      <c r="P258" s="1789"/>
      <c r="Q258" s="25"/>
      <c r="R258" s="8"/>
      <c r="S258" s="298"/>
      <c r="T258" s="298"/>
      <c r="U258" s="298"/>
      <c r="V258" s="298"/>
      <c r="W258" s="298"/>
      <c r="X258" s="8"/>
      <c r="Y258" s="8"/>
      <c r="Z258" s="8"/>
      <c r="AA258" s="8"/>
      <c r="AB258" s="8"/>
      <c r="AC258" s="8"/>
      <c r="AE258" s="512"/>
      <c r="AF258" s="52"/>
      <c r="AG258" s="52"/>
      <c r="AH258" s="92"/>
      <c r="AI258" s="92"/>
      <c r="AJ258" s="92"/>
      <c r="AK258" s="743"/>
      <c r="AL258" s="743"/>
      <c r="AM258" s="743"/>
      <c r="AN258" s="743"/>
      <c r="AO258" s="743"/>
      <c r="AP258" s="743"/>
      <c r="AQ258" s="743"/>
      <c r="AR258" s="743"/>
    </row>
    <row r="259" spans="1:60" s="7" customFormat="1" ht="23" customHeight="1" x14ac:dyDescent="0.2">
      <c r="A259" s="1357"/>
      <c r="B259" s="157"/>
      <c r="C259" s="124"/>
      <c r="D259" s="291"/>
      <c r="E259" s="54"/>
      <c r="F259" s="54"/>
      <c r="G259" s="8"/>
      <c r="H259" s="8"/>
      <c r="I259" s="8"/>
      <c r="J259" s="8"/>
      <c r="L259" s="89"/>
      <c r="M259" s="6"/>
      <c r="N259" s="536"/>
      <c r="O259" s="54"/>
      <c r="P259" s="54"/>
      <c r="R259" s="54"/>
      <c r="S259" s="54"/>
      <c r="T259" s="54"/>
      <c r="U259" s="54"/>
      <c r="V259" s="488">
        <f>SUM(V163:V256)</f>
        <v>246</v>
      </c>
      <c r="W259" s="54"/>
      <c r="X259" s="488">
        <f t="shared" ref="X259:AC259" si="94">SUM(X163:X256)</f>
        <v>0</v>
      </c>
      <c r="Y259" s="488">
        <f t="shared" si="94"/>
        <v>57</v>
      </c>
      <c r="Z259" s="488">
        <f t="shared" si="94"/>
        <v>114</v>
      </c>
      <c r="AA259" s="488">
        <f t="shared" si="94"/>
        <v>228</v>
      </c>
      <c r="AB259" s="488">
        <f t="shared" si="94"/>
        <v>399</v>
      </c>
      <c r="AC259" s="488">
        <f t="shared" si="94"/>
        <v>570</v>
      </c>
      <c r="AD259" s="540">
        <f>V259/(AC259)</f>
        <v>0.43157894736842106</v>
      </c>
      <c r="AE259" s="1469">
        <f t="shared" ref="AE259:AR259" si="95">SUM(AE163:AE258)</f>
        <v>20</v>
      </c>
      <c r="AF259" s="2053"/>
      <c r="AG259" s="2053"/>
      <c r="AH259" s="1470">
        <f t="shared" si="95"/>
        <v>102.5</v>
      </c>
      <c r="AI259" s="1470">
        <f t="shared" si="95"/>
        <v>85</v>
      </c>
      <c r="AJ259" s="1470">
        <f t="shared" si="95"/>
        <v>55.5</v>
      </c>
      <c r="AK259" s="1471">
        <f t="shared" si="95"/>
        <v>14</v>
      </c>
      <c r="AL259" s="1471">
        <f t="shared" si="95"/>
        <v>33</v>
      </c>
      <c r="AM259" s="1471">
        <f t="shared" si="95"/>
        <v>14</v>
      </c>
      <c r="AN259" s="1471">
        <f t="shared" si="95"/>
        <v>29</v>
      </c>
      <c r="AO259" s="1471">
        <f t="shared" si="95"/>
        <v>32</v>
      </c>
      <c r="AP259" s="1471">
        <f t="shared" si="95"/>
        <v>67</v>
      </c>
      <c r="AQ259" s="1471">
        <f t="shared" si="95"/>
        <v>22</v>
      </c>
      <c r="AR259" s="1471">
        <f t="shared" si="95"/>
        <v>32</v>
      </c>
    </row>
    <row r="260" spans="1:60" s="7" customFormat="1" x14ac:dyDescent="0.2">
      <c r="A260" s="129"/>
      <c r="B260" s="26"/>
      <c r="C260" s="133"/>
      <c r="D260" s="292"/>
      <c r="E260" s="54"/>
      <c r="F260" s="54"/>
      <c r="G260" s="8"/>
      <c r="H260" s="8"/>
      <c r="I260" s="8"/>
      <c r="J260" s="8"/>
      <c r="L260" s="89"/>
      <c r="M260" s="6"/>
      <c r="N260" s="54"/>
      <c r="O260" s="54"/>
      <c r="P260" s="54"/>
      <c r="Q260" s="54"/>
      <c r="R260" s="54"/>
      <c r="S260" s="54"/>
      <c r="T260" s="54"/>
      <c r="U260" s="54"/>
      <c r="V260" s="298"/>
      <c r="W260" s="54"/>
      <c r="X260" s="8"/>
      <c r="Y260" s="8"/>
      <c r="Z260" s="8"/>
      <c r="AA260" s="8"/>
      <c r="AB260" s="8"/>
      <c r="AC260" s="8"/>
      <c r="AE260" s="1472"/>
      <c r="AF260" s="2055"/>
      <c r="AG260" s="2055"/>
      <c r="AH260" s="1473">
        <f>AH259/SUM($AH$259:$AJ$259)</f>
        <v>0.42181069958847739</v>
      </c>
      <c r="AI260" s="1473">
        <f>AI259/SUM($AH$259:$AJ$259)</f>
        <v>0.34979423868312759</v>
      </c>
      <c r="AJ260" s="1473">
        <f>AJ259/SUM($AH$259:$AJ$259)</f>
        <v>0.22839506172839505</v>
      </c>
      <c r="AK260" s="1474">
        <f>AK259/SUM($AK$259:$AR$259)</f>
        <v>5.7613168724279837E-2</v>
      </c>
      <c r="AL260" s="1474">
        <f t="shared" ref="AL260:AR260" si="96">AL259/SUM($AK$259:$AR$259)</f>
        <v>0.13580246913580246</v>
      </c>
      <c r="AM260" s="1474">
        <f t="shared" si="96"/>
        <v>5.7613168724279837E-2</v>
      </c>
      <c r="AN260" s="1474">
        <f t="shared" si="96"/>
        <v>0.11934156378600823</v>
      </c>
      <c r="AO260" s="1474">
        <f t="shared" si="96"/>
        <v>0.13168724279835392</v>
      </c>
      <c r="AP260" s="1474">
        <f t="shared" si="96"/>
        <v>0.27572016460905352</v>
      </c>
      <c r="AQ260" s="1474">
        <f t="shared" si="96"/>
        <v>9.0534979423868317E-2</v>
      </c>
      <c r="AR260" s="1474">
        <f t="shared" si="96"/>
        <v>0.13168724279835392</v>
      </c>
    </row>
    <row r="261" spans="1:60" s="17" customFormat="1" x14ac:dyDescent="0.2">
      <c r="A261" s="129"/>
      <c r="B261" s="26"/>
      <c r="C261" s="124"/>
      <c r="D261" s="1978"/>
      <c r="G261" s="159"/>
      <c r="H261" s="159"/>
      <c r="I261" s="159"/>
      <c r="J261" s="159"/>
      <c r="K261" s="7"/>
      <c r="P261" s="24"/>
      <c r="Q261" s="25"/>
      <c r="V261" s="8"/>
      <c r="X261" s="2199" t="s">
        <v>405</v>
      </c>
      <c r="Y261" s="2199"/>
      <c r="Z261" s="2199"/>
      <c r="AA261" s="2199"/>
      <c r="AB261" s="2199"/>
      <c r="AC261" s="2199"/>
      <c r="AE261" s="512"/>
      <c r="AF261" s="52"/>
      <c r="AG261" s="52"/>
      <c r="AH261" s="499"/>
      <c r="AI261" s="499"/>
      <c r="AJ261" s="499"/>
      <c r="AK261" s="1459"/>
      <c r="AL261" s="1459"/>
      <c r="AM261" s="1459"/>
      <c r="AN261" s="1459"/>
      <c r="AO261" s="1459"/>
      <c r="AP261" s="1459"/>
      <c r="AQ261" s="1459"/>
      <c r="AR261" s="1459"/>
    </row>
    <row r="262" spans="1:60" s="17" customFormat="1" ht="37" thickBot="1" x14ac:dyDescent="0.25">
      <c r="A262" s="557" t="s">
        <v>344</v>
      </c>
      <c r="B262" s="26"/>
      <c r="C262" s="499"/>
      <c r="D262" s="596" t="s">
        <v>244</v>
      </c>
      <c r="E262" s="300">
        <f>$E$97</f>
        <v>0</v>
      </c>
      <c r="F262" s="300">
        <f>$F$97</f>
        <v>1</v>
      </c>
      <c r="G262" s="300">
        <f>$G$97</f>
        <v>2</v>
      </c>
      <c r="H262" s="300">
        <f>$H$97</f>
        <v>3</v>
      </c>
      <c r="I262" s="300">
        <f>$I$97</f>
        <v>4</v>
      </c>
      <c r="J262" s="300">
        <f>$J$97</f>
        <v>5</v>
      </c>
      <c r="K262" s="300">
        <f>$K$97</f>
        <v>6</v>
      </c>
      <c r="L262" s="300">
        <f>$L$97</f>
        <v>7</v>
      </c>
      <c r="M262" s="300">
        <f>$M$97</f>
        <v>8</v>
      </c>
      <c r="N262" s="300">
        <f>$N$97</f>
        <v>9</v>
      </c>
      <c r="O262" s="300">
        <f>$O$97</f>
        <v>10</v>
      </c>
      <c r="P262" s="77" t="s">
        <v>232</v>
      </c>
      <c r="Q262" s="77" t="s">
        <v>233</v>
      </c>
      <c r="R262" s="77" t="s">
        <v>242</v>
      </c>
      <c r="V262" s="8"/>
      <c r="X262" s="483">
        <f>X$109</f>
        <v>0</v>
      </c>
      <c r="Y262" s="483">
        <f t="shared" ref="Y262:AC262" si="97">Y$109</f>
        <v>1</v>
      </c>
      <c r="Z262" s="483">
        <f t="shared" si="97"/>
        <v>2</v>
      </c>
      <c r="AA262" s="483">
        <f t="shared" si="97"/>
        <v>4</v>
      </c>
      <c r="AB262" s="483">
        <f t="shared" si="97"/>
        <v>7</v>
      </c>
      <c r="AC262" s="483">
        <f t="shared" si="97"/>
        <v>10</v>
      </c>
      <c r="AE262" s="512"/>
      <c r="AF262" s="52"/>
      <c r="AG262" s="52"/>
      <c r="AH262" s="499"/>
      <c r="AI262" s="499"/>
      <c r="AJ262" s="499"/>
      <c r="AK262" s="1459"/>
      <c r="AL262" s="1459"/>
      <c r="AM262" s="1459"/>
      <c r="AN262" s="1459"/>
      <c r="AO262" s="1459"/>
      <c r="AP262" s="1459"/>
      <c r="AQ262" s="1459"/>
      <c r="AR262" s="1459"/>
    </row>
    <row r="263" spans="1:60" s="17" customFormat="1" ht="50" customHeight="1" thickTop="1" x14ac:dyDescent="0.2">
      <c r="A263" s="1358" t="str">
        <f>BIBLE!E151</f>
        <v>E01</v>
      </c>
      <c r="B263" s="502" t="str">
        <f>BIBLE!F151</f>
        <v>Comment qualifieriez-vous votre relation et votre degré de complicité avec votre enfant, aujourd’hui (temps présent) ?</v>
      </c>
      <c r="C263" s="498" t="str">
        <f>BIBLE!O151</f>
        <v>Aucune (1) à Excellente (10)</v>
      </c>
      <c r="D263" s="1527">
        <f>BIBLE!L151</f>
        <v>1</v>
      </c>
      <c r="E263" s="7"/>
      <c r="F263" s="7"/>
      <c r="G263" s="160"/>
      <c r="H263" s="160"/>
      <c r="I263" s="160"/>
      <c r="J263" s="160"/>
      <c r="K263" s="26"/>
      <c r="L263" s="7"/>
      <c r="M263" s="7"/>
      <c r="N263" s="7">
        <v>1</v>
      </c>
      <c r="O263" s="7"/>
      <c r="P263" s="1877">
        <f>'TEST_pour PROTOTYPE'!D242</f>
        <v>2</v>
      </c>
      <c r="Q263" s="25">
        <f>P263*D263</f>
        <v>2</v>
      </c>
      <c r="R263" s="8" t="str">
        <f>IF(BIBLE!K151=0,"",BIBLE!K151)</f>
        <v/>
      </c>
      <c r="V263" s="8"/>
      <c r="X263" s="8"/>
      <c r="Y263" s="8"/>
      <c r="Z263" s="8"/>
      <c r="AA263" s="8"/>
      <c r="AB263" s="8"/>
      <c r="AC263" s="8"/>
      <c r="AE263" s="512"/>
      <c r="AF263" s="52"/>
      <c r="AG263" s="52"/>
      <c r="AH263" s="499"/>
      <c r="AI263" s="499"/>
      <c r="AJ263" s="499"/>
      <c r="AK263" s="1459"/>
      <c r="AL263" s="1459"/>
      <c r="AM263" s="1459"/>
      <c r="AN263" s="1459"/>
      <c r="AO263" s="1459"/>
      <c r="AP263" s="1459"/>
      <c r="AQ263" s="1459"/>
      <c r="AR263" s="1459"/>
    </row>
    <row r="264" spans="1:60" s="17" customFormat="1" ht="47" customHeight="1" x14ac:dyDescent="0.2">
      <c r="A264" s="1358" t="str">
        <f>BIBLE!E152</f>
        <v>E02</v>
      </c>
      <c r="B264" s="502" t="str">
        <f>BIBLE!F152</f>
        <v>Dans quelle mesure diriez-vous que votre enfant idéalise (aujourd'hui) l’autre parent ?</v>
      </c>
      <c r="C264" s="498" t="str">
        <f>BIBLE!O152</f>
        <v>Aucune (1) à Excellente (10)</v>
      </c>
      <c r="D264" s="1527">
        <f>BIBLE!L152</f>
        <v>1</v>
      </c>
      <c r="E264" s="7"/>
      <c r="F264" s="7"/>
      <c r="G264" s="160"/>
      <c r="H264" s="160"/>
      <c r="I264" s="160"/>
      <c r="J264" s="160">
        <v>1</v>
      </c>
      <c r="K264" s="26"/>
      <c r="L264" s="7"/>
      <c r="M264" s="7"/>
      <c r="N264" s="7"/>
      <c r="O264" s="7"/>
      <c r="P264" s="1877">
        <f>'TEST_pour PROTOTYPE'!D243</f>
        <v>7</v>
      </c>
      <c r="Q264" s="25">
        <f>P264*D264</f>
        <v>7</v>
      </c>
      <c r="R264" s="8">
        <f>IF(BIBLE!K152=0,"",BIBLE!K152)</f>
        <v>6</v>
      </c>
      <c r="V264" s="8"/>
      <c r="X264" s="8"/>
      <c r="Y264" s="8"/>
      <c r="Z264" s="8"/>
      <c r="AA264" s="8"/>
      <c r="AB264" s="8"/>
      <c r="AC264" s="8"/>
      <c r="AE264" s="512"/>
      <c r="AF264" s="52"/>
      <c r="AG264" s="52"/>
      <c r="AH264" s="499"/>
      <c r="AI264" s="499"/>
      <c r="AJ264" s="499"/>
      <c r="AK264" s="1459"/>
      <c r="AL264" s="1459"/>
      <c r="AM264" s="1459"/>
      <c r="AN264" s="1459"/>
      <c r="AO264" s="1459"/>
      <c r="AP264" s="1459"/>
      <c r="AQ264" s="1459"/>
      <c r="AR264" s="1459"/>
    </row>
    <row r="265" spans="1:60" s="7" customFormat="1" ht="45" customHeight="1" x14ac:dyDescent="0.2">
      <c r="A265" s="1358" t="str">
        <f>BIBLE!E153</f>
        <v>E02a</v>
      </c>
      <c r="B265" s="158" t="str">
        <f>IF(P264&gt;=R264,BIBLE!F153,"")</f>
        <v>Dans quelle mesure diriez-vous que la relation entre votre enfant et l'autre parent est fusionnelle ?</v>
      </c>
      <c r="C265" s="498" t="str">
        <f>BIBLE!O153</f>
        <v>Aucune (1) à Excellente (10)</v>
      </c>
      <c r="D265" s="1527">
        <f>BIBLE!L153</f>
        <v>1</v>
      </c>
      <c r="E265" s="20"/>
      <c r="F265" s="20"/>
      <c r="G265" s="20"/>
      <c r="H265" s="20"/>
      <c r="I265" s="20"/>
      <c r="J265" s="20"/>
      <c r="K265" s="20"/>
      <c r="L265" s="20"/>
      <c r="M265" s="20"/>
      <c r="N265" s="20"/>
      <c r="O265" s="20"/>
      <c r="P265" s="1877">
        <f>'TEST_pour PROTOTYPE'!D244</f>
        <v>2</v>
      </c>
      <c r="Q265" s="25">
        <f>P265*D265</f>
        <v>2</v>
      </c>
      <c r="R265" s="8" t="str">
        <f>IF(BIBLE!K153=0,"",BIBLE!K153)</f>
        <v/>
      </c>
      <c r="S265" s="54"/>
      <c r="T265" s="54"/>
      <c r="U265" s="54"/>
      <c r="V265" s="298"/>
      <c r="W265" s="54"/>
      <c r="X265" s="8"/>
      <c r="Y265" s="8"/>
      <c r="Z265" s="8"/>
      <c r="AA265" s="8"/>
      <c r="AB265" s="8"/>
      <c r="AC265" s="8"/>
      <c r="AE265" s="512"/>
      <c r="AF265" s="52"/>
      <c r="AG265" s="52"/>
      <c r="AH265" s="92"/>
      <c r="AI265" s="92"/>
      <c r="AJ265" s="92"/>
      <c r="AK265" s="743"/>
      <c r="AL265" s="743"/>
      <c r="AM265" s="743"/>
      <c r="AN265" s="743"/>
      <c r="AO265" s="743"/>
      <c r="AP265" s="743"/>
      <c r="AQ265" s="743"/>
      <c r="AR265" s="743"/>
    </row>
    <row r="266" spans="1:60" s="17" customFormat="1" ht="34" customHeight="1" thickBot="1" x14ac:dyDescent="0.25">
      <c r="A266" s="1358"/>
      <c r="B266" s="157"/>
      <c r="C266" s="498"/>
      <c r="D266" s="1527"/>
      <c r="E266" s="507">
        <f>$E$52</f>
        <v>0</v>
      </c>
      <c r="F266" s="300">
        <f>$F$52</f>
        <v>0</v>
      </c>
      <c r="G266" s="300">
        <f>$G$52</f>
        <v>1</v>
      </c>
      <c r="H266" s="300">
        <f>$H$52</f>
        <v>2</v>
      </c>
      <c r="I266" s="300">
        <f>$I$52</f>
        <v>4</v>
      </c>
      <c r="J266" s="300">
        <f>$J$52</f>
        <v>7</v>
      </c>
      <c r="K266" s="300">
        <f>$K$52</f>
        <v>10</v>
      </c>
      <c r="P266" s="77" t="s">
        <v>232</v>
      </c>
      <c r="Q266" s="77" t="s">
        <v>233</v>
      </c>
      <c r="R266" s="77" t="s">
        <v>242</v>
      </c>
      <c r="V266" s="8"/>
      <c r="X266" s="8"/>
      <c r="Y266" s="8"/>
      <c r="Z266" s="8"/>
      <c r="AA266" s="8"/>
      <c r="AB266" s="8"/>
      <c r="AC266" s="8"/>
      <c r="AE266" s="512"/>
      <c r="AF266" s="52"/>
      <c r="AG266" s="52"/>
      <c r="AH266" s="499"/>
      <c r="AI266" s="499"/>
      <c r="AJ266" s="499"/>
      <c r="AK266" s="1459"/>
      <c r="AL266" s="1459"/>
      <c r="AM266" s="1459"/>
      <c r="AN266" s="1459"/>
      <c r="AO266" s="1459"/>
      <c r="AP266" s="1459"/>
      <c r="AQ266" s="1459"/>
      <c r="AR266" s="1459"/>
    </row>
    <row r="267" spans="1:60" s="7" customFormat="1" ht="77" customHeight="1" thickTop="1" x14ac:dyDescent="0.2">
      <c r="A267" s="1358" t="str">
        <f>BIBLE!E154</f>
        <v>E03</v>
      </c>
      <c r="B267" s="502" t="str">
        <f>BIBLE!F154</f>
        <v>Votre enfant garde des secrets et vous cache de l'information concernant sa relation avec l'autre parent.</v>
      </c>
      <c r="C267" s="498" t="str">
        <f>BIBLE!O154</f>
        <v xml:space="preserve">Jamais / Rarement / Occasionnellement / Régulièrement / Souvent / Toujours / S.O. </v>
      </c>
      <c r="D267" s="1527">
        <f>IF($E$40&lt;=8,BIBLE!M154,BIBLE!L154)</f>
        <v>1</v>
      </c>
      <c r="E267" s="20"/>
      <c r="F267" s="20"/>
      <c r="G267" s="20"/>
      <c r="H267" s="20">
        <v>1</v>
      </c>
      <c r="I267" s="20"/>
      <c r="J267" s="20"/>
      <c r="K267" s="20"/>
      <c r="L267" s="20"/>
      <c r="M267" s="20"/>
      <c r="N267" s="20"/>
      <c r="O267" s="20"/>
      <c r="P267" s="1877">
        <f>'TEST_pour PROTOTYPE'!D245</f>
        <v>7</v>
      </c>
      <c r="Q267" s="25">
        <f t="shared" ref="Q267:Q272" si="98">P267*D267</f>
        <v>7</v>
      </c>
      <c r="R267" s="8">
        <f>IF(BIBLE!K154=0,"",BIBLE!K154)</f>
        <v>4</v>
      </c>
      <c r="S267" s="17"/>
      <c r="T267" s="17"/>
      <c r="U267" s="17"/>
      <c r="V267" s="6">
        <f>IF(P267&gt;=R267,IF(Q267&gt;Q268,Q267,Q268),Q267)</f>
        <v>20</v>
      </c>
      <c r="W267" s="8"/>
      <c r="X267" s="6">
        <f t="shared" ref="X267:AC267" si="99">IF(($P267&gt;=$R267),IF($Q267&gt;$Q268,X$109*$D267,X$109*$D268),X$109*$D267)</f>
        <v>0</v>
      </c>
      <c r="Y267" s="6">
        <f t="shared" si="99"/>
        <v>2</v>
      </c>
      <c r="Z267" s="6">
        <f t="shared" si="99"/>
        <v>4</v>
      </c>
      <c r="AA267" s="6">
        <f t="shared" si="99"/>
        <v>8</v>
      </c>
      <c r="AB267" s="6">
        <f t="shared" si="99"/>
        <v>14</v>
      </c>
      <c r="AC267" s="6">
        <f t="shared" si="99"/>
        <v>20</v>
      </c>
      <c r="AE267" s="512"/>
      <c r="AF267" s="52"/>
      <c r="AG267" s="52"/>
      <c r="AH267" s="23">
        <f>IF($Q267=$V267,$Q267*BIBLE!S154,$Q268*BIBLE!S155)</f>
        <v>10</v>
      </c>
      <c r="AI267" s="23">
        <f>IF($Q267=$V267,$Q267*BIBLE!T154,$Q268*BIBLE!T155)</f>
        <v>10</v>
      </c>
      <c r="AJ267" s="23">
        <f>IF($Q267=$V267,$Q267*BIBLE!U154,$Q268*BIBLE!U155)</f>
        <v>0</v>
      </c>
      <c r="AK267" s="1458">
        <f>IF($Q267=$V267,$Q267*BIBLE!W154,$Q268*BIBLE!W155)</f>
        <v>20</v>
      </c>
      <c r="AL267" s="1458">
        <f>IF($Q267=$V267,$Q267*BIBLE!X154,$Q268*BIBLE!X155)</f>
        <v>0</v>
      </c>
      <c r="AM267" s="1458">
        <f>IF($Q267=$V267,$Q267*BIBLE!Y154,$Q268*BIBLE!Y155)</f>
        <v>0</v>
      </c>
      <c r="AN267" s="1458">
        <f>IF($Q267=$V267,$Q267*BIBLE!Z154,$Q268*BIBLE!Z155)</f>
        <v>0</v>
      </c>
      <c r="AO267" s="1458">
        <f>IF($Q267=$V267,$Q267*BIBLE!AA154,$Q268*BIBLE!AA155)</f>
        <v>0</v>
      </c>
      <c r="AP267" s="1458">
        <f>IF($Q267=$V267,$Q267*BIBLE!AB154,$Q268*BIBLE!AB155)</f>
        <v>0</v>
      </c>
      <c r="AQ267" s="1458">
        <f>IF($Q267=$V267,$Q267*BIBLE!AC154,$Q268*BIBLE!AC155)</f>
        <v>0</v>
      </c>
      <c r="AR267" s="1458">
        <f>IF($Q267=$V267,$Q267*BIBLE!AD154,$Q268*BIBLE!AD155)</f>
        <v>0</v>
      </c>
    </row>
    <row r="268" spans="1:60" s="7" customFormat="1" ht="77" customHeight="1" x14ac:dyDescent="0.2">
      <c r="A268" s="1358" t="str">
        <f>BIBLE!E155</f>
        <v>E03a</v>
      </c>
      <c r="B268" s="158" t="str">
        <f>IF(P267&gt;=R267,BIBLE!F155,"")</f>
        <v>Votre enfant a reçu l’ordre de ne pas vous raconter ce qui se passe chez l’autre parent.</v>
      </c>
      <c r="C268" s="498" t="str">
        <f>BIBLE!O155</f>
        <v>Nulle / Très faible / Faible / Moyenne / Élevée / Très élevée / S.O.</v>
      </c>
      <c r="D268" s="1527">
        <f>BIBLE!L155</f>
        <v>2</v>
      </c>
      <c r="E268" s="20"/>
      <c r="F268" s="20"/>
      <c r="G268" s="20"/>
      <c r="H268" s="20"/>
      <c r="I268" s="20"/>
      <c r="J268" s="20"/>
      <c r="K268" s="20"/>
      <c r="L268" s="20"/>
      <c r="M268" s="20"/>
      <c r="N268" s="20"/>
      <c r="O268" s="20"/>
      <c r="P268" s="1877">
        <f>'TEST_pour PROTOTYPE'!D246</f>
        <v>10</v>
      </c>
      <c r="Q268" s="25">
        <f t="shared" si="98"/>
        <v>20</v>
      </c>
      <c r="R268" s="8" t="str">
        <f>IF(BIBLE!K155=0,"",BIBLE!K155)</f>
        <v/>
      </c>
      <c r="V268" s="8"/>
      <c r="X268" s="6"/>
      <c r="Y268" s="6"/>
      <c r="Z268" s="6"/>
      <c r="AA268" s="6"/>
      <c r="AB268" s="6"/>
      <c r="AC268" s="6"/>
      <c r="AE268" s="512"/>
      <c r="AF268" s="52"/>
      <c r="AG268" s="52"/>
      <c r="AH268" s="92"/>
      <c r="AI268" s="92"/>
      <c r="AJ268" s="92"/>
      <c r="AK268" s="743"/>
      <c r="AL268" s="743"/>
      <c r="AM268" s="743"/>
      <c r="AN268" s="743"/>
      <c r="AO268" s="743"/>
      <c r="AP268" s="743"/>
      <c r="AQ268" s="743"/>
      <c r="AR268" s="743"/>
    </row>
    <row r="269" spans="1:60" s="7" customFormat="1" ht="77" customHeight="1" x14ac:dyDescent="0.2">
      <c r="A269" s="1358" t="str">
        <f>BIBLE!E156</f>
        <v>E04</v>
      </c>
      <c r="B269" s="502" t="str">
        <f>IF($P$59&gt;=3,BIBLE!F156,"")</f>
        <v>Votre enfant défend l'autre parent, quoi que vous fassiez, quoi que vous disiez.</v>
      </c>
      <c r="C269" s="498" t="str">
        <f>BIBLE!O156</f>
        <v xml:space="preserve">Jamais / Rarement / Occasionnellement / Régulièrement / Souvent / Toujours / S.O. </v>
      </c>
      <c r="D269" s="1527">
        <f>BIBLE!L156</f>
        <v>2</v>
      </c>
      <c r="E269" s="20">
        <v>1</v>
      </c>
      <c r="F269" s="20"/>
      <c r="G269" s="20"/>
      <c r="H269" s="20"/>
      <c r="I269" s="20"/>
      <c r="J269" s="20"/>
      <c r="K269" s="20"/>
      <c r="L269" s="20"/>
      <c r="M269" s="20"/>
      <c r="N269" s="20"/>
      <c r="O269" s="20"/>
      <c r="P269" s="1877">
        <f>'TEST_pour PROTOTYPE'!D247</f>
        <v>0</v>
      </c>
      <c r="Q269" s="25">
        <f t="shared" si="98"/>
        <v>0</v>
      </c>
      <c r="R269" s="8">
        <f>IF(BIBLE!K156=0,"",BIBLE!K156)</f>
        <v>4</v>
      </c>
      <c r="V269" s="6">
        <f>MAX(AS269:AS271)</f>
        <v>0</v>
      </c>
      <c r="W269" s="8"/>
      <c r="X269" s="6">
        <f t="shared" ref="X269" si="100">MAX(AU269:AU271)</f>
        <v>0</v>
      </c>
      <c r="Y269" s="6">
        <f t="shared" ref="Y269" si="101">MAX(AV269:AV271)</f>
        <v>0</v>
      </c>
      <c r="Z269" s="6">
        <f t="shared" ref="Z269" si="102">MAX(AW269:AW271)</f>
        <v>0</v>
      </c>
      <c r="AA269" s="6">
        <f t="shared" ref="AA269" si="103">MAX(AX269:AX271)</f>
        <v>0</v>
      </c>
      <c r="AB269" s="6">
        <f t="shared" ref="AB269" si="104">MAX(AY269:AY271)</f>
        <v>0</v>
      </c>
      <c r="AC269" s="6">
        <f>MAX(AZ269:AZ271)</f>
        <v>0</v>
      </c>
      <c r="AE269" s="512"/>
      <c r="AF269" s="52"/>
      <c r="AG269" s="52"/>
      <c r="AH269" s="23">
        <f>IF($Q269=$V269,$Q269*BIBLE!S156,IF(Test_Bible!$Q270=Test_Bible!$V269,Test_Bible!$Q270*BIBLE!S157,Test_Bible!$Q271*BIBLE!S158))</f>
        <v>0</v>
      </c>
      <c r="AI269" s="23">
        <f>IF($Q269=$V269,$Q269*BIBLE!T156,IF(Test_Bible!$Q270=Test_Bible!$V269,Test_Bible!$Q270*BIBLE!T157,Test_Bible!$Q271*BIBLE!T158))</f>
        <v>0</v>
      </c>
      <c r="AJ269" s="23">
        <f>IF($Q269=$V269,$Q269*BIBLE!U156,IF(Test_Bible!$Q270=Test_Bible!$V269,Test_Bible!$Q270*BIBLE!U157,Test_Bible!$Q271*BIBLE!U158))</f>
        <v>0</v>
      </c>
      <c r="AK269" s="743">
        <f>IF($Q269=$V269,$Q269*BIBLE!W152,IF(Test_Bible!$Q270=Test_Bible!$V269,Test_Bible!$Q270*BIBLE!W153,Test_Bible!$Q271*BIBLE!W154))</f>
        <v>0</v>
      </c>
      <c r="AL269" s="743">
        <f>IF($Q269=$V269,$Q269*BIBLE!X152,IF(Test_Bible!$Q270=Test_Bible!$V269,Test_Bible!$Q270*BIBLE!X153,Test_Bible!$Q271*BIBLE!X154))</f>
        <v>0</v>
      </c>
      <c r="AM269" s="743">
        <f>IF($Q269=$V269,$Q269*BIBLE!Y152,IF(Test_Bible!$Q270=Test_Bible!$V269,Test_Bible!$Q270*BIBLE!Y153,Test_Bible!$Q271*BIBLE!Y154))</f>
        <v>0</v>
      </c>
      <c r="AN269" s="743">
        <f>IF($Q269=$V269,$Q269*BIBLE!Z152,IF(Test_Bible!$Q270=Test_Bible!$V269,Test_Bible!$Q270*BIBLE!Z153,Test_Bible!$Q271*BIBLE!Z154))</f>
        <v>0</v>
      </c>
      <c r="AO269" s="743">
        <f>IF($Q269=$V269,$Q269*BIBLE!AA152,IF(Test_Bible!$Q270=Test_Bible!$V269,Test_Bible!$Q270*BIBLE!AA153,Test_Bible!$Q271*BIBLE!AA154))</f>
        <v>0</v>
      </c>
      <c r="AP269" s="743">
        <f>IF($Q269=$V269,$Q269*BIBLE!AB152,IF(Test_Bible!$Q270=Test_Bible!$V269,Test_Bible!$Q270*BIBLE!AB153,Test_Bible!$Q271*BIBLE!AB154))</f>
        <v>0</v>
      </c>
      <c r="AQ269" s="743">
        <f>IF($Q269=$V269,$Q269*BIBLE!AC152,IF(Test_Bible!$Q270=Test_Bible!$V269,Test_Bible!$Q270*BIBLE!AC153,Test_Bible!$Q271*BIBLE!AC154))</f>
        <v>0</v>
      </c>
      <c r="AR269" s="743">
        <f>IF($Q269=$V269,$Q269*BIBLE!AD152,IF(Test_Bible!$Q270=Test_Bible!$V269,Test_Bible!$Q270*BIBLE!AD153,Test_Bible!$Q271*BIBLE!AD154))</f>
        <v>0</v>
      </c>
      <c r="AS269" s="6">
        <f>Q269</f>
        <v>0</v>
      </c>
      <c r="AT269" s="298"/>
      <c r="AU269" s="6">
        <f t="shared" ref="AU269:AU271" si="105">IF($Q269&gt;0,X$109*$D269,0)</f>
        <v>0</v>
      </c>
      <c r="AV269" s="6">
        <f t="shared" ref="AV269:AV271" si="106">IF($Q269&gt;0,Y$109*$D269,0)</f>
        <v>0</v>
      </c>
      <c r="AW269" s="6">
        <f t="shared" ref="AW269:AW271" si="107">IF($Q269&gt;0,Z$109*$D269,0)</f>
        <v>0</v>
      </c>
      <c r="AX269" s="6">
        <f t="shared" ref="AX269:AX271" si="108">IF($Q269&gt;0,AA$109*$D269,0)</f>
        <v>0</v>
      </c>
      <c r="AY269" s="6">
        <f t="shared" ref="AY269:AY271" si="109">IF($Q269&gt;0,AB$109*$D269,0)</f>
        <v>0</v>
      </c>
      <c r="AZ269" s="6">
        <f t="shared" ref="AZ269:AZ271" si="110">IF($Q269&gt;0,AC$109*$D269,0)</f>
        <v>0</v>
      </c>
    </row>
    <row r="270" spans="1:60" s="7" customFormat="1" ht="77" customHeight="1" x14ac:dyDescent="0.2">
      <c r="A270" s="1358" t="str">
        <f>BIBLE!E157</f>
        <v>E04a</v>
      </c>
      <c r="B270" s="158" t="str">
        <f>IF(P269&gt;=R269,BIBLE!F157,"")</f>
        <v/>
      </c>
      <c r="C270" s="498" t="str">
        <f>BIBLE!O157</f>
        <v xml:space="preserve">Jamais / Rarement / Occasionnellement / Régulièrement / Souvent / Toujours / S.O. </v>
      </c>
      <c r="D270" s="1527">
        <f>BIBLE!L157</f>
        <v>3</v>
      </c>
      <c r="E270" s="20"/>
      <c r="F270" s="20"/>
      <c r="G270" s="20"/>
      <c r="H270" s="20"/>
      <c r="I270" s="20"/>
      <c r="J270" s="20"/>
      <c r="K270" s="69"/>
      <c r="L270" s="20"/>
      <c r="M270" s="20"/>
      <c r="N270" s="20"/>
      <c r="O270" s="20"/>
      <c r="P270" s="1877">
        <f>'TEST_pour PROTOTYPE'!D248</f>
        <v>0</v>
      </c>
      <c r="Q270" s="25">
        <f t="shared" si="98"/>
        <v>0</v>
      </c>
      <c r="R270" s="8">
        <f>IF(BIBLE!K157=0,"",BIBLE!K157)</f>
        <v>4</v>
      </c>
      <c r="V270" s="8"/>
      <c r="AE270" s="512"/>
      <c r="AF270" s="52"/>
      <c r="AG270" s="52"/>
      <c r="AH270" s="92"/>
      <c r="AI270" s="92"/>
      <c r="AJ270" s="92"/>
      <c r="AK270" s="743"/>
      <c r="AL270" s="743"/>
      <c r="AM270" s="743"/>
      <c r="AN270" s="743"/>
      <c r="AO270" s="743"/>
      <c r="AP270" s="743"/>
      <c r="AQ270" s="743"/>
      <c r="AR270" s="743"/>
      <c r="AS270" s="6">
        <f>Q270</f>
        <v>0</v>
      </c>
      <c r="AT270" s="298"/>
      <c r="AU270" s="6">
        <f t="shared" si="105"/>
        <v>0</v>
      </c>
      <c r="AV270" s="6">
        <f t="shared" si="106"/>
        <v>0</v>
      </c>
      <c r="AW270" s="6">
        <f t="shared" si="107"/>
        <v>0</v>
      </c>
      <c r="AX270" s="6">
        <f t="shared" si="108"/>
        <v>0</v>
      </c>
      <c r="AY270" s="6">
        <f t="shared" si="109"/>
        <v>0</v>
      </c>
      <c r="AZ270" s="6">
        <f t="shared" si="110"/>
        <v>0</v>
      </c>
      <c r="BB270" s="17" t="s">
        <v>527</v>
      </c>
    </row>
    <row r="271" spans="1:60" s="7" customFormat="1" ht="62" customHeight="1" x14ac:dyDescent="0.2">
      <c r="A271" s="1358" t="str">
        <f>BIBLE!E158</f>
        <v>E04a1</v>
      </c>
      <c r="B271" s="158" t="str">
        <f>IF(P270&gt;=R270,BIBLE!F158,"")</f>
        <v/>
      </c>
      <c r="C271" s="498" t="str">
        <f>BIBLE!O158</f>
        <v xml:space="preserve">Jamais / Rarement / Occasionnellement / Régulièrement / Souvent / Toujours / S.O. </v>
      </c>
      <c r="D271" s="1527">
        <f>BIBLE!L158</f>
        <v>3</v>
      </c>
      <c r="E271" s="20"/>
      <c r="F271" s="20"/>
      <c r="G271" s="20"/>
      <c r="H271" s="20"/>
      <c r="I271" s="20"/>
      <c r="J271" s="20"/>
      <c r="K271" s="20"/>
      <c r="L271" s="20"/>
      <c r="M271" s="20"/>
      <c r="N271" s="20"/>
      <c r="O271" s="20"/>
      <c r="P271" s="1877">
        <f>'TEST_pour PROTOTYPE'!D249</f>
        <v>0</v>
      </c>
      <c r="Q271" s="25">
        <f>P271*D271</f>
        <v>0</v>
      </c>
      <c r="R271" s="8" t="str">
        <f>IF(BIBLE!K158=0,"",BIBLE!K158)</f>
        <v/>
      </c>
      <c r="S271" s="55"/>
      <c r="T271" s="55"/>
      <c r="U271" s="55"/>
      <c r="V271" s="8"/>
      <c r="AE271" s="512"/>
      <c r="AF271" s="52"/>
      <c r="AG271" s="52"/>
      <c r="AH271" s="92"/>
      <c r="AI271" s="92"/>
      <c r="AJ271" s="92"/>
      <c r="AK271" s="743"/>
      <c r="AL271" s="743"/>
      <c r="AM271" s="743"/>
      <c r="AN271" s="743"/>
      <c r="AO271" s="743"/>
      <c r="AP271" s="743"/>
      <c r="AQ271" s="743"/>
      <c r="AR271" s="743"/>
      <c r="AS271" s="6">
        <f>Q271</f>
        <v>0</v>
      </c>
      <c r="AT271" s="298"/>
      <c r="AU271" s="6">
        <f t="shared" si="105"/>
        <v>0</v>
      </c>
      <c r="AV271" s="6">
        <f t="shared" si="106"/>
        <v>0</v>
      </c>
      <c r="AW271" s="6">
        <f t="shared" si="107"/>
        <v>0</v>
      </c>
      <c r="AX271" s="6">
        <f t="shared" si="108"/>
        <v>0</v>
      </c>
      <c r="AY271" s="6">
        <f t="shared" si="109"/>
        <v>0</v>
      </c>
      <c r="AZ271" s="6">
        <f t="shared" si="110"/>
        <v>0</v>
      </c>
      <c r="BH271" s="17"/>
    </row>
    <row r="272" spans="1:60" s="7" customFormat="1" ht="77" customHeight="1" x14ac:dyDescent="0.2">
      <c r="A272" s="1358" t="str">
        <f>BIBLE!E159</f>
        <v>E05</v>
      </c>
      <c r="B272" s="502" t="str">
        <f>BIBLE!F159</f>
        <v>Votre enfant s’exprime avec des expressions ou des paroles empruntées à l’autre parent.</v>
      </c>
      <c r="C272" s="498" t="str">
        <f>BIBLE!O159</f>
        <v xml:space="preserve">Jamais / Rarement / Occasionnellement / Régulièrement / Souvent / Toujours / S.O. </v>
      </c>
      <c r="D272" s="1527">
        <f>BIBLE!L159</f>
        <v>2</v>
      </c>
      <c r="E272" s="20"/>
      <c r="F272" s="20"/>
      <c r="G272" s="20"/>
      <c r="H272" s="20"/>
      <c r="I272" s="20"/>
      <c r="J272" s="20">
        <v>1</v>
      </c>
      <c r="K272" s="69"/>
      <c r="L272" s="20"/>
      <c r="M272" s="20"/>
      <c r="N272" s="20"/>
      <c r="O272" s="20"/>
      <c r="P272" s="1877">
        <f>'TEST_pour PROTOTYPE'!D250</f>
        <v>4</v>
      </c>
      <c r="Q272" s="25">
        <f t="shared" si="98"/>
        <v>8</v>
      </c>
      <c r="R272" s="8">
        <f>IF(BIBLE!K159=0,"",BIBLE!K159)</f>
        <v>4</v>
      </c>
      <c r="S272" s="54"/>
      <c r="T272" s="54"/>
      <c r="U272" s="54"/>
      <c r="V272" s="6">
        <f>Q272</f>
        <v>8</v>
      </c>
      <c r="W272" s="298"/>
      <c r="X272" s="6">
        <f t="shared" ref="X272:AC272" si="111">IF($Q272&gt;0,X$109*$D272,0)</f>
        <v>0</v>
      </c>
      <c r="Y272" s="6">
        <f t="shared" si="111"/>
        <v>2</v>
      </c>
      <c r="Z272" s="6">
        <f t="shared" si="111"/>
        <v>4</v>
      </c>
      <c r="AA272" s="6">
        <f t="shared" si="111"/>
        <v>8</v>
      </c>
      <c r="AB272" s="6">
        <f t="shared" si="111"/>
        <v>14</v>
      </c>
      <c r="AC272" s="6">
        <f t="shared" si="111"/>
        <v>20</v>
      </c>
      <c r="AE272" s="512"/>
      <c r="AF272" s="52"/>
      <c r="AG272" s="52"/>
      <c r="AH272" s="23">
        <f>$V272*BIBLE!S159</f>
        <v>0</v>
      </c>
      <c r="AI272" s="23">
        <f>$V272*BIBLE!T159</f>
        <v>0</v>
      </c>
      <c r="AJ272" s="23">
        <f>$V272*BIBLE!U159</f>
        <v>8</v>
      </c>
      <c r="AK272" s="1458">
        <f>$V272*BIBLE!W159</f>
        <v>8</v>
      </c>
      <c r="AL272" s="1458">
        <f>$V272*BIBLE!X159</f>
        <v>0</v>
      </c>
      <c r="AM272" s="1458">
        <f>$V272*BIBLE!Y159</f>
        <v>0</v>
      </c>
      <c r="AN272" s="1458">
        <f>$V272*BIBLE!Z159</f>
        <v>0</v>
      </c>
      <c r="AO272" s="1458">
        <f>$V272*BIBLE!AA159</f>
        <v>0</v>
      </c>
      <c r="AP272" s="1458">
        <f>$V272*BIBLE!AB159</f>
        <v>0</v>
      </c>
      <c r="AQ272" s="1458">
        <f>$V272*BIBLE!AC159</f>
        <v>0</v>
      </c>
      <c r="AR272" s="1458">
        <f>$V272*BIBLE!AD159</f>
        <v>0</v>
      </c>
    </row>
    <row r="273" spans="1:60" s="7" customFormat="1" ht="40" customHeight="1" x14ac:dyDescent="0.2">
      <c r="A273" s="1358" t="str">
        <f>BIBLE!E160</f>
        <v>E05a</v>
      </c>
      <c r="B273" s="158" t="str">
        <f>IF(P272&gt;=R272,BIBLE!F160,"")</f>
        <v>Dans quels contextes ou à quelles occasions cela se produit-il ?</v>
      </c>
      <c r="C273" s="498"/>
      <c r="D273" s="1527"/>
      <c r="E273" s="20"/>
      <c r="F273" s="20"/>
      <c r="G273" s="20"/>
      <c r="H273" s="20"/>
      <c r="I273" s="20"/>
      <c r="J273" s="20"/>
      <c r="K273" s="69"/>
      <c r="L273" s="20"/>
      <c r="M273" s="20"/>
      <c r="N273" s="20"/>
      <c r="O273" s="1875" t="s">
        <v>1621</v>
      </c>
      <c r="P273" s="24">
        <f>SUM(P274:P277)</f>
        <v>4</v>
      </c>
      <c r="Q273" s="25"/>
      <c r="R273" s="8" t="str">
        <f>IF(BIBLE!K160=0,"",BIBLE!K160)</f>
        <v/>
      </c>
      <c r="S273" s="54"/>
      <c r="T273" s="54"/>
      <c r="U273" s="54"/>
      <c r="V273" s="6"/>
      <c r="W273" s="8"/>
      <c r="X273" s="6"/>
      <c r="Y273" s="6"/>
      <c r="Z273" s="6"/>
      <c r="AA273" s="6"/>
      <c r="AB273" s="6"/>
      <c r="AC273" s="6"/>
      <c r="AE273" s="512"/>
      <c r="AF273" s="52"/>
      <c r="AG273" s="52"/>
      <c r="AH273" s="92"/>
      <c r="AI273" s="92"/>
      <c r="AJ273" s="92"/>
      <c r="AK273" s="743"/>
      <c r="AL273" s="743"/>
      <c r="AM273" s="743"/>
      <c r="AN273" s="743"/>
      <c r="AO273" s="743"/>
      <c r="AP273" s="743"/>
      <c r="AQ273" s="743"/>
      <c r="AR273" s="743"/>
    </row>
    <row r="274" spans="1:60" s="7" customFormat="1" ht="33" customHeight="1" x14ac:dyDescent="0.2">
      <c r="A274" s="1358"/>
      <c r="B274" s="158" t="str">
        <f>IF(P272&gt;=R272,"Au retour d'un séjour (garde) de l'autre parent","")</f>
        <v>Au retour d'un séjour (garde) de l'autre parent</v>
      </c>
      <c r="C274" s="2227"/>
      <c r="D274" s="1775">
        <v>1</v>
      </c>
      <c r="E274" s="1793">
        <f>'TEST_pour PROTOTYPE'!D251</f>
        <v>1</v>
      </c>
      <c r="F274" s="20"/>
      <c r="G274" s="20"/>
      <c r="H274" s="20"/>
      <c r="I274" s="20"/>
      <c r="J274" s="20"/>
      <c r="K274" s="69"/>
      <c r="L274" s="20"/>
      <c r="M274" s="20"/>
      <c r="N274" s="20"/>
      <c r="O274" s="20"/>
      <c r="P274" s="1788">
        <f>D274*E274</f>
        <v>1</v>
      </c>
      <c r="Q274" s="25"/>
      <c r="R274" s="8"/>
      <c r="S274" s="54"/>
      <c r="T274" s="54"/>
      <c r="U274" s="54"/>
      <c r="V274" s="6"/>
      <c r="W274" s="8"/>
      <c r="X274" s="6"/>
      <c r="Y274" s="6"/>
      <c r="Z274" s="6"/>
      <c r="AA274" s="6"/>
      <c r="AB274" s="6"/>
      <c r="AC274" s="6"/>
      <c r="AE274" s="512"/>
      <c r="AF274" s="52"/>
      <c r="AG274" s="52"/>
      <c r="AH274" s="92"/>
      <c r="AI274" s="92"/>
      <c r="AJ274" s="92"/>
      <c r="AK274" s="743"/>
      <c r="AL274" s="743"/>
      <c r="AM274" s="743"/>
      <c r="AN274" s="743"/>
      <c r="AO274" s="743"/>
      <c r="AP274" s="743"/>
      <c r="AQ274" s="743"/>
      <c r="AR274" s="743"/>
    </row>
    <row r="275" spans="1:60" s="7" customFormat="1" ht="33" customHeight="1" x14ac:dyDescent="0.2">
      <c r="A275" s="1358"/>
      <c r="B275" s="158" t="str">
        <f>IF(P272&gt;=R272,"Lorsque l'enfant est en présence de l'autre parent","")</f>
        <v>Lorsque l'enfant est en présence de l'autre parent</v>
      </c>
      <c r="C275" s="2227"/>
      <c r="D275" s="1775">
        <v>2</v>
      </c>
      <c r="E275" s="1793">
        <f>'TEST_pour PROTOTYPE'!D252</f>
        <v>0</v>
      </c>
      <c r="F275" s="20"/>
      <c r="G275" s="20"/>
      <c r="H275" s="20"/>
      <c r="I275" s="20"/>
      <c r="J275" s="20"/>
      <c r="K275" s="69"/>
      <c r="L275" s="20"/>
      <c r="M275" s="20"/>
      <c r="N275" s="20"/>
      <c r="O275" s="20"/>
      <c r="P275" s="1788">
        <f t="shared" ref="P275:P277" si="112">D275*E275</f>
        <v>0</v>
      </c>
      <c r="Q275" s="25"/>
      <c r="R275" s="8"/>
      <c r="S275" s="54"/>
      <c r="T275" s="54"/>
      <c r="U275" s="54"/>
      <c r="V275" s="6"/>
      <c r="W275" s="8"/>
      <c r="X275" s="6"/>
      <c r="Y275" s="6"/>
      <c r="Z275" s="6"/>
      <c r="AA275" s="6"/>
      <c r="AB275" s="6"/>
      <c r="AC275" s="6"/>
      <c r="AE275" s="512"/>
      <c r="AF275" s="52"/>
      <c r="AG275" s="52"/>
      <c r="AH275" s="92"/>
      <c r="AI275" s="92"/>
      <c r="AJ275" s="92"/>
      <c r="AK275" s="743"/>
      <c r="AL275" s="743"/>
      <c r="AM275" s="743"/>
      <c r="AN275" s="743"/>
      <c r="AO275" s="743"/>
      <c r="AP275" s="743"/>
      <c r="AQ275" s="743"/>
      <c r="AR275" s="743"/>
    </row>
    <row r="276" spans="1:60" s="7" customFormat="1" ht="33" customHeight="1" x14ac:dyDescent="0.2">
      <c r="A276" s="1358"/>
      <c r="B276" s="158" t="str">
        <f>IF(P272&gt;=R272,"Lorsque mon enfant cherche à me convaincre de passer plus de temps chez l'autre parent ","")</f>
        <v xml:space="preserve">Lorsque mon enfant cherche à me convaincre de passer plus de temps chez l'autre parent </v>
      </c>
      <c r="C276" s="2227"/>
      <c r="D276" s="1775">
        <v>3</v>
      </c>
      <c r="E276" s="1793">
        <f>'TEST_pour PROTOTYPE'!D253</f>
        <v>1</v>
      </c>
      <c r="F276" s="20"/>
      <c r="G276" s="20"/>
      <c r="H276" s="20"/>
      <c r="I276" s="20"/>
      <c r="J276" s="20"/>
      <c r="K276" s="69"/>
      <c r="L276" s="20"/>
      <c r="M276" s="20"/>
      <c r="N276" s="20"/>
      <c r="O276" s="20"/>
      <c r="P276" s="1788">
        <f t="shared" si="112"/>
        <v>3</v>
      </c>
      <c r="Q276" s="25"/>
      <c r="R276" s="8"/>
      <c r="S276" s="54"/>
      <c r="T276" s="54"/>
      <c r="U276" s="54"/>
      <c r="V276" s="6"/>
      <c r="W276" s="8"/>
      <c r="X276" s="6"/>
      <c r="Y276" s="6"/>
      <c r="Z276" s="6"/>
      <c r="AA276" s="6"/>
      <c r="AB276" s="6"/>
      <c r="AC276" s="6"/>
      <c r="AE276" s="512"/>
      <c r="AF276" s="52"/>
      <c r="AG276" s="52"/>
      <c r="AH276" s="92"/>
      <c r="AI276" s="92"/>
      <c r="AJ276" s="92"/>
      <c r="AK276" s="743"/>
      <c r="AL276" s="743"/>
      <c r="AM276" s="743"/>
      <c r="AN276" s="743"/>
      <c r="AO276" s="743"/>
      <c r="AP276" s="743"/>
      <c r="AQ276" s="743"/>
      <c r="AR276" s="743"/>
    </row>
    <row r="277" spans="1:60" s="7" customFormat="1" ht="33" customHeight="1" x14ac:dyDescent="0.2">
      <c r="A277" s="1358"/>
      <c r="B277" s="158" t="str">
        <f>IF(P272&gt;=R272,"Lorsque mon enfant me fait des reproches ","")</f>
        <v xml:space="preserve">Lorsque mon enfant me fait des reproches </v>
      </c>
      <c r="C277" s="2227"/>
      <c r="D277" s="1775">
        <v>4</v>
      </c>
      <c r="E277" s="1793">
        <f>'TEST_pour PROTOTYPE'!D254</f>
        <v>0</v>
      </c>
      <c r="F277" s="20"/>
      <c r="G277" s="20"/>
      <c r="H277" s="20"/>
      <c r="I277" s="20"/>
      <c r="J277" s="20"/>
      <c r="K277" s="69"/>
      <c r="L277" s="20"/>
      <c r="M277" s="20"/>
      <c r="N277" s="20"/>
      <c r="O277" s="20"/>
      <c r="P277" s="1788">
        <f t="shared" si="112"/>
        <v>0</v>
      </c>
      <c r="Q277" s="25"/>
      <c r="R277" s="8"/>
      <c r="S277" s="54"/>
      <c r="T277" s="54"/>
      <c r="U277" s="54"/>
      <c r="V277" s="6"/>
      <c r="W277" s="8"/>
      <c r="X277" s="6"/>
      <c r="Y277" s="6"/>
      <c r="Z277" s="6"/>
      <c r="AA277" s="6"/>
      <c r="AB277" s="6"/>
      <c r="AC277" s="6"/>
      <c r="AE277" s="512"/>
      <c r="AF277" s="52"/>
      <c r="AG277" s="52"/>
      <c r="AH277" s="92"/>
      <c r="AI277" s="92"/>
      <c r="AJ277" s="92"/>
      <c r="AK277" s="743"/>
      <c r="AL277" s="743"/>
      <c r="AM277" s="743"/>
      <c r="AN277" s="743"/>
      <c r="AO277" s="743"/>
      <c r="AP277" s="743"/>
      <c r="AQ277" s="743"/>
      <c r="AR277" s="743"/>
    </row>
    <row r="278" spans="1:60" s="7" customFormat="1" ht="63" customHeight="1" x14ac:dyDescent="0.2">
      <c r="A278" s="1358" t="str">
        <f>BIBLE!E161</f>
        <v>E06</v>
      </c>
      <c r="B278" s="502" t="str">
        <f>BIBLE!F161</f>
        <v>Votre enfant vous accuse ou vous reproche d'avoir brisé ou abandonné la famille.</v>
      </c>
      <c r="C278" s="498" t="str">
        <f>BIBLE!O161</f>
        <v xml:space="preserve">Jamais / Rarement / Occasionnellement / Régulièrement / Souvent / Toujours / S.O. </v>
      </c>
      <c r="D278" s="1527">
        <f>IF(P27&gt;=3,BIBLE!M161,BIBLE!L161)</f>
        <v>2</v>
      </c>
      <c r="E278" s="20"/>
      <c r="F278" s="20"/>
      <c r="G278" s="20">
        <v>1</v>
      </c>
      <c r="H278" s="20"/>
      <c r="I278" s="20"/>
      <c r="J278" s="20"/>
      <c r="K278" s="69"/>
      <c r="L278" s="20"/>
      <c r="M278" s="20"/>
      <c r="N278" s="20"/>
      <c r="O278" s="20"/>
      <c r="P278" s="1877">
        <f>'TEST_pour PROTOTYPE'!D255</f>
        <v>4</v>
      </c>
      <c r="Q278" s="25">
        <f>P278*D278</f>
        <v>8</v>
      </c>
      <c r="R278" s="8">
        <f>IF(BIBLE!K161=0,"",BIBLE!K161)</f>
        <v>4</v>
      </c>
      <c r="S278" s="54"/>
      <c r="T278" s="54"/>
      <c r="U278" s="54"/>
      <c r="V278" s="6">
        <f>MAX(AS278:AS280)</f>
        <v>12</v>
      </c>
      <c r="W278" s="8"/>
      <c r="X278" s="6">
        <f t="shared" ref="X278:AB278" si="113">MAX(AU278:AU280)</f>
        <v>0</v>
      </c>
      <c r="Y278" s="6">
        <f t="shared" si="113"/>
        <v>3</v>
      </c>
      <c r="Z278" s="6">
        <f t="shared" si="113"/>
        <v>6</v>
      </c>
      <c r="AA278" s="6">
        <f t="shared" si="113"/>
        <v>12</v>
      </c>
      <c r="AB278" s="6">
        <f t="shared" si="113"/>
        <v>21</v>
      </c>
      <c r="AC278" s="6">
        <f>MAX(AZ278:AZ280)</f>
        <v>30</v>
      </c>
      <c r="AE278" s="512"/>
      <c r="AF278" s="52"/>
      <c r="AG278" s="52"/>
      <c r="AH278" s="23">
        <f>IF($Q278=$V278,$Q278*BIBLE!S161,IF(Test_Bible!$Q279=Test_Bible!$V278,Test_Bible!$Q279*BIBLE!S162,Test_Bible!$Q280*BIBLE!S163))</f>
        <v>0</v>
      </c>
      <c r="AI278" s="23">
        <f>IF($Q278=$V278,$Q278*BIBLE!T161,IF(Test_Bible!$Q279=Test_Bible!$V278,Test_Bible!$Q279*BIBLE!T162,Test_Bible!$Q280*BIBLE!T163))</f>
        <v>12</v>
      </c>
      <c r="AJ278" s="23">
        <f>IF($Q278=$V278,$Q278*BIBLE!U161,IF(Test_Bible!$Q279=Test_Bible!$V278,Test_Bible!$Q279*BIBLE!U162,Test_Bible!$Q280*BIBLE!U163))</f>
        <v>0</v>
      </c>
      <c r="AK278" s="743">
        <f>IF($Q278=$V278,$Q278*BIBLE!W161,IF(Test_Bible!$Q279=Test_Bible!$V278,Test_Bible!$Q279*BIBLE!W162,Test_Bible!$Q280*BIBLE!W163))</f>
        <v>0</v>
      </c>
      <c r="AL278" s="743">
        <f>IF($Q278=$V278,$Q278*BIBLE!X161,IF(Test_Bible!$Q279=Test_Bible!$V278,Test_Bible!$Q279*BIBLE!X162,Test_Bible!$Q280*BIBLE!X163))</f>
        <v>12</v>
      </c>
      <c r="AM278" s="743">
        <f>IF($Q278=$V278,$Q278*BIBLE!Y161,IF(Test_Bible!$Q279=Test_Bible!$V278,Test_Bible!$Q279*BIBLE!Y162,Test_Bible!$Q280*BIBLE!Y163))</f>
        <v>0</v>
      </c>
      <c r="AN278" s="743">
        <f>IF($Q278=$V278,$Q278*BIBLE!Z161,IF(Test_Bible!$Q279=Test_Bible!$V278,Test_Bible!$Q279*BIBLE!Z162,Test_Bible!$Q280*BIBLE!Z163))</f>
        <v>0</v>
      </c>
      <c r="AO278" s="743">
        <f>IF($Q278=$V278,$Q278*BIBLE!AA161,IF(Test_Bible!$Q279=Test_Bible!$V278,Test_Bible!$Q279*BIBLE!AA162,Test_Bible!$Q280*BIBLE!AA163))</f>
        <v>0</v>
      </c>
      <c r="AP278" s="743">
        <f>IF($Q278=$V278,$Q278*BIBLE!AB161,IF(Test_Bible!$Q279=Test_Bible!$V278,Test_Bible!$Q279*BIBLE!AB162,Test_Bible!$Q280*BIBLE!AB163))</f>
        <v>0</v>
      </c>
      <c r="AQ278" s="743">
        <f>IF($Q278=$V278,$Q278*BIBLE!AC161,IF(Test_Bible!$Q279=Test_Bible!$V278,Test_Bible!$Q279*BIBLE!AC162,Test_Bible!$Q280*BIBLE!AC163))</f>
        <v>0</v>
      </c>
      <c r="AR278" s="743">
        <f>IF($Q278=$V278,$Q278*BIBLE!AD161,IF(Test_Bible!$Q279=Test_Bible!$V278,Test_Bible!$Q279*BIBLE!AD162,Test_Bible!$Q280*BIBLE!AD163))</f>
        <v>0</v>
      </c>
      <c r="AS278" s="6">
        <f>Q278</f>
        <v>8</v>
      </c>
      <c r="AT278" s="298"/>
      <c r="AU278" s="6">
        <f t="shared" ref="AU278:AZ280" si="114">IF($Q278&gt;0,X$109*$D278,0)</f>
        <v>0</v>
      </c>
      <c r="AV278" s="6">
        <f t="shared" si="114"/>
        <v>2</v>
      </c>
      <c r="AW278" s="6">
        <f t="shared" si="114"/>
        <v>4</v>
      </c>
      <c r="AX278" s="6">
        <f t="shared" si="114"/>
        <v>8</v>
      </c>
      <c r="AY278" s="6">
        <f t="shared" si="114"/>
        <v>14</v>
      </c>
      <c r="AZ278" s="6">
        <f t="shared" si="114"/>
        <v>20</v>
      </c>
    </row>
    <row r="279" spans="1:60" s="7" customFormat="1" ht="63" customHeight="1" x14ac:dyDescent="0.2">
      <c r="A279" s="1358" t="str">
        <f>BIBLE!E162</f>
        <v>E06a</v>
      </c>
      <c r="B279" s="158" t="str">
        <f>IF(OR(P278&gt;=R278),BIBLE!F162,"")</f>
        <v>Votre enfant croit que vous souffrez d’une maladie mentale ou que vous êtes instable psychologiquement.</v>
      </c>
      <c r="C279" s="498" t="str">
        <f>BIBLE!O162</f>
        <v>Nulle / Très faible / Faible / Moyenne / Élevée / Très élevée / S.O.</v>
      </c>
      <c r="D279" s="1527">
        <f>BIBLE!L162</f>
        <v>3</v>
      </c>
      <c r="E279" s="20"/>
      <c r="F279" s="20"/>
      <c r="G279" s="20"/>
      <c r="H279" s="20"/>
      <c r="I279" s="20"/>
      <c r="J279" s="20"/>
      <c r="K279" s="20"/>
      <c r="L279" s="20"/>
      <c r="M279" s="20"/>
      <c r="N279" s="20"/>
      <c r="O279" s="20"/>
      <c r="P279" s="1877">
        <f>'TEST_pour PROTOTYPE'!D256</f>
        <v>4</v>
      </c>
      <c r="Q279" s="25">
        <f>P279*D279</f>
        <v>12</v>
      </c>
      <c r="R279" s="8">
        <f>IF(BIBLE!K162=0,"",BIBLE!K162)</f>
        <v>4</v>
      </c>
      <c r="S279" s="54"/>
      <c r="T279" s="54"/>
      <c r="U279" s="54"/>
      <c r="V279" s="8"/>
      <c r="AE279" s="512"/>
      <c r="AF279" s="52"/>
      <c r="AG279" s="52"/>
      <c r="AH279" s="92"/>
      <c r="AI279" s="92"/>
      <c r="AJ279" s="92"/>
      <c r="AK279" s="743"/>
      <c r="AL279" s="743"/>
      <c r="AM279" s="743"/>
      <c r="AN279" s="743"/>
      <c r="AO279" s="743"/>
      <c r="AP279" s="743"/>
      <c r="AQ279" s="743"/>
      <c r="AR279" s="743"/>
      <c r="AS279" s="6">
        <f>Q279</f>
        <v>12</v>
      </c>
      <c r="AT279" s="298"/>
      <c r="AU279" s="6">
        <f t="shared" si="114"/>
        <v>0</v>
      </c>
      <c r="AV279" s="6">
        <f t="shared" si="114"/>
        <v>3</v>
      </c>
      <c r="AW279" s="6">
        <f t="shared" si="114"/>
        <v>6</v>
      </c>
      <c r="AX279" s="6">
        <f t="shared" si="114"/>
        <v>12</v>
      </c>
      <c r="AY279" s="6">
        <f t="shared" si="114"/>
        <v>21</v>
      </c>
      <c r="AZ279" s="6">
        <f t="shared" si="114"/>
        <v>30</v>
      </c>
      <c r="BB279" s="17" t="s">
        <v>527</v>
      </c>
    </row>
    <row r="280" spans="1:60" s="7" customFormat="1" ht="63" customHeight="1" x14ac:dyDescent="0.2">
      <c r="A280" s="1358" t="str">
        <f>BIBLE!E163</f>
        <v>E06a1</v>
      </c>
      <c r="B280" s="158" t="str">
        <f>IF(P279&gt;=R279,BIBLE!F163,"")</f>
        <v>Arrive-t-il à votre enfant de vous reprocher d'être dangereux·se ou de présenter un danger pour sa sécurité ?</v>
      </c>
      <c r="C280" s="498" t="str">
        <f>BIBLE!O163</f>
        <v xml:space="preserve">Jamais / Rarement / Occasionnellement / Régulièrement / Souvent / Toujours / S.O. </v>
      </c>
      <c r="D280" s="1527">
        <f>BIBLE!L163</f>
        <v>3</v>
      </c>
      <c r="E280" s="20"/>
      <c r="F280" s="20"/>
      <c r="G280" s="20"/>
      <c r="H280" s="20"/>
      <c r="I280" s="20"/>
      <c r="J280" s="20"/>
      <c r="K280" s="20"/>
      <c r="L280" s="20"/>
      <c r="M280" s="20"/>
      <c r="N280" s="20"/>
      <c r="O280" s="20"/>
      <c r="P280" s="1877">
        <f>'TEST_pour PROTOTYPE'!D257</f>
        <v>0</v>
      </c>
      <c r="Q280" s="25">
        <f>P280*D280</f>
        <v>0</v>
      </c>
      <c r="R280" s="8" t="str">
        <f>IF(BIBLE!K163=0,"",BIBLE!K163)</f>
        <v/>
      </c>
      <c r="S280" s="54"/>
      <c r="T280" s="54"/>
      <c r="U280" s="54"/>
      <c r="V280" s="8"/>
      <c r="AE280" s="512"/>
      <c r="AF280" s="52"/>
      <c r="AG280" s="52"/>
      <c r="AH280" s="92"/>
      <c r="AI280" s="92"/>
      <c r="AJ280" s="92"/>
      <c r="AK280" s="743"/>
      <c r="AL280" s="743"/>
      <c r="AM280" s="743"/>
      <c r="AN280" s="743"/>
      <c r="AO280" s="743"/>
      <c r="AP280" s="743"/>
      <c r="AQ280" s="743"/>
      <c r="AR280" s="743"/>
      <c r="AS280" s="6">
        <f>Q280</f>
        <v>0</v>
      </c>
      <c r="AT280" s="298"/>
      <c r="AU280" s="6">
        <f t="shared" si="114"/>
        <v>0</v>
      </c>
      <c r="AV280" s="6">
        <f t="shared" si="114"/>
        <v>0</v>
      </c>
      <c r="AW280" s="6">
        <f t="shared" si="114"/>
        <v>0</v>
      </c>
      <c r="AX280" s="6">
        <f t="shared" si="114"/>
        <v>0</v>
      </c>
      <c r="AY280" s="6">
        <f t="shared" si="114"/>
        <v>0</v>
      </c>
      <c r="AZ280" s="6">
        <f t="shared" si="114"/>
        <v>0</v>
      </c>
      <c r="BH280" s="17"/>
    </row>
    <row r="281" spans="1:60" s="7" customFormat="1" ht="63" customHeight="1" x14ac:dyDescent="0.2">
      <c r="A281" s="1358" t="str">
        <f>BIBLE!E164</f>
        <v>E07</v>
      </c>
      <c r="B281" s="502" t="str">
        <f>BIBLE!F164</f>
        <v>Votre enfant se sent coupable de passer du temps avec vous car cela pourrait indisposer, contrarier ou faire de la peine à l'autre parent.</v>
      </c>
      <c r="C281" s="498" t="str">
        <f>BIBLE!O164</f>
        <v>Nulle / Très faible / Faible / Moyenne / Élevée / Très élevée / S.O.</v>
      </c>
      <c r="D281" s="1527">
        <f>BIBLE!L164</f>
        <v>1</v>
      </c>
      <c r="E281" s="20"/>
      <c r="F281" s="20"/>
      <c r="G281" s="20"/>
      <c r="H281" s="20"/>
      <c r="I281" s="20"/>
      <c r="J281" s="20">
        <v>1</v>
      </c>
      <c r="K281" s="20"/>
      <c r="L281" s="20"/>
      <c r="M281" s="20"/>
      <c r="N281" s="20"/>
      <c r="O281" s="20"/>
      <c r="P281" s="1877">
        <f>'TEST_pour PROTOTYPE'!D258</f>
        <v>2</v>
      </c>
      <c r="Q281" s="25">
        <f>P281*D281</f>
        <v>2</v>
      </c>
      <c r="R281" s="8" t="str">
        <f>IF(BIBLE!K164=0,"",BIBLE!K164)</f>
        <v/>
      </c>
      <c r="S281" s="54"/>
      <c r="T281" s="54"/>
      <c r="U281" s="54"/>
      <c r="V281" s="6">
        <f t="shared" ref="V281:V285" si="115">Q281</f>
        <v>2</v>
      </c>
      <c r="W281" s="298"/>
      <c r="X281" s="6">
        <f t="shared" ref="X281:AC285" si="116">IF($Q281&gt;0,X$109*$D281,0)</f>
        <v>0</v>
      </c>
      <c r="Y281" s="6">
        <f t="shared" si="116"/>
        <v>1</v>
      </c>
      <c r="Z281" s="6">
        <f t="shared" si="116"/>
        <v>2</v>
      </c>
      <c r="AA281" s="6">
        <f t="shared" si="116"/>
        <v>4</v>
      </c>
      <c r="AB281" s="6">
        <f t="shared" si="116"/>
        <v>7</v>
      </c>
      <c r="AC281" s="6">
        <f t="shared" si="116"/>
        <v>10</v>
      </c>
      <c r="AE281" s="512"/>
      <c r="AF281" s="52"/>
      <c r="AG281" s="52"/>
      <c r="AH281" s="23">
        <f>$V281*BIBLE!S164</f>
        <v>0</v>
      </c>
      <c r="AI281" s="23">
        <f>$V281*BIBLE!T164</f>
        <v>2</v>
      </c>
      <c r="AJ281" s="23">
        <f>$V281*BIBLE!U164</f>
        <v>0</v>
      </c>
      <c r="AK281" s="1458">
        <f>$V281*BIBLE!W164</f>
        <v>0</v>
      </c>
      <c r="AL281" s="1458">
        <f>$V281*BIBLE!X164</f>
        <v>0</v>
      </c>
      <c r="AM281" s="1458">
        <f>$V281*BIBLE!Y164</f>
        <v>2</v>
      </c>
      <c r="AN281" s="1458">
        <f>$V281*BIBLE!Z164</f>
        <v>0</v>
      </c>
      <c r="AO281" s="1458">
        <f>$V281*BIBLE!AA164</f>
        <v>0</v>
      </c>
      <c r="AP281" s="1458">
        <f>$V281*BIBLE!AB164</f>
        <v>0</v>
      </c>
      <c r="AQ281" s="1458">
        <f>$V281*BIBLE!AC164</f>
        <v>0</v>
      </c>
      <c r="AR281" s="1458">
        <f>$V281*BIBLE!AD164</f>
        <v>0</v>
      </c>
    </row>
    <row r="282" spans="1:60" s="7" customFormat="1" ht="63" customHeight="1" x14ac:dyDescent="0.2">
      <c r="A282" s="1358" t="str">
        <f>BIBLE!E165</f>
        <v>E09</v>
      </c>
      <c r="B282" s="502" t="str">
        <f>IF(OR($P$53&gt;=$R$53,P68&gt;=2),BIBLE!F165,"")</f>
        <v/>
      </c>
      <c r="C282" s="498" t="str">
        <f>BIBLE!O165</f>
        <v>Pas du tout / Très peu / Un peu / Moyennement / Grandement / Totalement / S.O.</v>
      </c>
      <c r="D282" s="1527">
        <f>BIBLE!L165</f>
        <v>1</v>
      </c>
      <c r="E282" s="20"/>
      <c r="F282" s="20"/>
      <c r="G282" s="20"/>
      <c r="H282" s="20">
        <v>1</v>
      </c>
      <c r="I282" s="20"/>
      <c r="J282" s="20"/>
      <c r="K282" s="20"/>
      <c r="L282" s="20"/>
      <c r="M282" s="20"/>
      <c r="N282" s="20"/>
      <c r="O282" s="20"/>
      <c r="P282" s="1877">
        <f>'TEST_pour PROTOTYPE'!D259</f>
        <v>0</v>
      </c>
      <c r="Q282" s="25">
        <f t="shared" ref="Q282:Q312" si="117">P282*D282</f>
        <v>0</v>
      </c>
      <c r="R282" s="8" t="str">
        <f>IF(BIBLE!K165=0,"",BIBLE!K165)</f>
        <v/>
      </c>
      <c r="S282" s="54"/>
      <c r="T282" s="54"/>
      <c r="U282" s="54"/>
      <c r="V282" s="6">
        <f>Q282</f>
        <v>0</v>
      </c>
      <c r="W282" s="298"/>
      <c r="X282" s="6">
        <f t="shared" si="116"/>
        <v>0</v>
      </c>
      <c r="Y282" s="6">
        <f t="shared" si="116"/>
        <v>0</v>
      </c>
      <c r="Z282" s="6">
        <f t="shared" si="116"/>
        <v>0</v>
      </c>
      <c r="AA282" s="6">
        <f t="shared" si="116"/>
        <v>0</v>
      </c>
      <c r="AB282" s="6">
        <f t="shared" si="116"/>
        <v>0</v>
      </c>
      <c r="AC282" s="6">
        <f t="shared" si="116"/>
        <v>0</v>
      </c>
      <c r="AE282" s="512"/>
      <c r="AF282" s="52"/>
      <c r="AG282" s="52"/>
      <c r="AH282" s="23">
        <f>$V282*BIBLE!S165</f>
        <v>0</v>
      </c>
      <c r="AI282" s="23">
        <f>$V282*BIBLE!T165</f>
        <v>0</v>
      </c>
      <c r="AJ282" s="23">
        <f>$V282*BIBLE!U165</f>
        <v>0</v>
      </c>
      <c r="AK282" s="1458">
        <f>$V282*BIBLE!W165</f>
        <v>0</v>
      </c>
      <c r="AL282" s="1458">
        <f>$V282*BIBLE!X165</f>
        <v>0</v>
      </c>
      <c r="AM282" s="1458">
        <f>$V282*BIBLE!Y165</f>
        <v>0</v>
      </c>
      <c r="AN282" s="1458">
        <f>$V282*BIBLE!Z165</f>
        <v>0</v>
      </c>
      <c r="AO282" s="1458">
        <f>$V282*BIBLE!AA165</f>
        <v>0</v>
      </c>
      <c r="AP282" s="1458">
        <f>$V282*BIBLE!AB165</f>
        <v>0</v>
      </c>
      <c r="AQ282" s="1458">
        <f>$V282*BIBLE!AC165</f>
        <v>0</v>
      </c>
      <c r="AR282" s="1458">
        <f>$V282*BIBLE!AD165</f>
        <v>0</v>
      </c>
    </row>
    <row r="283" spans="1:60" s="7" customFormat="1" ht="63" customHeight="1" x14ac:dyDescent="0.2">
      <c r="A283" s="1358" t="str">
        <f>BIBLE!E166</f>
        <v>E10</v>
      </c>
      <c r="B283" s="502" t="str">
        <f>BIBLE!F166</f>
        <v>Votre enfant cherche à vous convaincre des qualités de l’autre parent.</v>
      </c>
      <c r="C283" s="498" t="str">
        <f>BIBLE!O166</f>
        <v xml:space="preserve">Jamais / Rarement / Occasionnellement / Régulièrement / Souvent / Toujours / S.O. </v>
      </c>
      <c r="D283" s="1527">
        <f>BIBLE!L166</f>
        <v>2</v>
      </c>
      <c r="E283" s="20"/>
      <c r="F283" s="20"/>
      <c r="G283" s="20"/>
      <c r="H283" s="20">
        <v>1</v>
      </c>
      <c r="I283" s="20"/>
      <c r="J283" s="20"/>
      <c r="K283" s="20"/>
      <c r="L283" s="20"/>
      <c r="M283" s="20"/>
      <c r="N283" s="20"/>
      <c r="O283" s="20"/>
      <c r="P283" s="1877">
        <f>'TEST_pour PROTOTYPE'!D260</f>
        <v>1</v>
      </c>
      <c r="Q283" s="25">
        <f t="shared" si="117"/>
        <v>2</v>
      </c>
      <c r="R283" s="8" t="str">
        <f>IF(BIBLE!K166=0,"",BIBLE!K166)</f>
        <v/>
      </c>
      <c r="S283" s="54"/>
      <c r="T283" s="54"/>
      <c r="U283" s="54"/>
      <c r="V283" s="6">
        <f t="shared" si="115"/>
        <v>2</v>
      </c>
      <c r="W283" s="298"/>
      <c r="X283" s="6">
        <f t="shared" si="116"/>
        <v>0</v>
      </c>
      <c r="Y283" s="6">
        <f t="shared" si="116"/>
        <v>2</v>
      </c>
      <c r="Z283" s="6">
        <f t="shared" si="116"/>
        <v>4</v>
      </c>
      <c r="AA283" s="6">
        <f t="shared" si="116"/>
        <v>8</v>
      </c>
      <c r="AB283" s="6">
        <f t="shared" si="116"/>
        <v>14</v>
      </c>
      <c r="AC283" s="6">
        <f t="shared" si="116"/>
        <v>20</v>
      </c>
      <c r="AE283" s="512"/>
      <c r="AF283" s="52"/>
      <c r="AG283" s="52"/>
      <c r="AH283" s="23">
        <f>$V283*BIBLE!S166</f>
        <v>0</v>
      </c>
      <c r="AI283" s="23">
        <f>$V283*BIBLE!T166</f>
        <v>1</v>
      </c>
      <c r="AJ283" s="23">
        <f>$V283*BIBLE!U166</f>
        <v>1</v>
      </c>
      <c r="AK283" s="1458">
        <f>$V283*BIBLE!W166</f>
        <v>0</v>
      </c>
      <c r="AL283" s="1458">
        <f>$V283*BIBLE!X166</f>
        <v>0</v>
      </c>
      <c r="AM283" s="1458">
        <f>$V283*BIBLE!Y166</f>
        <v>2</v>
      </c>
      <c r="AN283" s="1458">
        <f>$V283*BIBLE!Z166</f>
        <v>0</v>
      </c>
      <c r="AO283" s="1458">
        <f>$V283*BIBLE!AA166</f>
        <v>0</v>
      </c>
      <c r="AP283" s="1458">
        <f>$V283*BIBLE!AB166</f>
        <v>0</v>
      </c>
      <c r="AQ283" s="1458">
        <f>$V283*BIBLE!AC166</f>
        <v>0</v>
      </c>
      <c r="AR283" s="1458">
        <f>$V283*BIBLE!AD166</f>
        <v>0</v>
      </c>
    </row>
    <row r="284" spans="1:60" s="7" customFormat="1" ht="63" customHeight="1" x14ac:dyDescent="0.2">
      <c r="A284" s="1358" t="str">
        <f>BIBLE!E167</f>
        <v>E11</v>
      </c>
      <c r="B284" s="502" t="str">
        <f>BIBLE!F167</f>
        <v>Votre enfant va vers vous lors d'événements culturels ou sportifs lorsqu'il ou elle est en compagnie (sous la supervision) de l'autre parent ?</v>
      </c>
      <c r="C284" s="498" t="str">
        <f>BIBLE!O167</f>
        <v>Toujours / Souvent / Régulièrement / Occasionnellement / Rarement / Jamais / S.O.</v>
      </c>
      <c r="D284" s="1527">
        <f>IF(E40&lt;=8,BIBLE!M167,BIBLE!L167)</f>
        <v>2</v>
      </c>
      <c r="E284" s="20"/>
      <c r="F284" s="20"/>
      <c r="G284" s="20">
        <v>1</v>
      </c>
      <c r="H284" s="20"/>
      <c r="I284" s="20"/>
      <c r="J284" s="20"/>
      <c r="K284" s="20"/>
      <c r="L284" s="20"/>
      <c r="M284" s="20"/>
      <c r="N284" s="20"/>
      <c r="O284" s="20"/>
      <c r="P284" s="1877">
        <f>'TEST_pour PROTOTYPE'!D261</f>
        <v>4</v>
      </c>
      <c r="Q284" s="25">
        <f t="shared" si="117"/>
        <v>8</v>
      </c>
      <c r="R284" s="8" t="str">
        <f>IF(BIBLE!K167=0,"",BIBLE!K167)</f>
        <v/>
      </c>
      <c r="S284" s="54"/>
      <c r="T284" s="54"/>
      <c r="U284" s="54"/>
      <c r="V284" s="6">
        <f t="shared" si="115"/>
        <v>8</v>
      </c>
      <c r="W284" s="298"/>
      <c r="X284" s="6">
        <f t="shared" si="116"/>
        <v>0</v>
      </c>
      <c r="Y284" s="6">
        <f t="shared" si="116"/>
        <v>2</v>
      </c>
      <c r="Z284" s="6">
        <f t="shared" si="116"/>
        <v>4</v>
      </c>
      <c r="AA284" s="6">
        <f t="shared" si="116"/>
        <v>8</v>
      </c>
      <c r="AB284" s="6">
        <f t="shared" si="116"/>
        <v>14</v>
      </c>
      <c r="AC284" s="6">
        <f t="shared" si="116"/>
        <v>20</v>
      </c>
      <c r="AE284" s="512"/>
      <c r="AF284" s="52"/>
      <c r="AG284" s="52"/>
      <c r="AH284" s="23">
        <f>$V284*BIBLE!S167</f>
        <v>8</v>
      </c>
      <c r="AI284" s="23">
        <f>$V284*BIBLE!T167</f>
        <v>0</v>
      </c>
      <c r="AJ284" s="23">
        <f>$V284*BIBLE!U167</f>
        <v>0</v>
      </c>
      <c r="AK284" s="1458">
        <f>$V284*BIBLE!W167</f>
        <v>0</v>
      </c>
      <c r="AL284" s="1458">
        <f>$V284*BIBLE!X167</f>
        <v>0</v>
      </c>
      <c r="AM284" s="1458">
        <f>$V284*BIBLE!Y167</f>
        <v>8</v>
      </c>
      <c r="AN284" s="1458">
        <f>$V284*BIBLE!Z167</f>
        <v>0</v>
      </c>
      <c r="AO284" s="1458">
        <f>$V284*BIBLE!AA167</f>
        <v>0</v>
      </c>
      <c r="AP284" s="1458">
        <f>$V284*BIBLE!AB167</f>
        <v>0</v>
      </c>
      <c r="AQ284" s="1458">
        <f>$V284*BIBLE!AC167</f>
        <v>0</v>
      </c>
      <c r="AR284" s="1458">
        <f>$V284*BIBLE!AD167</f>
        <v>0</v>
      </c>
    </row>
    <row r="285" spans="1:60" s="7" customFormat="1" ht="63" customHeight="1" x14ac:dyDescent="0.2">
      <c r="A285" s="1358" t="str">
        <f>BIBLE!E168</f>
        <v>E13</v>
      </c>
      <c r="B285" s="502" t="str">
        <f>IF(P42&lt;&gt;1,BIBLE!F168,"")</f>
        <v>Votre enfant dénigre votre nouvelle famille (nouveau ou nouvelle conjoint·e ou enfant né·e d’une nouvelle union).</v>
      </c>
      <c r="C285" s="498" t="str">
        <f>BIBLE!O168</f>
        <v xml:space="preserve">Jamais / Rarement / Occasionnellement / Régulièrement / Souvent / Toujours / S.O. </v>
      </c>
      <c r="D285" s="1527">
        <f>BIBLE!L168</f>
        <v>2</v>
      </c>
      <c r="E285" s="20"/>
      <c r="F285" s="20"/>
      <c r="G285" s="20"/>
      <c r="H285" s="20"/>
      <c r="I285" s="20"/>
      <c r="J285" s="20"/>
      <c r="K285" s="20"/>
      <c r="L285" s="20"/>
      <c r="M285" s="20"/>
      <c r="N285" s="20"/>
      <c r="O285" s="20"/>
      <c r="P285" s="1877">
        <f>'TEST_pour PROTOTYPE'!D262</f>
        <v>1</v>
      </c>
      <c r="Q285" s="25">
        <f t="shared" si="117"/>
        <v>2</v>
      </c>
      <c r="R285" s="8" t="str">
        <f>IF(BIBLE!K168=0,"",BIBLE!K168)</f>
        <v/>
      </c>
      <c r="S285" s="54"/>
      <c r="T285" s="54"/>
      <c r="U285" s="54"/>
      <c r="V285" s="6">
        <f t="shared" si="115"/>
        <v>2</v>
      </c>
      <c r="W285" s="298"/>
      <c r="X285" s="6">
        <f t="shared" si="116"/>
        <v>0</v>
      </c>
      <c r="Y285" s="6">
        <f t="shared" si="116"/>
        <v>2</v>
      </c>
      <c r="Z285" s="6">
        <f t="shared" si="116"/>
        <v>4</v>
      </c>
      <c r="AA285" s="6">
        <f t="shared" si="116"/>
        <v>8</v>
      </c>
      <c r="AB285" s="6">
        <f t="shared" si="116"/>
        <v>14</v>
      </c>
      <c r="AC285" s="6">
        <f t="shared" si="116"/>
        <v>20</v>
      </c>
      <c r="AE285" s="512"/>
      <c r="AF285" s="52"/>
      <c r="AG285" s="52"/>
      <c r="AH285" s="23">
        <f>$V285*BIBLE!S168</f>
        <v>0</v>
      </c>
      <c r="AI285" s="23">
        <f>$V285*BIBLE!T168</f>
        <v>0</v>
      </c>
      <c r="AJ285" s="23">
        <f>$V285*BIBLE!U168</f>
        <v>2</v>
      </c>
      <c r="AK285" s="1458">
        <f>$V285*BIBLE!W168</f>
        <v>0</v>
      </c>
      <c r="AL285" s="1458">
        <f>$V285*BIBLE!X168</f>
        <v>0</v>
      </c>
      <c r="AM285" s="1458">
        <f>$V285*BIBLE!Y168</f>
        <v>0</v>
      </c>
      <c r="AN285" s="1458">
        <f>$V285*BIBLE!Z168</f>
        <v>2</v>
      </c>
      <c r="AO285" s="1458">
        <f>$V285*BIBLE!AA168</f>
        <v>0</v>
      </c>
      <c r="AP285" s="1458">
        <f>$V285*BIBLE!AB168</f>
        <v>0</v>
      </c>
      <c r="AQ285" s="1458">
        <f>$V285*BIBLE!AC168</f>
        <v>0</v>
      </c>
      <c r="AR285" s="1458">
        <f>$V285*BIBLE!AD168</f>
        <v>0</v>
      </c>
      <c r="AS285" s="1480"/>
      <c r="AT285" s="1480"/>
    </row>
    <row r="286" spans="1:60" s="7" customFormat="1" ht="63" customHeight="1" x14ac:dyDescent="0.2">
      <c r="A286" s="1358" t="str">
        <f>BIBLE!E169</f>
        <v>E14</v>
      </c>
      <c r="B286" s="502" t="str">
        <f>IF(P46&lt;&gt;1,BIBLE!F169,"")</f>
        <v>Votre enfant laisse entendre que sa vraie famille est celle avec l’autre parent.</v>
      </c>
      <c r="C286" s="498" t="str">
        <f>BIBLE!O169</f>
        <v xml:space="preserve">Jamais / Rarement / Occasionnellement / Régulièrement / Souvent / Toujours / S.O. </v>
      </c>
      <c r="D286" s="1527">
        <f>BIBLE!L169</f>
        <v>2</v>
      </c>
      <c r="E286" s="20"/>
      <c r="F286" s="20"/>
      <c r="G286" s="20"/>
      <c r="H286" s="20"/>
      <c r="I286" s="20"/>
      <c r="J286" s="20">
        <v>1</v>
      </c>
      <c r="K286" s="20"/>
      <c r="L286" s="20"/>
      <c r="M286" s="20"/>
      <c r="N286" s="20"/>
      <c r="O286" s="20"/>
      <c r="P286" s="1877">
        <f>'TEST_pour PROTOTYPE'!D263</f>
        <v>4</v>
      </c>
      <c r="Q286" s="25">
        <f t="shared" si="117"/>
        <v>8</v>
      </c>
      <c r="R286" s="8">
        <f>IF(BIBLE!K169=0,"",BIBLE!K169)</f>
        <v>4</v>
      </c>
      <c r="S286" s="54"/>
      <c r="T286" s="54"/>
      <c r="U286" s="54"/>
      <c r="V286" s="6">
        <f>IF(P286&gt;=R286,IF(Q286&gt;Q287,Q286,Q287),Q286)</f>
        <v>8</v>
      </c>
      <c r="W286" s="8"/>
      <c r="X286" s="6">
        <f t="shared" ref="X286:AC286" si="118">IF(($P286&gt;=$R286),IF($Q286&gt;$Q287,X$109*$D286,X$109*$D287),X$109*$D286)</f>
        <v>0</v>
      </c>
      <c r="Y286" s="6">
        <f t="shared" si="118"/>
        <v>2</v>
      </c>
      <c r="Z286" s="6">
        <f t="shared" si="118"/>
        <v>4</v>
      </c>
      <c r="AA286" s="6">
        <f t="shared" si="118"/>
        <v>8</v>
      </c>
      <c r="AB286" s="6">
        <f t="shared" si="118"/>
        <v>14</v>
      </c>
      <c r="AC286" s="6">
        <f t="shared" si="118"/>
        <v>20</v>
      </c>
      <c r="AE286" s="512"/>
      <c r="AF286" s="52"/>
      <c r="AG286" s="52"/>
      <c r="AH286" s="23">
        <f>IF($Q286=$V286,$Q286*BIBLE!S169,$Q287*BIBLE!S170)</f>
        <v>0</v>
      </c>
      <c r="AI286" s="23">
        <f>IF($Q286=$V286,$Q286*BIBLE!T169,$Q287*BIBLE!T170)</f>
        <v>8</v>
      </c>
      <c r="AJ286" s="23">
        <f>IF($Q286=$V286,$Q286*BIBLE!U169,$Q287*BIBLE!U170)</f>
        <v>0</v>
      </c>
      <c r="AK286" s="1458">
        <f>IF($Q286=$V286,$Q286*BIBLE!W169,$Q287*BIBLE!W170)</f>
        <v>0</v>
      </c>
      <c r="AL286" s="1458">
        <f>IF($Q286=$V286,$Q286*BIBLE!X169,$Q287*BIBLE!X170)</f>
        <v>0</v>
      </c>
      <c r="AM286" s="1458">
        <f>IF($Q286=$V286,$Q286*BIBLE!Y169,$Q287*BIBLE!Y170)</f>
        <v>0</v>
      </c>
      <c r="AN286" s="1458">
        <f>IF($Q286=$V286,$Q286*BIBLE!Z169,$Q287*BIBLE!Z170)</f>
        <v>8</v>
      </c>
      <c r="AO286" s="1458">
        <f>IF($Q286=$V286,$Q286*BIBLE!AA169,$Q287*BIBLE!AA170)</f>
        <v>0</v>
      </c>
      <c r="AP286" s="1458">
        <f>IF($Q286=$V286,$Q286*BIBLE!AB169,$Q287*BIBLE!AB170)</f>
        <v>0</v>
      </c>
      <c r="AQ286" s="1458">
        <f>IF($Q286=$V286,$Q286*BIBLE!AC169,$Q287*BIBLE!AC170)</f>
        <v>0</v>
      </c>
      <c r="AR286" s="1458">
        <f>IF($Q286=$V286,$Q286*BIBLE!AD169,$Q287*BIBLE!AD170)</f>
        <v>0</v>
      </c>
      <c r="AS286" s="1481"/>
      <c r="AT286" s="1480"/>
    </row>
    <row r="287" spans="1:60" s="7" customFormat="1" ht="63" customHeight="1" x14ac:dyDescent="0.2">
      <c r="A287" s="1358" t="str">
        <f>BIBLE!E170</f>
        <v>E14a</v>
      </c>
      <c r="B287" s="158" t="str">
        <f>IF(P286&gt;=R286,BIBLE!F170,"")</f>
        <v xml:space="preserve">Selon votre enfant, la nouvelle famille de l'autre parent (famille recomposée ou non) a plus de valeur que la vôtre. </v>
      </c>
      <c r="C287" s="498" t="str">
        <f>BIBLE!O170</f>
        <v>Nulle / Très faible / Faible / Moyenne / Élevée / Très élevée / S.O.</v>
      </c>
      <c r="D287" s="1527">
        <f>BIBLE!L170</f>
        <v>3</v>
      </c>
      <c r="E287" s="20"/>
      <c r="F287" s="20"/>
      <c r="G287" s="20"/>
      <c r="H287" s="20">
        <v>1</v>
      </c>
      <c r="I287" s="20"/>
      <c r="J287" s="20"/>
      <c r="K287" s="20"/>
      <c r="L287" s="20"/>
      <c r="M287" s="20"/>
      <c r="N287" s="20"/>
      <c r="O287" s="20"/>
      <c r="P287" s="1877">
        <f>'TEST_pour PROTOTYPE'!D264</f>
        <v>1</v>
      </c>
      <c r="Q287" s="25">
        <f>P287*D287</f>
        <v>3</v>
      </c>
      <c r="R287" s="8" t="str">
        <f>IF(BIBLE!K170=0,"",BIBLE!K170)</f>
        <v/>
      </c>
      <c r="S287" s="491"/>
      <c r="T287" s="491"/>
      <c r="U287" s="491"/>
      <c r="V287" s="6"/>
      <c r="W287" s="298"/>
      <c r="X287" s="6"/>
      <c r="Y287" s="6"/>
      <c r="Z287" s="6"/>
      <c r="AA287" s="6"/>
      <c r="AB287" s="6"/>
      <c r="AC287" s="6"/>
      <c r="AE287" s="512"/>
      <c r="AF287" s="52"/>
      <c r="AG287" s="52"/>
      <c r="AH287" s="92"/>
      <c r="AI287" s="92"/>
      <c r="AJ287" s="92"/>
      <c r="AK287" s="743"/>
      <c r="AL287" s="743"/>
      <c r="AM287" s="743"/>
      <c r="AN287" s="743"/>
      <c r="AO287" s="743"/>
      <c r="AP287" s="743"/>
      <c r="AQ287" s="743"/>
      <c r="AR287" s="743"/>
      <c r="AS287" s="1480"/>
      <c r="AT287" s="1480"/>
    </row>
    <row r="288" spans="1:60" s="7" customFormat="1" ht="63" customHeight="1" x14ac:dyDescent="0.2">
      <c r="A288" s="1358" t="str">
        <f>BIBLE!E171</f>
        <v>E15</v>
      </c>
      <c r="B288" s="157" t="str">
        <f>BIBLE!F171</f>
        <v>Arrive-t-il à votre enfant d'être agressif envers vous au retour d'un séjour (tour de garde) chez l'autre parent ?</v>
      </c>
      <c r="C288" s="498" t="str">
        <f>BIBLE!O171</f>
        <v xml:space="preserve">Jamais / Rarement / Occasionnellement / Régulièrement / Souvent / Toujours / S.O. </v>
      </c>
      <c r="D288" s="1527">
        <f>BIBLE!L171</f>
        <v>2</v>
      </c>
      <c r="E288" s="20"/>
      <c r="F288" s="20"/>
      <c r="G288" s="20"/>
      <c r="H288" s="20">
        <v>1</v>
      </c>
      <c r="I288" s="20"/>
      <c r="J288" s="20"/>
      <c r="K288" s="20"/>
      <c r="L288" s="20"/>
      <c r="M288" s="20"/>
      <c r="N288" s="20"/>
      <c r="O288" s="20"/>
      <c r="P288" s="1877">
        <f>'TEST_pour PROTOTYPE'!D265</f>
        <v>4</v>
      </c>
      <c r="Q288" s="25">
        <f t="shared" si="117"/>
        <v>8</v>
      </c>
      <c r="R288" s="8">
        <f>IF(BIBLE!K171=0,"",BIBLE!K171)</f>
        <v>4</v>
      </c>
      <c r="S288" s="54"/>
      <c r="T288" s="54"/>
      <c r="U288" s="54"/>
      <c r="V288" s="6">
        <f>IF(P288&gt;=R288,IF(Q288&gt;Q289,Q288,Q289),Q288)</f>
        <v>8</v>
      </c>
      <c r="W288" s="8"/>
      <c r="X288" s="6">
        <f t="shared" ref="X288:AC288" si="119">IF(($P288&gt;=$R288),IF($Q288&gt;$Q289,X$109*$D288,X$109*$D289),X$109*$D288)</f>
        <v>0</v>
      </c>
      <c r="Y288" s="6">
        <f t="shared" si="119"/>
        <v>2</v>
      </c>
      <c r="Z288" s="6">
        <f t="shared" si="119"/>
        <v>4</v>
      </c>
      <c r="AA288" s="6">
        <f t="shared" si="119"/>
        <v>8</v>
      </c>
      <c r="AB288" s="6">
        <f t="shared" si="119"/>
        <v>14</v>
      </c>
      <c r="AC288" s="6">
        <f t="shared" si="119"/>
        <v>20</v>
      </c>
      <c r="AE288" s="512"/>
      <c r="AF288" s="52"/>
      <c r="AG288" s="52"/>
      <c r="AH288" s="23">
        <f>IF($Q288=$V288,$Q288*BIBLE!S171,$Q289*BIBLE!S172)</f>
        <v>0</v>
      </c>
      <c r="AI288" s="23">
        <f>IF($Q288=$V288,$Q288*BIBLE!T171,$Q289*BIBLE!T172)</f>
        <v>8</v>
      </c>
      <c r="AJ288" s="23">
        <f>IF($Q288=$V288,$Q288*BIBLE!U171,$Q289*BIBLE!U172)</f>
        <v>0</v>
      </c>
      <c r="AK288" s="1458">
        <f>IF($Q288=$V288,$Q288*BIBLE!W171,$Q289*BIBLE!W172)</f>
        <v>0</v>
      </c>
      <c r="AL288" s="1458">
        <f>IF($Q288=$V288,$Q288*BIBLE!X171,$Q289*BIBLE!X172)</f>
        <v>0</v>
      </c>
      <c r="AM288" s="1458">
        <f>IF($Q288=$V288,$Q288*BIBLE!Y171,$Q289*BIBLE!Y172)</f>
        <v>0</v>
      </c>
      <c r="AN288" s="1458">
        <f>IF($Q288=$V288,$Q288*BIBLE!Z171,$Q289*BIBLE!Z172)</f>
        <v>8</v>
      </c>
      <c r="AO288" s="1458">
        <f>IF($Q288=$V288,$Q288*BIBLE!AA171,$Q289*BIBLE!AA172)</f>
        <v>0</v>
      </c>
      <c r="AP288" s="1458">
        <f>IF($Q288=$V288,$Q288*BIBLE!AB171,$Q289*BIBLE!AB172)</f>
        <v>0</v>
      </c>
      <c r="AQ288" s="1458">
        <f>IF($Q288=$V288,$Q288*BIBLE!AC171,$Q289*BIBLE!AC172)</f>
        <v>0</v>
      </c>
      <c r="AR288" s="1458">
        <f>IF($Q288=$V288,$Q288*BIBLE!AD171,$Q289*BIBLE!AD172)</f>
        <v>0</v>
      </c>
    </row>
    <row r="289" spans="1:61" s="7" customFormat="1" ht="63" customHeight="1" x14ac:dyDescent="0.2">
      <c r="A289" s="1358" t="str">
        <f>BIBLE!E172</f>
        <v>E15a</v>
      </c>
      <c r="B289" s="158" t="str">
        <f>IF(P288&gt;=R288,BIBLE!F172,"")</f>
        <v>Arrive-t-il à votre enfant de vous accuser de voler de l’argent à son autre parent ou d'être responsable de son apauvrissement ?</v>
      </c>
      <c r="C289" s="498" t="str">
        <f>BIBLE!O172</f>
        <v xml:space="preserve">Jamais / Rarement / Occasionnellement / Régulièrement / Souvent / Toujours / S.O. </v>
      </c>
      <c r="D289" s="1527">
        <f>BIBLE!L172</f>
        <v>3</v>
      </c>
      <c r="E289" s="20"/>
      <c r="F289" s="20"/>
      <c r="G289" s="20"/>
      <c r="H289" s="20"/>
      <c r="I289" s="20"/>
      <c r="J289" s="20"/>
      <c r="K289" s="20"/>
      <c r="L289" s="20"/>
      <c r="M289" s="20"/>
      <c r="N289" s="20"/>
      <c r="O289" s="20"/>
      <c r="P289" s="1877">
        <f>'TEST_pour PROTOTYPE'!D266</f>
        <v>1</v>
      </c>
      <c r="Q289" s="25">
        <f t="shared" si="117"/>
        <v>3</v>
      </c>
      <c r="R289" s="8" t="str">
        <f>IF(BIBLE!K172=0,"",BIBLE!K172)</f>
        <v/>
      </c>
      <c r="S289" s="491"/>
      <c r="T289" s="491"/>
      <c r="U289" s="491"/>
      <c r="V289" s="6"/>
      <c r="W289" s="298"/>
      <c r="X289" s="6"/>
      <c r="Y289" s="6"/>
      <c r="Z289" s="6"/>
      <c r="AA289" s="6"/>
      <c r="AB289" s="6"/>
      <c r="AC289" s="6"/>
      <c r="AE289" s="512"/>
      <c r="AF289" s="52"/>
      <c r="AG289" s="52"/>
      <c r="AH289" s="92"/>
      <c r="AI289" s="92"/>
      <c r="AJ289" s="92"/>
      <c r="AK289" s="743"/>
      <c r="AL289" s="743"/>
      <c r="AM289" s="743"/>
      <c r="AN289" s="743"/>
      <c r="AO289" s="743"/>
      <c r="AP289" s="743"/>
      <c r="AQ289" s="743"/>
      <c r="AR289" s="743"/>
      <c r="BB289" s="17" t="s">
        <v>526</v>
      </c>
    </row>
    <row r="290" spans="1:61" s="7" customFormat="1" ht="63" customHeight="1" x14ac:dyDescent="0.2">
      <c r="A290" s="1358" t="str">
        <f>BIBLE!E173</f>
        <v>E16</v>
      </c>
      <c r="B290" s="157" t="str">
        <f>BIBLE!F173</f>
        <v>Votre enfant demande à modifier les horaires de garde et de visite.</v>
      </c>
      <c r="C290" s="498" t="str">
        <f>BIBLE!O173</f>
        <v xml:space="preserve">Jamais / Rarement / Occasionnellement / Régulièrement / Souvent / Toujours / S.O. </v>
      </c>
      <c r="D290" s="1527">
        <f>BIBLE!L173</f>
        <v>2</v>
      </c>
      <c r="E290" s="20"/>
      <c r="F290" s="20"/>
      <c r="G290" s="20"/>
      <c r="H290" s="20">
        <v>1</v>
      </c>
      <c r="I290" s="20"/>
      <c r="J290" s="20"/>
      <c r="K290" s="20"/>
      <c r="L290" s="20"/>
      <c r="M290" s="20"/>
      <c r="N290" s="20"/>
      <c r="O290" s="20"/>
      <c r="P290" s="1877">
        <f>'TEST_pour PROTOTYPE'!D267</f>
        <v>2</v>
      </c>
      <c r="Q290" s="25">
        <f>P290*D290</f>
        <v>4</v>
      </c>
      <c r="R290" s="8">
        <f>IF(BIBLE!K173=0,"",BIBLE!K173)</f>
        <v>2</v>
      </c>
      <c r="S290" s="55"/>
      <c r="T290" s="55"/>
      <c r="U290" s="55"/>
      <c r="V290" s="6">
        <f>IF(P290&gt;=R290,IF(SUM(Q296:Q298)&gt;Q290,SUM(Q296:Q298),Q290),Q290)</f>
        <v>40</v>
      </c>
      <c r="W290" s="8"/>
      <c r="X290" s="6">
        <f>IF(Q290&gt;SUM(Q296:Q298),AU290,SUM(AU296:AU298))</f>
        <v>0</v>
      </c>
      <c r="Y290" s="6">
        <f>IF(Q290&gt;SUM(Q296:Q298),AV290,SUM(AV296:AV298))</f>
        <v>7</v>
      </c>
      <c r="Z290" s="6">
        <f>IF(Q290&gt;SUM(Q296:Q298),AW290,SUM(AW296:AW298))</f>
        <v>14</v>
      </c>
      <c r="AA290" s="6">
        <f>IF(Q290&gt;SUM(Q296:Q298),AX290,SUM(AX296:AX298))</f>
        <v>28</v>
      </c>
      <c r="AB290" s="6">
        <f>IF(Q290&gt;SUM(Q296:Q298),AY290,SUM(AY296:AY298))</f>
        <v>49</v>
      </c>
      <c r="AC290" s="6">
        <f>IF(Q290&gt;SUM(Q296:Q298),AZ290,SUM(AZ296:AZ298))</f>
        <v>70</v>
      </c>
      <c r="AE290" s="512"/>
      <c r="AF290" s="52"/>
      <c r="AG290" s="52"/>
      <c r="AH290" s="92">
        <f>IF($Q290=$V290,$Q290*BIBLE!S173,(Test_Bible!$Q296*BIBLE!S175+Test_Bible!$Q297*BIBLE!S176+$Q298*BIBLE!S177))</f>
        <v>30</v>
      </c>
      <c r="AI290" s="92">
        <f>IF($Q290=$V290,$Q290*BIBLE!T173,(Test_Bible!$Q296*BIBLE!T175+Test_Bible!$Q297*BIBLE!T176+$Q298*BIBLE!T177))</f>
        <v>10</v>
      </c>
      <c r="AJ290" s="92">
        <f>IF($Q290=$V290,$Q290*BIBLE!U173,(Test_Bible!$Q296*BIBLE!U175+Test_Bible!$Q297*BIBLE!U176+$Q298*BIBLE!U177))</f>
        <v>0</v>
      </c>
      <c r="AK290" s="743">
        <f>IF($Q290=$V290,$Q290*BIBLE!W173,(Test_Bible!$Q296*BIBLE!W175+Test_Bible!$Q297*BIBLE!W176+$Q298*BIBLE!W177))</f>
        <v>0</v>
      </c>
      <c r="AL290" s="743">
        <f>IF($Q290=$V290,$Q290*BIBLE!X173,(Test_Bible!$Q296*BIBLE!X175+Test_Bible!$Q297*BIBLE!X176+$Q298*BIBLE!X177))</f>
        <v>0</v>
      </c>
      <c r="AM290" s="743">
        <f>IF($Q290=$V290,$Q290*BIBLE!Y173,(Test_Bible!$Q296*BIBLE!Y175+Test_Bible!$Q297*BIBLE!Y176+$Q298*BIBLE!Y177))</f>
        <v>0</v>
      </c>
      <c r="AN290" s="743">
        <f>IF($Q290=$V290,$Q290*BIBLE!Z173,(Test_Bible!$Q296*BIBLE!Z175+Test_Bible!$Q297*BIBLE!Z176+$Q298*BIBLE!Z177))</f>
        <v>0</v>
      </c>
      <c r="AO290" s="743">
        <f>IF($Q290=$V290,$Q290*BIBLE!AA173,(Test_Bible!$Q296*BIBLE!AA175+Test_Bible!$Q297*BIBLE!AA176+$Q298*BIBLE!AA177))</f>
        <v>40</v>
      </c>
      <c r="AP290" s="743">
        <f>IF($Q290=$V290,$Q290*BIBLE!AB173,(Test_Bible!$Q296*BIBLE!AB175+Test_Bible!$Q297*BIBLE!AB176+$Q298*BIBLE!AB177))</f>
        <v>0</v>
      </c>
      <c r="AQ290" s="743">
        <f>IF($Q290=$V290,$Q290*BIBLE!AC173,(Test_Bible!$Q296*BIBLE!AC175+Test_Bible!$Q297*BIBLE!AC176+$Q298*BIBLE!AC177))</f>
        <v>0</v>
      </c>
      <c r="AR290" s="743">
        <f>IF($Q290=$V290,$Q290*BIBLE!AD173,(Test_Bible!$Q296*BIBLE!AD175+Test_Bible!$Q297*BIBLE!AD176+$Q298*BIBLE!AD177))</f>
        <v>0</v>
      </c>
      <c r="AS290" s="6">
        <f>Q290</f>
        <v>4</v>
      </c>
      <c r="AT290" s="16"/>
      <c r="AU290" s="6">
        <f t="shared" ref="AU290:AZ290" si="120">IF($Q290&gt;0,X$109*$D290,0)</f>
        <v>0</v>
      </c>
      <c r="AV290" s="6">
        <f t="shared" si="120"/>
        <v>2</v>
      </c>
      <c r="AW290" s="6">
        <f t="shared" si="120"/>
        <v>4</v>
      </c>
      <c r="AX290" s="6">
        <f t="shared" si="120"/>
        <v>8</v>
      </c>
      <c r="AY290" s="6">
        <f t="shared" si="120"/>
        <v>14</v>
      </c>
      <c r="AZ290" s="6">
        <f t="shared" si="120"/>
        <v>20</v>
      </c>
      <c r="BA290" s="8"/>
      <c r="BB290" s="6">
        <f>AS290</f>
        <v>4</v>
      </c>
      <c r="BC290" s="8"/>
      <c r="BD290" s="6">
        <f t="shared" ref="BD290:BI290" si="121">AU290</f>
        <v>0</v>
      </c>
      <c r="BE290" s="6">
        <f t="shared" si="121"/>
        <v>2</v>
      </c>
      <c r="BF290" s="6">
        <f t="shared" si="121"/>
        <v>4</v>
      </c>
      <c r="BG290" s="6">
        <f t="shared" si="121"/>
        <v>8</v>
      </c>
      <c r="BH290" s="6">
        <f t="shared" si="121"/>
        <v>14</v>
      </c>
      <c r="BI290" s="6">
        <f t="shared" si="121"/>
        <v>20</v>
      </c>
    </row>
    <row r="291" spans="1:61" s="7" customFormat="1" ht="48" customHeight="1" x14ac:dyDescent="0.2">
      <c r="A291" s="1358" t="str">
        <f>BIBLE!E174</f>
        <v>E16a</v>
      </c>
      <c r="B291" s="2006" t="str">
        <f>IF(P290&gt;=R290,BIBLE!F174,"")</f>
        <v>Dans quel contexte votre enfant demande-t-il ou elle à changer les horaires de garde et de visite chez l'un et l'autre des parents ?</v>
      </c>
      <c r="C291" s="498"/>
      <c r="D291" s="1527"/>
      <c r="E291" s="8"/>
      <c r="F291" s="20"/>
      <c r="G291" s="20"/>
      <c r="H291" s="20"/>
      <c r="I291" s="20"/>
      <c r="J291" s="20"/>
      <c r="K291" s="20"/>
      <c r="L291" s="20"/>
      <c r="M291" s="20"/>
      <c r="N291" s="20"/>
      <c r="O291" s="20" t="s">
        <v>1862</v>
      </c>
      <c r="P291" s="25">
        <f>MAX(P292:P294)</f>
        <v>3</v>
      </c>
      <c r="Q291" s="25"/>
      <c r="R291" s="8"/>
      <c r="S291" s="55"/>
      <c r="T291" s="55"/>
      <c r="U291" s="55"/>
      <c r="V291" s="6"/>
      <c r="W291" s="8"/>
      <c r="X291" s="6"/>
      <c r="Y291" s="6"/>
      <c r="Z291" s="6"/>
      <c r="AA291" s="6"/>
      <c r="AB291" s="6"/>
      <c r="AC291" s="6"/>
      <c r="AE291" s="512"/>
      <c r="AF291" s="52"/>
      <c r="AG291" s="52"/>
      <c r="AH291" s="92"/>
      <c r="AI291" s="92"/>
      <c r="AJ291" s="92"/>
      <c r="AK291" s="743"/>
      <c r="AL291" s="743"/>
      <c r="AM291" s="743"/>
      <c r="AN291" s="743"/>
      <c r="AO291" s="743"/>
      <c r="AP291" s="743"/>
      <c r="AQ291" s="743"/>
      <c r="AR291" s="743"/>
      <c r="AS291" s="6"/>
      <c r="AT291" s="16"/>
      <c r="AU291" s="6"/>
      <c r="AV291" s="6"/>
      <c r="AW291" s="6"/>
      <c r="AX291" s="6"/>
      <c r="AY291" s="6"/>
      <c r="AZ291" s="6"/>
      <c r="BA291" s="8"/>
      <c r="BB291" s="6"/>
      <c r="BC291" s="8"/>
      <c r="BD291" s="6"/>
      <c r="BE291" s="6"/>
      <c r="BF291" s="6"/>
      <c r="BG291" s="6"/>
      <c r="BH291" s="6"/>
      <c r="BI291" s="6"/>
    </row>
    <row r="292" spans="1:61" s="7" customFormat="1" ht="23" customHeight="1" x14ac:dyDescent="0.2">
      <c r="A292" s="1358"/>
      <c r="B292" s="158"/>
      <c r="C292" s="1002" t="s">
        <v>1401</v>
      </c>
      <c r="D292" s="1775">
        <v>1</v>
      </c>
      <c r="E292" s="1817">
        <f>'TEST_pour PROTOTYPE'!D268</f>
        <v>1</v>
      </c>
      <c r="F292" s="20"/>
      <c r="G292" s="20"/>
      <c r="H292" s="20"/>
      <c r="I292" s="20"/>
      <c r="J292" s="20"/>
      <c r="K292" s="20"/>
      <c r="L292" s="20"/>
      <c r="M292" s="20"/>
      <c r="N292" s="20"/>
      <c r="O292" s="20"/>
      <c r="P292" s="1801">
        <f>D292*E292</f>
        <v>1</v>
      </c>
      <c r="Q292" s="25"/>
      <c r="R292" s="8"/>
      <c r="S292" s="55"/>
      <c r="T292" s="55"/>
      <c r="U292" s="55"/>
      <c r="V292" s="6"/>
      <c r="W292" s="8"/>
      <c r="X292" s="6"/>
      <c r="Y292" s="6"/>
      <c r="Z292" s="6"/>
      <c r="AA292" s="6"/>
      <c r="AB292" s="6"/>
      <c r="AC292" s="6"/>
      <c r="AE292" s="512"/>
      <c r="AF292" s="52"/>
      <c r="AG292" s="52"/>
      <c r="AH292" s="92"/>
      <c r="AI292" s="92"/>
      <c r="AJ292" s="92"/>
      <c r="AK292" s="743"/>
      <c r="AL292" s="743"/>
      <c r="AM292" s="743"/>
      <c r="AN292" s="743"/>
      <c r="AO292" s="743"/>
      <c r="AP292" s="743"/>
      <c r="AQ292" s="743"/>
      <c r="AR292" s="743"/>
      <c r="AS292" s="6"/>
      <c r="AT292" s="16"/>
      <c r="AU292" s="6"/>
      <c r="AV292" s="6"/>
      <c r="AW292" s="6"/>
      <c r="AX292" s="6"/>
      <c r="AY292" s="6"/>
      <c r="AZ292" s="6"/>
      <c r="BA292" s="8"/>
      <c r="BB292" s="6"/>
      <c r="BC292" s="8"/>
      <c r="BD292" s="6"/>
      <c r="BE292" s="6"/>
      <c r="BF292" s="6"/>
      <c r="BG292" s="6"/>
      <c r="BH292" s="6"/>
      <c r="BI292" s="6"/>
    </row>
    <row r="293" spans="1:61" s="7" customFormat="1" ht="23" customHeight="1" x14ac:dyDescent="0.2">
      <c r="A293" s="1358"/>
      <c r="B293" s="158"/>
      <c r="C293" s="1002" t="s">
        <v>1404</v>
      </c>
      <c r="D293" s="1775">
        <v>2</v>
      </c>
      <c r="E293" s="1817">
        <f>'TEST_pour PROTOTYPE'!D269</f>
        <v>0</v>
      </c>
      <c r="F293" s="20"/>
      <c r="G293" s="20"/>
      <c r="H293" s="20"/>
      <c r="I293" s="20"/>
      <c r="J293" s="20"/>
      <c r="K293" s="20"/>
      <c r="L293" s="20"/>
      <c r="M293" s="20"/>
      <c r="N293" s="20"/>
      <c r="O293" s="20"/>
      <c r="P293" s="1801">
        <f t="shared" ref="P293:P294" si="122">D293*E293</f>
        <v>0</v>
      </c>
      <c r="Q293" s="25"/>
      <c r="R293" s="8"/>
      <c r="S293" s="55"/>
      <c r="T293" s="55"/>
      <c r="U293" s="55"/>
      <c r="V293" s="6"/>
      <c r="W293" s="8"/>
      <c r="X293" s="6"/>
      <c r="Y293" s="6"/>
      <c r="Z293" s="6"/>
      <c r="AA293" s="6"/>
      <c r="AB293" s="6"/>
      <c r="AC293" s="6"/>
      <c r="AE293" s="512"/>
      <c r="AF293" s="52"/>
      <c r="AG293" s="52"/>
      <c r="AH293" s="92"/>
      <c r="AI293" s="92"/>
      <c r="AJ293" s="92"/>
      <c r="AK293" s="743"/>
      <c r="AL293" s="743"/>
      <c r="AM293" s="743"/>
      <c r="AN293" s="743"/>
      <c r="AO293" s="743"/>
      <c r="AP293" s="743"/>
      <c r="AQ293" s="743"/>
      <c r="AR293" s="743"/>
      <c r="AS293" s="6"/>
      <c r="AT293" s="16"/>
      <c r="AU293" s="6"/>
      <c r="AV293" s="6"/>
      <c r="AW293" s="6"/>
      <c r="AX293" s="6"/>
      <c r="AY293" s="6"/>
      <c r="AZ293" s="6"/>
      <c r="BA293" s="8"/>
      <c r="BB293" s="6"/>
      <c r="BC293" s="8"/>
      <c r="BD293" s="6"/>
      <c r="BE293" s="6"/>
      <c r="BF293" s="6"/>
      <c r="BG293" s="6"/>
      <c r="BH293" s="6"/>
      <c r="BI293" s="6"/>
    </row>
    <row r="294" spans="1:61" s="7" customFormat="1" ht="43" customHeight="1" x14ac:dyDescent="0.2">
      <c r="A294" s="1358"/>
      <c r="B294" s="158"/>
      <c r="C294" s="1002" t="s">
        <v>1405</v>
      </c>
      <c r="D294" s="1775">
        <v>3</v>
      </c>
      <c r="E294" s="1817">
        <f>'TEST_pour PROTOTYPE'!D270</f>
        <v>1</v>
      </c>
      <c r="F294" s="69"/>
      <c r="G294" s="69"/>
      <c r="H294" s="69"/>
      <c r="I294" s="20"/>
      <c r="J294" s="20"/>
      <c r="K294" s="20"/>
      <c r="L294" s="20"/>
      <c r="M294" s="20"/>
      <c r="N294" s="20"/>
      <c r="O294" s="20"/>
      <c r="P294" s="1801">
        <f t="shared" si="122"/>
        <v>3</v>
      </c>
      <c r="Q294" s="25"/>
      <c r="R294" s="8"/>
      <c r="S294" s="55"/>
      <c r="T294" s="55"/>
      <c r="U294" s="55"/>
      <c r="V294" s="6"/>
      <c r="W294" s="8"/>
      <c r="X294" s="6"/>
      <c r="Y294" s="6"/>
      <c r="Z294" s="6"/>
      <c r="AA294" s="6"/>
      <c r="AB294" s="6"/>
      <c r="AC294" s="6"/>
      <c r="AE294" s="512"/>
      <c r="AF294" s="52"/>
      <c r="AG294" s="52"/>
      <c r="AH294" s="92"/>
      <c r="AI294" s="92"/>
      <c r="AJ294" s="92"/>
      <c r="AK294" s="743"/>
      <c r="AL294" s="743"/>
      <c r="AM294" s="743"/>
      <c r="AN294" s="743"/>
      <c r="AO294" s="743"/>
      <c r="AP294" s="743"/>
      <c r="AQ294" s="743"/>
      <c r="AR294" s="743"/>
      <c r="AS294" s="6"/>
      <c r="AT294" s="16"/>
      <c r="AU294" s="6"/>
      <c r="AV294" s="6"/>
      <c r="AW294" s="6"/>
      <c r="AX294" s="6"/>
      <c r="AY294" s="6"/>
      <c r="AZ294" s="6"/>
      <c r="BA294" s="8"/>
      <c r="BB294" s="6"/>
      <c r="BC294" s="8"/>
      <c r="BD294" s="6"/>
      <c r="BE294" s="6"/>
      <c r="BF294" s="6"/>
      <c r="BG294" s="6"/>
      <c r="BH294" s="6"/>
      <c r="BI294" s="6"/>
    </row>
    <row r="295" spans="1:61" s="7" customFormat="1" ht="4" customHeight="1" x14ac:dyDescent="0.2">
      <c r="A295" s="1358"/>
      <c r="B295" s="158"/>
      <c r="C295" s="1002"/>
      <c r="D295" s="1002"/>
      <c r="E295" s="1881"/>
      <c r="F295" s="8"/>
      <c r="G295" s="8"/>
      <c r="H295" s="8"/>
      <c r="I295" s="20"/>
      <c r="J295" s="20"/>
      <c r="K295" s="20"/>
      <c r="L295" s="20"/>
      <c r="M295" s="20"/>
      <c r="N295" s="20"/>
      <c r="O295" s="20"/>
      <c r="P295" s="25"/>
      <c r="Q295" s="25"/>
      <c r="R295" s="8"/>
      <c r="S295" s="55"/>
      <c r="T295" s="55"/>
      <c r="U295" s="55"/>
      <c r="V295" s="6"/>
      <c r="W295" s="8"/>
      <c r="X295" s="6"/>
      <c r="Y295" s="6"/>
      <c r="Z295" s="6"/>
      <c r="AA295" s="6"/>
      <c r="AB295" s="6"/>
      <c r="AC295" s="6"/>
      <c r="AE295" s="512"/>
      <c r="AF295" s="52"/>
      <c r="AG295" s="52"/>
      <c r="AH295" s="92"/>
      <c r="AI295" s="92"/>
      <c r="AJ295" s="92"/>
      <c r="AK295" s="743"/>
      <c r="AL295" s="743"/>
      <c r="AM295" s="743"/>
      <c r="AN295" s="743"/>
      <c r="AO295" s="743"/>
      <c r="AP295" s="743"/>
      <c r="AQ295" s="743"/>
      <c r="AR295" s="743"/>
      <c r="AS295" s="6"/>
      <c r="AT295" s="16"/>
      <c r="AU295" s="6"/>
      <c r="AV295" s="6"/>
      <c r="AW295" s="6"/>
      <c r="AX295" s="6"/>
      <c r="AY295" s="6"/>
      <c r="AZ295" s="6"/>
      <c r="BA295" s="8"/>
      <c r="BB295" s="6"/>
      <c r="BC295" s="8"/>
      <c r="BD295" s="6"/>
      <c r="BE295" s="6"/>
      <c r="BF295" s="6"/>
      <c r="BG295" s="6"/>
      <c r="BH295" s="6"/>
      <c r="BI295" s="6"/>
    </row>
    <row r="296" spans="1:61" s="7" customFormat="1" ht="63" customHeight="1" x14ac:dyDescent="0.2">
      <c r="A296" s="1358" t="str">
        <f>BIBLE!E175</f>
        <v>E16a1</v>
      </c>
      <c r="B296" s="158" t="str">
        <f>IF(E$294=1,BIBLE!F175,"")</f>
        <v>Dans quelle mesure votre enfant impose-t-il ou elle des changements d’horaires et de visite à la faveur de l'autre parent sans vous consulter au préalable et sans votre autorisation ?</v>
      </c>
      <c r="C296" s="498" t="str">
        <f>BIBLE!O175</f>
        <v xml:space="preserve">Jamais / Rarement / Occasionnellement / Régulièrement / Souvent / Toujours / S.O. </v>
      </c>
      <c r="D296" s="1527">
        <f>IF(E40&gt;=10,BIBLE!L175,BIBLE!M175)</f>
        <v>2</v>
      </c>
      <c r="E296" s="19"/>
      <c r="F296" s="19">
        <v>1</v>
      </c>
      <c r="G296" s="19"/>
      <c r="H296" s="19"/>
      <c r="I296" s="20"/>
      <c r="J296" s="20"/>
      <c r="K296" s="20"/>
      <c r="L296" s="20"/>
      <c r="M296" s="20"/>
      <c r="N296" s="20"/>
      <c r="O296" s="20"/>
      <c r="P296" s="1877">
        <f>'TEST_pour PROTOTYPE'!D271</f>
        <v>4</v>
      </c>
      <c r="Q296" s="25">
        <f t="shared" si="117"/>
        <v>8</v>
      </c>
      <c r="R296" s="8" t="str">
        <f>IF(BIBLE!K175=0,"",BIBLE!K175)</f>
        <v/>
      </c>
      <c r="S296" s="55"/>
      <c r="T296" s="55"/>
      <c r="U296" s="55"/>
      <c r="V296" s="8"/>
      <c r="AE296" s="512"/>
      <c r="AF296" s="52"/>
      <c r="AG296" s="52"/>
      <c r="AH296" s="92"/>
      <c r="AI296" s="92"/>
      <c r="AJ296" s="92"/>
      <c r="AK296" s="743"/>
      <c r="AL296" s="743"/>
      <c r="AM296" s="743"/>
      <c r="AN296" s="743"/>
      <c r="AO296" s="743"/>
      <c r="AP296" s="743"/>
      <c r="AQ296" s="743"/>
      <c r="AR296" s="743"/>
      <c r="AS296" s="6">
        <f>Q296</f>
        <v>8</v>
      </c>
      <c r="AT296" s="16"/>
      <c r="AU296" s="6">
        <f t="shared" ref="AU296:AZ298" si="123">IF($Q296&gt;0,X$109*$D296,0)</f>
        <v>0</v>
      </c>
      <c r="AV296" s="6">
        <f t="shared" si="123"/>
        <v>2</v>
      </c>
      <c r="AW296" s="6">
        <f t="shared" si="123"/>
        <v>4</v>
      </c>
      <c r="AX296" s="6">
        <f t="shared" si="123"/>
        <v>8</v>
      </c>
      <c r="AY296" s="6">
        <f t="shared" si="123"/>
        <v>14</v>
      </c>
      <c r="AZ296" s="6">
        <f t="shared" si="123"/>
        <v>20</v>
      </c>
      <c r="BA296" s="8"/>
      <c r="BB296" s="6">
        <f>SUM(AS296:AS298)</f>
        <v>40</v>
      </c>
      <c r="BC296" s="8"/>
      <c r="BD296" s="6">
        <f t="shared" ref="BD296:BI296" si="124">SUM(AU296:AU298)</f>
        <v>0</v>
      </c>
      <c r="BE296" s="6">
        <f t="shared" si="124"/>
        <v>7</v>
      </c>
      <c r="BF296" s="6">
        <f t="shared" si="124"/>
        <v>14</v>
      </c>
      <c r="BG296" s="6">
        <f t="shared" si="124"/>
        <v>28</v>
      </c>
      <c r="BH296" s="6">
        <f t="shared" si="124"/>
        <v>49</v>
      </c>
      <c r="BI296" s="6">
        <f t="shared" si="124"/>
        <v>70</v>
      </c>
    </row>
    <row r="297" spans="1:61" s="7" customFormat="1" ht="97" customHeight="1" x14ac:dyDescent="0.2">
      <c r="A297" s="1358" t="str">
        <f>BIBLE!E176</f>
        <v>E16a2</v>
      </c>
      <c r="B297" s="158" t="str">
        <f>IF(E$294=1,BIBLE!F176,"")</f>
        <v>Arrive-t-il à votre enfant de changer d’idée concernant une activité prévue à l’horaire avec vous ?  D’abord enthousiaste, votre enfant trouve subitement (dernière minute) des excuses pour ne pas participer à l’activité ?</v>
      </c>
      <c r="C297" s="498" t="str">
        <f>BIBLE!O176</f>
        <v xml:space="preserve">Jamais / Rarement / Occasionnellement / Régulièrement / Souvent / Toujours / S.O. </v>
      </c>
      <c r="D297" s="1527">
        <f>BIBLE!L176</f>
        <v>3</v>
      </c>
      <c r="E297" s="20"/>
      <c r="F297" s="20"/>
      <c r="G297" s="20"/>
      <c r="H297" s="20">
        <v>1</v>
      </c>
      <c r="I297" s="20"/>
      <c r="J297" s="20"/>
      <c r="K297" s="20"/>
      <c r="L297" s="20"/>
      <c r="M297" s="20"/>
      <c r="N297" s="20"/>
      <c r="O297" s="20"/>
      <c r="P297" s="1877">
        <f>'TEST_pour PROTOTYPE'!D272</f>
        <v>4</v>
      </c>
      <c r="Q297" s="25">
        <f t="shared" si="117"/>
        <v>12</v>
      </c>
      <c r="R297" s="8" t="str">
        <f>IF(BIBLE!K176=0,"",BIBLE!K176)</f>
        <v/>
      </c>
      <c r="S297" s="55"/>
      <c r="T297" s="55"/>
      <c r="U297" s="55"/>
      <c r="V297" s="8"/>
      <c r="AE297" s="512"/>
      <c r="AF297" s="52"/>
      <c r="AG297" s="52"/>
      <c r="AH297" s="92"/>
      <c r="AI297" s="92"/>
      <c r="AJ297" s="92"/>
      <c r="AK297" s="743"/>
      <c r="AL297" s="743"/>
      <c r="AM297" s="743"/>
      <c r="AN297" s="743"/>
      <c r="AO297" s="743"/>
      <c r="AP297" s="743"/>
      <c r="AQ297" s="743"/>
      <c r="AR297" s="743"/>
      <c r="AS297" s="6">
        <f>Q297</f>
        <v>12</v>
      </c>
      <c r="AT297" s="8"/>
      <c r="AU297" s="6">
        <f t="shared" si="123"/>
        <v>0</v>
      </c>
      <c r="AV297" s="6">
        <f t="shared" si="123"/>
        <v>3</v>
      </c>
      <c r="AW297" s="6">
        <f t="shared" si="123"/>
        <v>6</v>
      </c>
      <c r="AX297" s="6">
        <f t="shared" si="123"/>
        <v>12</v>
      </c>
      <c r="AY297" s="6">
        <f t="shared" si="123"/>
        <v>21</v>
      </c>
      <c r="AZ297" s="6">
        <f t="shared" si="123"/>
        <v>30</v>
      </c>
      <c r="BA297" s="8"/>
      <c r="BB297" s="8"/>
      <c r="BC297" s="8"/>
      <c r="BD297" s="8"/>
      <c r="BE297" s="8"/>
      <c r="BF297" s="8"/>
      <c r="BG297" s="8"/>
    </row>
    <row r="298" spans="1:61" s="7" customFormat="1" ht="63" customHeight="1" x14ac:dyDescent="0.2">
      <c r="A298" s="1358" t="str">
        <f>BIBLE!E177</f>
        <v>E16a3</v>
      </c>
      <c r="B298" s="158" t="str">
        <f>IF(E$294=1,BIBLE!F177,"")</f>
        <v>Votre enfant subit une pression pour passer plus de temps chez l'autre parent.</v>
      </c>
      <c r="C298" s="498" t="str">
        <f>BIBLE!O177</f>
        <v>Nulle / Très faible / Faible / Moyenne / Élevée / Très élevée / S.O.</v>
      </c>
      <c r="D298" s="1527">
        <f>IF(E40&gt;=10,BIBLE!L177,BIBLE!M177)</f>
        <v>2</v>
      </c>
      <c r="E298" s="20"/>
      <c r="F298" s="20"/>
      <c r="G298" s="20"/>
      <c r="H298" s="20"/>
      <c r="I298" s="20"/>
      <c r="J298" s="20">
        <v>1</v>
      </c>
      <c r="K298" s="20"/>
      <c r="L298" s="20"/>
      <c r="M298" s="20"/>
      <c r="N298" s="20"/>
      <c r="O298" s="20"/>
      <c r="P298" s="1877">
        <f>'TEST_pour PROTOTYPE'!D273</f>
        <v>10</v>
      </c>
      <c r="Q298" s="25">
        <f t="shared" si="117"/>
        <v>20</v>
      </c>
      <c r="R298" s="8" t="str">
        <f>IF(BIBLE!K177=0,"",BIBLE!K177)</f>
        <v/>
      </c>
      <c r="S298" s="55"/>
      <c r="T298" s="55"/>
      <c r="U298" s="55"/>
      <c r="V298" s="8"/>
      <c r="AE298" s="512"/>
      <c r="AF298" s="52"/>
      <c r="AG298" s="52"/>
      <c r="AH298" s="92"/>
      <c r="AI298" s="92"/>
      <c r="AJ298" s="92"/>
      <c r="AK298" s="743"/>
      <c r="AL298" s="743"/>
      <c r="AM298" s="743"/>
      <c r="AN298" s="743"/>
      <c r="AO298" s="743"/>
      <c r="AP298" s="743"/>
      <c r="AQ298" s="743"/>
      <c r="AR298" s="743"/>
      <c r="AS298" s="6">
        <f>Q298</f>
        <v>20</v>
      </c>
      <c r="AT298" s="8"/>
      <c r="AU298" s="6">
        <f t="shared" si="123"/>
        <v>0</v>
      </c>
      <c r="AV298" s="6">
        <f t="shared" si="123"/>
        <v>2</v>
      </c>
      <c r="AW298" s="6">
        <f t="shared" si="123"/>
        <v>4</v>
      </c>
      <c r="AX298" s="6">
        <f t="shared" si="123"/>
        <v>8</v>
      </c>
      <c r="AY298" s="6">
        <f t="shared" si="123"/>
        <v>14</v>
      </c>
      <c r="AZ298" s="6">
        <f t="shared" si="123"/>
        <v>20</v>
      </c>
      <c r="BA298" s="8"/>
      <c r="BB298" s="8"/>
      <c r="BC298" s="8"/>
      <c r="BD298" s="8"/>
      <c r="BE298" s="8"/>
      <c r="BF298" s="8"/>
      <c r="BG298" s="8"/>
    </row>
    <row r="299" spans="1:61" s="7" customFormat="1" ht="63" customHeight="1" x14ac:dyDescent="0.2">
      <c r="A299" s="1358" t="str">
        <f>BIBLE!E178</f>
        <v>E18</v>
      </c>
      <c r="B299" s="157" t="str">
        <f>BIBLE!F178</f>
        <v>Votre enfant répond à vos messages lorsqu’il est chez l’autre parent (tél., textos, réseaux sociaux, etc.).</v>
      </c>
      <c r="C299" s="498" t="str">
        <f>BIBLE!O178</f>
        <v>Toujours / Souvent / Régulièrement / Occasionnellement / Rarement / Jamais / S.O.</v>
      </c>
      <c r="D299" s="1527">
        <f>BIBLE!L178</f>
        <v>2</v>
      </c>
      <c r="E299" s="20"/>
      <c r="F299" s="20"/>
      <c r="G299" s="20"/>
      <c r="H299" s="20">
        <v>1</v>
      </c>
      <c r="I299" s="20"/>
      <c r="J299" s="20"/>
      <c r="K299" s="20"/>
      <c r="L299" s="20"/>
      <c r="M299" s="20"/>
      <c r="N299" s="20"/>
      <c r="O299" s="20"/>
      <c r="P299" s="1877">
        <f>'TEST_pour PROTOTYPE'!D274</f>
        <v>10</v>
      </c>
      <c r="Q299" s="25">
        <f t="shared" si="117"/>
        <v>20</v>
      </c>
      <c r="R299" s="8" t="str">
        <f>IF(BIBLE!K178=0,"",BIBLE!K178)</f>
        <v/>
      </c>
      <c r="S299" s="55"/>
      <c r="T299" s="55"/>
      <c r="U299" s="55"/>
      <c r="V299" s="6">
        <f>Q299</f>
        <v>20</v>
      </c>
      <c r="W299" s="298"/>
      <c r="X299" s="6">
        <f t="shared" ref="X299:AC299" si="125">IF($Q299&gt;0,X$109*$D299,0)</f>
        <v>0</v>
      </c>
      <c r="Y299" s="6">
        <f t="shared" si="125"/>
        <v>2</v>
      </c>
      <c r="Z299" s="6">
        <f t="shared" si="125"/>
        <v>4</v>
      </c>
      <c r="AA299" s="6">
        <f t="shared" si="125"/>
        <v>8</v>
      </c>
      <c r="AB299" s="6">
        <f t="shared" si="125"/>
        <v>14</v>
      </c>
      <c r="AC299" s="6">
        <f t="shared" si="125"/>
        <v>20</v>
      </c>
      <c r="AE299" s="512"/>
      <c r="AF299" s="52"/>
      <c r="AG299" s="52"/>
      <c r="AH299" s="23">
        <f>$V299*BIBLE!S178</f>
        <v>20</v>
      </c>
      <c r="AI299" s="23">
        <f>$V299*BIBLE!T178</f>
        <v>0</v>
      </c>
      <c r="AJ299" s="23">
        <f>$V299*BIBLE!U178</f>
        <v>0</v>
      </c>
      <c r="AK299" s="1458">
        <f>$V299*BIBLE!W178</f>
        <v>0</v>
      </c>
      <c r="AL299" s="1458">
        <f>$V299*BIBLE!X178</f>
        <v>0</v>
      </c>
      <c r="AM299" s="1458">
        <f>$V299*BIBLE!Y178</f>
        <v>0</v>
      </c>
      <c r="AN299" s="1458">
        <f>$V299*BIBLE!Z178</f>
        <v>0</v>
      </c>
      <c r="AO299" s="1458">
        <f>$V299*BIBLE!AA178</f>
        <v>20</v>
      </c>
      <c r="AP299" s="1458">
        <f>$V299*BIBLE!AB178</f>
        <v>0</v>
      </c>
      <c r="AQ299" s="1458">
        <f>$V299*BIBLE!AC178</f>
        <v>0</v>
      </c>
      <c r="AR299" s="1458">
        <f>$V299*BIBLE!AD178</f>
        <v>0</v>
      </c>
    </row>
    <row r="300" spans="1:61" s="7" customFormat="1" ht="63" customHeight="1" x14ac:dyDescent="0.2">
      <c r="A300" s="1358" t="str">
        <f>BIBLE!E179</f>
        <v>E20</v>
      </c>
      <c r="B300" s="157" t="str">
        <f>IF($P$46&lt;&gt;1,BIBLE!F179,"")</f>
        <v>Votre enfant considère le nouveau ou nouvelle conjoint·e (de l'autre parent) comme son père ou sa mère.</v>
      </c>
      <c r="C300" s="498" t="str">
        <f>BIBLE!O179</f>
        <v>Nulle / Très faible / Faible / Moyenne / Élevée / Très élevée / S.O.</v>
      </c>
      <c r="D300" s="1527">
        <f>BIBLE!L179</f>
        <v>2</v>
      </c>
      <c r="E300" s="20"/>
      <c r="F300" s="20"/>
      <c r="G300" s="20">
        <v>1</v>
      </c>
      <c r="H300" s="20"/>
      <c r="I300" s="20"/>
      <c r="J300" s="20"/>
      <c r="K300" s="20"/>
      <c r="L300" s="20"/>
      <c r="M300" s="20"/>
      <c r="N300" s="20"/>
      <c r="O300" s="20"/>
      <c r="P300" s="1877">
        <f>'TEST_pour PROTOTYPE'!D275</f>
        <v>1</v>
      </c>
      <c r="Q300" s="24">
        <f t="shared" ref="Q300:Q301" si="126">P300*D300</f>
        <v>2</v>
      </c>
      <c r="R300" s="8">
        <f>IF(BIBLE!K179=0,"",BIBLE!K179)</f>
        <v>4</v>
      </c>
      <c r="S300" s="8"/>
      <c r="T300" s="8"/>
      <c r="U300" s="8"/>
      <c r="V300" s="8">
        <f>IF(P300&gt;=R300,IF(Q300&gt;Q301,Q300,Q301),Q300)</f>
        <v>2</v>
      </c>
      <c r="W300" s="8"/>
      <c r="X300" s="8">
        <f t="shared" ref="X300:AC302" si="127">IF(($P300&gt;=$R300),IF($Q300&gt;$Q301,X$109*$D300,X$109*$D301),X$109*$D300)</f>
        <v>0</v>
      </c>
      <c r="Y300" s="8">
        <f t="shared" si="127"/>
        <v>2</v>
      </c>
      <c r="Z300" s="8">
        <f t="shared" si="127"/>
        <v>4</v>
      </c>
      <c r="AA300" s="8">
        <f t="shared" si="127"/>
        <v>8</v>
      </c>
      <c r="AB300" s="8">
        <f t="shared" si="127"/>
        <v>14</v>
      </c>
      <c r="AC300" s="8">
        <f t="shared" si="127"/>
        <v>20</v>
      </c>
      <c r="AD300" s="8"/>
      <c r="AE300" s="512"/>
      <c r="AF300" s="52"/>
      <c r="AG300" s="52"/>
      <c r="AH300" s="23">
        <f>IF($Q300=$V300,$Q300*BIBLE!S179,$Q301*BIBLE!S180)</f>
        <v>1</v>
      </c>
      <c r="AI300" s="23">
        <f>IF($Q300=$V300,$Q300*BIBLE!T179,$Q301*BIBLE!T180)</f>
        <v>1</v>
      </c>
      <c r="AJ300" s="23">
        <f>IF($Q300=$V300,$Q300*BIBLE!U179,$Q301*BIBLE!U180)</f>
        <v>0</v>
      </c>
      <c r="AK300" s="1458">
        <f>IF($Q300=$V300,$Q300*BIBLE!W179,$Q301*BIBLE!W180)</f>
        <v>0</v>
      </c>
      <c r="AL300" s="1458">
        <f>IF($Q300=$V300,$Q300*BIBLE!X179,$Q301*BIBLE!X180)</f>
        <v>0</v>
      </c>
      <c r="AM300" s="1458">
        <f>IF($Q300=$V300,$Q300*BIBLE!Y179,$Q301*BIBLE!Y180)</f>
        <v>0</v>
      </c>
      <c r="AN300" s="1458">
        <f>IF($Q300=$V300,$Q300*BIBLE!Z179,$Q301*BIBLE!Z180)</f>
        <v>0</v>
      </c>
      <c r="AO300" s="1458">
        <f>IF($Q300=$V300,$Q300*BIBLE!AA179,$Q301*BIBLE!AA180)</f>
        <v>0</v>
      </c>
      <c r="AP300" s="1458">
        <f>IF($Q300=$V300,$Q300*BIBLE!AB179,$Q301*BIBLE!AB180)</f>
        <v>2</v>
      </c>
      <c r="AQ300" s="1458">
        <f>IF($Q300=$V300,$Q300*BIBLE!AC179,$Q301*BIBLE!AC180)</f>
        <v>0</v>
      </c>
      <c r="AR300" s="1458">
        <f>IF($Q300=$V300,$Q300*BIBLE!AD179,$Q301*BIBLE!AD180)</f>
        <v>0</v>
      </c>
    </row>
    <row r="301" spans="1:61" s="7" customFormat="1" ht="63" customHeight="1" x14ac:dyDescent="0.2">
      <c r="A301" s="1358" t="s">
        <v>1403</v>
      </c>
      <c r="B301" s="158" t="str">
        <f>IF(P300&gt;=R300,BIBLE!F180,"")</f>
        <v/>
      </c>
      <c r="C301" s="498" t="str">
        <f>BIBLE!O180</f>
        <v>Nulle / Très faible / Faible / Moyenne / Élevée / Très élevée / S.O.</v>
      </c>
      <c r="D301" s="1527">
        <f>BIBLE!L180</f>
        <v>3</v>
      </c>
      <c r="E301" s="20"/>
      <c r="F301" s="20"/>
      <c r="G301" s="20"/>
      <c r="H301" s="20"/>
      <c r="I301" s="20"/>
      <c r="J301" s="20">
        <v>1</v>
      </c>
      <c r="K301" s="20"/>
      <c r="L301" s="20"/>
      <c r="M301" s="20"/>
      <c r="N301" s="20"/>
      <c r="O301" s="20"/>
      <c r="P301" s="1877">
        <f>'TEST_pour PROTOTYPE'!D276</f>
        <v>0</v>
      </c>
      <c r="Q301" s="24">
        <f t="shared" si="126"/>
        <v>0</v>
      </c>
      <c r="R301" s="8" t="str">
        <f>IF(BIBLE!K180=0,"",BIBLE!K180)</f>
        <v/>
      </c>
      <c r="S301" s="8"/>
      <c r="T301" s="8"/>
      <c r="U301" s="8"/>
      <c r="V301" s="8"/>
      <c r="W301" s="8"/>
      <c r="X301" s="8"/>
      <c r="Y301" s="8"/>
      <c r="Z301" s="8"/>
      <c r="AA301" s="8"/>
      <c r="AB301" s="8"/>
      <c r="AC301" s="8"/>
      <c r="AD301" s="8"/>
      <c r="AE301" s="512"/>
      <c r="AF301" s="52"/>
      <c r="AG301" s="52"/>
      <c r="AH301" s="92"/>
      <c r="AI301" s="92"/>
      <c r="AJ301" s="92"/>
      <c r="AK301" s="743"/>
      <c r="AL301" s="743"/>
      <c r="AM301" s="743"/>
      <c r="AN301" s="743"/>
      <c r="AO301" s="743"/>
      <c r="AP301" s="743"/>
      <c r="AQ301" s="743"/>
      <c r="AR301" s="743"/>
    </row>
    <row r="302" spans="1:61" s="7" customFormat="1" ht="63" customHeight="1" x14ac:dyDescent="0.2">
      <c r="A302" s="1358" t="str">
        <f>BIBLE!E181</f>
        <v>E21</v>
      </c>
      <c r="B302" s="157" t="str">
        <f>BIBLE!F181</f>
        <v>Les jouets et les vêtements de votre enfant se promènent d’une maison à l’autre simplement.</v>
      </c>
      <c r="C302" s="498" t="str">
        <f>BIBLE!O181</f>
        <v>Toujours / Souvent / Régulièrement / Occasionnellement / Rarement / Jamais / S.O.</v>
      </c>
      <c r="D302" s="1980">
        <f>BIBLE!L181</f>
        <v>1</v>
      </c>
      <c r="E302" s="20"/>
      <c r="F302" s="20"/>
      <c r="G302" s="20"/>
      <c r="H302" s="20"/>
      <c r="I302" s="20"/>
      <c r="J302" s="20">
        <v>1</v>
      </c>
      <c r="K302" s="20"/>
      <c r="L302" s="20"/>
      <c r="M302" s="20"/>
      <c r="N302" s="20"/>
      <c r="O302" s="20"/>
      <c r="P302" s="1877">
        <f>'TEST_pour PROTOTYPE'!D277</f>
        <v>4</v>
      </c>
      <c r="Q302" s="24">
        <f t="shared" si="117"/>
        <v>4</v>
      </c>
      <c r="R302" s="8">
        <f>IF(BIBLE!K181=0,"",BIBLE!K181)</f>
        <v>4</v>
      </c>
      <c r="S302" s="8"/>
      <c r="T302" s="8"/>
      <c r="U302" s="8"/>
      <c r="V302" s="8">
        <f>IF(P302&gt;=R302,IF(Q302&gt;Q303,Q302,Q303),Q302)</f>
        <v>14</v>
      </c>
      <c r="W302" s="8"/>
      <c r="X302" s="8">
        <f t="shared" si="127"/>
        <v>0</v>
      </c>
      <c r="Y302" s="8">
        <f t="shared" si="127"/>
        <v>2</v>
      </c>
      <c r="Z302" s="8">
        <f t="shared" si="127"/>
        <v>4</v>
      </c>
      <c r="AA302" s="8">
        <f t="shared" si="127"/>
        <v>8</v>
      </c>
      <c r="AB302" s="8">
        <f t="shared" si="127"/>
        <v>14</v>
      </c>
      <c r="AC302" s="8">
        <f t="shared" si="127"/>
        <v>20</v>
      </c>
      <c r="AD302" s="8"/>
      <c r="AE302" s="512"/>
      <c r="AF302" s="52"/>
      <c r="AG302" s="52"/>
      <c r="AH302" s="23">
        <f>IF($Q302=$V302,$Q302*BIBLE!S181,$Q303*BIBLE!S182)</f>
        <v>7</v>
      </c>
      <c r="AI302" s="23">
        <f>IF($Q302=$V302,$Q302*BIBLE!T181,$Q303*BIBLE!T182)</f>
        <v>7</v>
      </c>
      <c r="AJ302" s="23">
        <f>IF($Q302=$V302,$Q302*BIBLE!U181,$Q303*BIBLE!U182)</f>
        <v>0</v>
      </c>
      <c r="AK302" s="1458">
        <f>IF($Q302=$V302,$Q302*BIBLE!W181,$Q303*BIBLE!W182)</f>
        <v>0</v>
      </c>
      <c r="AL302" s="1458">
        <f>IF($Q302=$V302,$Q302*BIBLE!X181,$Q303*BIBLE!X182)</f>
        <v>0</v>
      </c>
      <c r="AM302" s="1458">
        <f>IF($Q302=$V302,$Q302*BIBLE!Y181,$Q303*BIBLE!Y182)</f>
        <v>0</v>
      </c>
      <c r="AN302" s="1458">
        <f>IF($Q302=$V302,$Q302*BIBLE!Z181,$Q303*BIBLE!Z182)</f>
        <v>0</v>
      </c>
      <c r="AO302" s="1458">
        <f>IF($Q302=$V302,$Q302*BIBLE!AA181,$Q303*BIBLE!AA182)</f>
        <v>0</v>
      </c>
      <c r="AP302" s="1458">
        <f>IF($Q302=$V302,$Q302*BIBLE!AB181,$Q303*BIBLE!AB182)</f>
        <v>14</v>
      </c>
      <c r="AQ302" s="1458">
        <f>IF($Q302=$V302,$Q302*BIBLE!AC181,$Q303*BIBLE!AC182)</f>
        <v>0</v>
      </c>
      <c r="AR302" s="1458">
        <f>IF($Q302=$V302,$Q302*BIBLE!AD181,$Q303*BIBLE!AD182)</f>
        <v>0</v>
      </c>
    </row>
    <row r="303" spans="1:61" s="7" customFormat="1" ht="63" customHeight="1" x14ac:dyDescent="0.2">
      <c r="A303" s="1358" t="str">
        <f>BIBLE!E182</f>
        <v>E21a</v>
      </c>
      <c r="B303" s="158" t="str">
        <f>IF(P302&gt;=R302,BIBLE!F182,"")</f>
        <v xml:space="preserve">Dans quelle mesure diriez-vous que l'autre parent accepte que votre enfant apporte des objets qui proviennent de votre demeure ou de votre milieu ? </v>
      </c>
      <c r="C303" s="498" t="str">
        <f>BIBLE!O182</f>
        <v>Toujours / Souvent / Régulièrement / Occasionnellement / Rarement / Jamais / S.O.</v>
      </c>
      <c r="D303" s="1980">
        <f>BIBLE!L182</f>
        <v>2</v>
      </c>
      <c r="E303" s="20"/>
      <c r="F303" s="20"/>
      <c r="G303" s="20"/>
      <c r="H303" s="20"/>
      <c r="I303" s="20"/>
      <c r="J303" s="20">
        <v>1</v>
      </c>
      <c r="K303" s="20"/>
      <c r="L303" s="20"/>
      <c r="M303" s="20"/>
      <c r="N303" s="20"/>
      <c r="O303" s="20"/>
      <c r="P303" s="1877">
        <f>'TEST_pour PROTOTYPE'!D278</f>
        <v>7</v>
      </c>
      <c r="Q303" s="24">
        <f t="shared" si="117"/>
        <v>14</v>
      </c>
      <c r="R303" s="8" t="str">
        <f>IF(BIBLE!K182=0,"",BIBLE!K182)</f>
        <v/>
      </c>
      <c r="S303" s="8"/>
      <c r="T303" s="8"/>
      <c r="U303" s="8"/>
      <c r="V303" s="8"/>
      <c r="W303" s="8"/>
      <c r="X303" s="8"/>
      <c r="Y303" s="8"/>
      <c r="Z303" s="8"/>
      <c r="AA303" s="8"/>
      <c r="AB303" s="8"/>
      <c r="AC303" s="8"/>
      <c r="AD303" s="8"/>
      <c r="AE303" s="512"/>
      <c r="AF303" s="52"/>
      <c r="AG303" s="52"/>
      <c r="AH303" s="92"/>
      <c r="AI303" s="92"/>
      <c r="AJ303" s="92"/>
      <c r="AK303" s="743"/>
      <c r="AL303" s="743"/>
      <c r="AM303" s="743"/>
      <c r="AN303" s="743"/>
      <c r="AO303" s="743"/>
      <c r="AP303" s="743"/>
      <c r="AQ303" s="743"/>
      <c r="AR303" s="743"/>
    </row>
    <row r="304" spans="1:61" s="7" customFormat="1" ht="72" customHeight="1" x14ac:dyDescent="0.2">
      <c r="A304" s="1358" t="str">
        <f>BIBLE!E183</f>
        <v>E22</v>
      </c>
      <c r="B304" s="157" t="str">
        <f>BIBLE!F183</f>
        <v>Votre enfant connait des informations personnelles ou intimes sur vous dont vous n'avez jamais discuté avec lui ou avec elle.</v>
      </c>
      <c r="C304" s="498" t="str">
        <f>BIBLE!O183</f>
        <v>Nulle / Très faible / Faible / Moyenne / Élevée / Très élevée / S.O.</v>
      </c>
      <c r="D304" s="1527">
        <f>BIBLE!L183</f>
        <v>2</v>
      </c>
      <c r="E304" s="20"/>
      <c r="F304" s="20"/>
      <c r="G304" s="20"/>
      <c r="H304" s="20">
        <v>1</v>
      </c>
      <c r="I304" s="20"/>
      <c r="J304" s="20"/>
      <c r="K304" s="20"/>
      <c r="L304" s="20"/>
      <c r="M304" s="20"/>
      <c r="N304" s="20"/>
      <c r="O304" s="20"/>
      <c r="P304" s="1877">
        <f>'TEST_pour PROTOTYPE'!D279</f>
        <v>4</v>
      </c>
      <c r="Q304" s="25">
        <f t="shared" si="117"/>
        <v>8</v>
      </c>
      <c r="R304" s="8">
        <f>IF(BIBLE!K183=0,"",BIBLE!K183)</f>
        <v>2</v>
      </c>
      <c r="S304" s="55"/>
      <c r="T304" s="55"/>
      <c r="U304" s="55"/>
      <c r="V304" s="6">
        <f>IF(P304&gt;=R304,IF(Q304&gt;Q305,Q304,Q305),Q304)</f>
        <v>12</v>
      </c>
      <c r="W304" s="8"/>
      <c r="X304" s="6">
        <f>IF(($P304&gt;=$R304),IF($Q304&gt;$Q305,X$109*$D304,X$109*$D305),X$109*$D304)</f>
        <v>0</v>
      </c>
      <c r="Y304" s="6">
        <f t="shared" ref="Y304:AC304" si="128">IF(($P304&gt;=$R304),IF($Q304&gt;$Q305,Y$109*$D304,Y$109*$D305),Y$109*$D304)</f>
        <v>3</v>
      </c>
      <c r="Z304" s="6">
        <f t="shared" si="128"/>
        <v>6</v>
      </c>
      <c r="AA304" s="6">
        <f t="shared" si="128"/>
        <v>12</v>
      </c>
      <c r="AB304" s="6">
        <f t="shared" si="128"/>
        <v>21</v>
      </c>
      <c r="AC304" s="6">
        <f t="shared" si="128"/>
        <v>30</v>
      </c>
      <c r="AE304" s="512"/>
      <c r="AF304" s="52"/>
      <c r="AG304" s="52"/>
      <c r="AH304" s="23">
        <f>IF($Q304=$V304,$Q304*BIBLE!S183,$Q305*BIBLE!S184)</f>
        <v>0</v>
      </c>
      <c r="AI304" s="23">
        <f>IF($Q304=$V304,$Q304*BIBLE!T183,$Q305*BIBLE!T184)</f>
        <v>12</v>
      </c>
      <c r="AJ304" s="23">
        <f>IF($Q304=$V304,$Q304*BIBLE!U183,$Q305*BIBLE!U184)</f>
        <v>0</v>
      </c>
      <c r="AK304" s="1458">
        <f>IF($Q304=$V304,$Q304*BIBLE!W183,$Q305*BIBLE!W184)</f>
        <v>0</v>
      </c>
      <c r="AL304" s="1458">
        <f>IF($Q304=$V304,$Q304*BIBLE!X183,$Q305*BIBLE!X184)</f>
        <v>0</v>
      </c>
      <c r="AM304" s="1458">
        <f>IF($Q304=$V304,$Q304*BIBLE!Y183,$Q305*BIBLE!Y184)</f>
        <v>0</v>
      </c>
      <c r="AN304" s="1458">
        <f>IF($Q304=$V304,$Q304*BIBLE!Z183,$Q305*BIBLE!Z184)</f>
        <v>0</v>
      </c>
      <c r="AO304" s="1458">
        <f>IF($Q304=$V304,$Q304*BIBLE!AA183,$Q305*BIBLE!AA184)</f>
        <v>0</v>
      </c>
      <c r="AP304" s="1458">
        <f>IF($Q304=$V304,$Q304*BIBLE!AB183,$Q305*BIBLE!AB184)</f>
        <v>12</v>
      </c>
      <c r="AQ304" s="1458">
        <f>IF($Q304=$V304,$Q304*BIBLE!AC183,$Q305*BIBLE!AC184)</f>
        <v>0</v>
      </c>
      <c r="AR304" s="1458">
        <f>IF($Q304=$V304,$Q304*BIBLE!AD183,$Q305*BIBLE!AD184)</f>
        <v>0</v>
      </c>
    </row>
    <row r="305" spans="1:44" s="7" customFormat="1" ht="63" customHeight="1" x14ac:dyDescent="0.2">
      <c r="A305" s="1358" t="str">
        <f>BIBLE!E184</f>
        <v>E22a</v>
      </c>
      <c r="B305" s="158" t="str">
        <f>IF(P304&gt;=R304,BIBLE!F184,"")</f>
        <v>Dans quelle mesure les souvenirs de votre enfant vous semblent-ils être déformés ? (ex.: souvenirs de la petite enfance vus aujourd'hui différement)</v>
      </c>
      <c r="C305" s="498" t="str">
        <f>BIBLE!O184</f>
        <v>Nulle / Très faible / Faible / Moyenne / Élevée / Très élevée / S.O.</v>
      </c>
      <c r="D305" s="1527">
        <f>BIBLE!L184</f>
        <v>3</v>
      </c>
      <c r="E305" s="20"/>
      <c r="F305" s="20"/>
      <c r="G305" s="20"/>
      <c r="H305" s="20">
        <v>1</v>
      </c>
      <c r="I305" s="20"/>
      <c r="J305" s="20"/>
      <c r="K305" s="20"/>
      <c r="L305" s="20"/>
      <c r="M305" s="20"/>
      <c r="N305" s="20"/>
      <c r="O305" s="20"/>
      <c r="P305" s="1877">
        <f>'TEST_pour PROTOTYPE'!D280</f>
        <v>4</v>
      </c>
      <c r="Q305" s="25">
        <f>P305*D305</f>
        <v>12</v>
      </c>
      <c r="R305" s="8" t="str">
        <f>IF(BIBLE!K184=0,"",BIBLE!K184)</f>
        <v/>
      </c>
      <c r="S305" s="55"/>
      <c r="T305" s="55"/>
      <c r="U305" s="55"/>
      <c r="V305" s="6"/>
      <c r="W305" s="298"/>
      <c r="X305" s="6"/>
      <c r="Y305" s="6"/>
      <c r="Z305" s="6"/>
      <c r="AA305" s="6"/>
      <c r="AB305" s="6"/>
      <c r="AC305" s="6"/>
      <c r="AE305" s="512"/>
      <c r="AF305" s="52"/>
      <c r="AG305" s="52"/>
      <c r="AH305" s="92"/>
      <c r="AI305" s="92"/>
      <c r="AJ305" s="92"/>
      <c r="AK305" s="743"/>
      <c r="AL305" s="743"/>
      <c r="AM305" s="743"/>
      <c r="AN305" s="743"/>
      <c r="AO305" s="743"/>
      <c r="AP305" s="743"/>
      <c r="AQ305" s="743"/>
      <c r="AR305" s="743"/>
    </row>
    <row r="306" spans="1:44" s="7" customFormat="1" ht="63" customHeight="1" x14ac:dyDescent="0.2">
      <c r="A306" s="1358" t="str">
        <f>BIBLE!E185</f>
        <v>E17</v>
      </c>
      <c r="B306" s="157" t="str">
        <f>BIBLE!F185</f>
        <v xml:space="preserve">Dans quelle mesure diriez-vous que votre enfant a la responsabilité de vous communiquer les informations concernant la logistique familiale (gestion vêtements, lunch, activités, etc.) au retour d'un séjour chez l'autre parent ? </v>
      </c>
      <c r="C306" s="498" t="str">
        <f>BIBLE!O185</f>
        <v xml:space="preserve">Jamais / Rarement / Occasionnellement / Régulièrement / Souvent / Toujours / S.O. </v>
      </c>
      <c r="D306" s="1527">
        <f>IF(E40&gt;=8,BIBLE!L185,BIBLE!M185)</f>
        <v>1</v>
      </c>
      <c r="E306" s="20"/>
      <c r="F306" s="20"/>
      <c r="G306" s="20"/>
      <c r="H306" s="20"/>
      <c r="I306" s="20"/>
      <c r="J306" s="20">
        <v>1</v>
      </c>
      <c r="K306" s="20"/>
      <c r="L306" s="20"/>
      <c r="M306" s="20"/>
      <c r="N306" s="20"/>
      <c r="O306" s="20"/>
      <c r="P306" s="1877">
        <f>'TEST_pour PROTOTYPE'!D281</f>
        <v>7</v>
      </c>
      <c r="Q306" s="25">
        <f>P306*D306</f>
        <v>7</v>
      </c>
      <c r="R306" s="8" t="str">
        <f>IF(BIBLE!K185=0,"",BIBLE!K185)</f>
        <v/>
      </c>
      <c r="S306" s="55"/>
      <c r="T306" s="55"/>
      <c r="U306" s="55"/>
      <c r="V306" s="6">
        <f t="shared" ref="V306:V311" si="129">Q306</f>
        <v>7</v>
      </c>
      <c r="W306" s="298"/>
      <c r="X306" s="6">
        <f t="shared" ref="X306:AC306" si="130">IF($Q306&gt;0,X$109*$D306,0)</f>
        <v>0</v>
      </c>
      <c r="Y306" s="6">
        <f t="shared" si="130"/>
        <v>1</v>
      </c>
      <c r="Z306" s="6">
        <f t="shared" si="130"/>
        <v>2</v>
      </c>
      <c r="AA306" s="6">
        <f t="shared" si="130"/>
        <v>4</v>
      </c>
      <c r="AB306" s="6">
        <f t="shared" si="130"/>
        <v>7</v>
      </c>
      <c r="AC306" s="6">
        <f t="shared" si="130"/>
        <v>10</v>
      </c>
      <c r="AE306" s="512"/>
      <c r="AF306" s="52"/>
      <c r="AG306" s="52"/>
      <c r="AH306" s="23">
        <f>$V306*BIBLE!S185</f>
        <v>7</v>
      </c>
      <c r="AI306" s="23">
        <f>$V306*BIBLE!T185</f>
        <v>0</v>
      </c>
      <c r="AJ306" s="23">
        <f>$V306*BIBLE!U185</f>
        <v>0</v>
      </c>
      <c r="AK306" s="1458">
        <f>$V306*BIBLE!W185</f>
        <v>0</v>
      </c>
      <c r="AL306" s="1458">
        <f>$V306*BIBLE!X185</f>
        <v>0</v>
      </c>
      <c r="AM306" s="1458">
        <f>$V306*BIBLE!Y185</f>
        <v>0</v>
      </c>
      <c r="AN306" s="1458">
        <f>$V306*BIBLE!Z185</f>
        <v>0</v>
      </c>
      <c r="AO306" s="1458">
        <f>$V306*BIBLE!AA185</f>
        <v>0</v>
      </c>
      <c r="AP306" s="1458">
        <f>$V306*BIBLE!AB185</f>
        <v>0</v>
      </c>
      <c r="AQ306" s="1458">
        <f>$V306*BIBLE!AC185</f>
        <v>7</v>
      </c>
      <c r="AR306" s="1458">
        <f>$V306*BIBLE!AD185</f>
        <v>0</v>
      </c>
    </row>
    <row r="307" spans="1:44" s="7" customFormat="1" ht="63" customHeight="1" x14ac:dyDescent="0.2">
      <c r="A307" s="1358" t="str">
        <f>BIBLE!E186</f>
        <v>E23</v>
      </c>
      <c r="B307" s="157" t="str">
        <f>BIBLE!F186</f>
        <v>Votre enfant se sent responsable du bonheur de l’autre parent ou sent le besoin de le protéger.</v>
      </c>
      <c r="C307" s="498" t="str">
        <f>BIBLE!O186</f>
        <v>Nulle / Très faible / Faible / Moyenne / Élevée / Très élevée / S.O.</v>
      </c>
      <c r="D307" s="1527">
        <f>BIBLE!L186</f>
        <v>1</v>
      </c>
      <c r="E307" s="20"/>
      <c r="F307" s="20"/>
      <c r="G307" s="20">
        <v>1</v>
      </c>
      <c r="H307" s="20"/>
      <c r="I307" s="20"/>
      <c r="J307" s="20"/>
      <c r="K307" s="20"/>
      <c r="L307" s="20"/>
      <c r="M307" s="20"/>
      <c r="N307" s="20"/>
      <c r="O307" s="20"/>
      <c r="P307" s="1877">
        <f>'TEST_pour PROTOTYPE'!D282</f>
        <v>2</v>
      </c>
      <c r="Q307" s="25">
        <f t="shared" si="117"/>
        <v>2</v>
      </c>
      <c r="R307" s="8" t="str">
        <f>IF(BIBLE!K186=0,"",BIBLE!K186)</f>
        <v/>
      </c>
      <c r="S307" s="54"/>
      <c r="T307" s="54"/>
      <c r="U307" s="54"/>
      <c r="V307" s="6">
        <f t="shared" si="129"/>
        <v>2</v>
      </c>
      <c r="W307" s="298"/>
      <c r="X307" s="6">
        <f t="shared" ref="X307:AC310" si="131">IF($Q307&gt;0,X$109*$D307,0)</f>
        <v>0</v>
      </c>
      <c r="Y307" s="6">
        <f t="shared" si="131"/>
        <v>1</v>
      </c>
      <c r="Z307" s="6">
        <f t="shared" si="131"/>
        <v>2</v>
      </c>
      <c r="AA307" s="6">
        <f t="shared" si="131"/>
        <v>4</v>
      </c>
      <c r="AB307" s="6">
        <f t="shared" si="131"/>
        <v>7</v>
      </c>
      <c r="AC307" s="6">
        <f t="shared" si="131"/>
        <v>10</v>
      </c>
      <c r="AE307" s="512"/>
      <c r="AF307" s="52"/>
      <c r="AG307" s="52"/>
      <c r="AH307" s="23">
        <f>$V307*BIBLE!S186</f>
        <v>0</v>
      </c>
      <c r="AI307" s="23">
        <f>$V307*BIBLE!T186</f>
        <v>2</v>
      </c>
      <c r="AJ307" s="23">
        <f>$V307*BIBLE!U186</f>
        <v>0</v>
      </c>
      <c r="AK307" s="1458">
        <f>$V307*BIBLE!W186</f>
        <v>0</v>
      </c>
      <c r="AL307" s="1458">
        <f>$V307*BIBLE!X186</f>
        <v>0</v>
      </c>
      <c r="AM307" s="1458">
        <f>$V307*BIBLE!Y186</f>
        <v>0</v>
      </c>
      <c r="AN307" s="1458">
        <f>$V307*BIBLE!Z186</f>
        <v>0</v>
      </c>
      <c r="AO307" s="1458">
        <f>$V307*BIBLE!AA186</f>
        <v>0</v>
      </c>
      <c r="AP307" s="1458">
        <f>$V307*BIBLE!AB186</f>
        <v>0</v>
      </c>
      <c r="AQ307" s="1458">
        <f>$V307*BIBLE!AC186</f>
        <v>2</v>
      </c>
      <c r="AR307" s="1458">
        <f>$V307*BIBLE!AD186</f>
        <v>0</v>
      </c>
    </row>
    <row r="308" spans="1:44" s="7" customFormat="1" ht="63" customHeight="1" x14ac:dyDescent="0.2">
      <c r="A308" s="1358" t="str">
        <f>BIBLE!E187</f>
        <v>E24</v>
      </c>
      <c r="B308" s="157" t="str">
        <f>IF(OR($P$53&gt;=$R$53,P113&gt;=4,P123&gt;=4),BIBLE!F187,"")</f>
        <v>L'autre parent a informé votre enfant du contexte juridique, financier ou autre associé au conflit vous opposant.</v>
      </c>
      <c r="C308" s="498" t="str">
        <f>BIBLE!O187</f>
        <v>Nulle / Très faible / Faible / Moyenne / Élevée / Très élevée / S.O.</v>
      </c>
      <c r="D308" s="1527">
        <f>BIBLE!L187</f>
        <v>2</v>
      </c>
      <c r="E308" s="20"/>
      <c r="F308" s="20"/>
      <c r="G308" s="20"/>
      <c r="H308" s="20"/>
      <c r="I308" s="20"/>
      <c r="J308" s="20"/>
      <c r="K308" s="20">
        <v>1</v>
      </c>
      <c r="L308" s="20"/>
      <c r="M308" s="20"/>
      <c r="N308" s="20"/>
      <c r="O308" s="20"/>
      <c r="P308" s="1877">
        <f>'TEST_pour PROTOTYPE'!D283</f>
        <v>7</v>
      </c>
      <c r="Q308" s="25">
        <f t="shared" si="117"/>
        <v>14</v>
      </c>
      <c r="R308" s="8" t="str">
        <f>IF(BIBLE!K187=0,"",BIBLE!K187)</f>
        <v/>
      </c>
      <c r="S308" s="55"/>
      <c r="T308" s="55"/>
      <c r="U308" s="55"/>
      <c r="V308" s="6">
        <f t="shared" si="129"/>
        <v>14</v>
      </c>
      <c r="W308" s="298"/>
      <c r="X308" s="6">
        <f t="shared" si="131"/>
        <v>0</v>
      </c>
      <c r="Y308" s="6">
        <f t="shared" si="131"/>
        <v>2</v>
      </c>
      <c r="Z308" s="6">
        <f t="shared" si="131"/>
        <v>4</v>
      </c>
      <c r="AA308" s="6">
        <f t="shared" si="131"/>
        <v>8</v>
      </c>
      <c r="AB308" s="6">
        <f t="shared" si="131"/>
        <v>14</v>
      </c>
      <c r="AC308" s="6">
        <f t="shared" si="131"/>
        <v>20</v>
      </c>
      <c r="AE308" s="512"/>
      <c r="AF308" s="52"/>
      <c r="AG308" s="52"/>
      <c r="AH308" s="23">
        <f>$V308*BIBLE!S187</f>
        <v>14</v>
      </c>
      <c r="AI308" s="23">
        <f>$V308*BIBLE!T187</f>
        <v>0</v>
      </c>
      <c r="AJ308" s="23">
        <f>$V308*BIBLE!U187</f>
        <v>0</v>
      </c>
      <c r="AK308" s="1458">
        <f>$V308*BIBLE!W187</f>
        <v>0</v>
      </c>
      <c r="AL308" s="1458">
        <f>$V308*BIBLE!X187</f>
        <v>0</v>
      </c>
      <c r="AM308" s="1458">
        <f>$V308*BIBLE!Y187</f>
        <v>0</v>
      </c>
      <c r="AN308" s="1458">
        <f>$V308*BIBLE!Z187</f>
        <v>0</v>
      </c>
      <c r="AO308" s="1458">
        <f>$V308*BIBLE!AA187</f>
        <v>0</v>
      </c>
      <c r="AP308" s="1458">
        <f>$V308*BIBLE!AB187</f>
        <v>0</v>
      </c>
      <c r="AQ308" s="1458">
        <f>$V308*BIBLE!AC187</f>
        <v>14</v>
      </c>
      <c r="AR308" s="1458">
        <f>$V308*BIBLE!AD187</f>
        <v>0</v>
      </c>
    </row>
    <row r="309" spans="1:44" s="7" customFormat="1" ht="63" customHeight="1" x14ac:dyDescent="0.2">
      <c r="A309" s="1358" t="str">
        <f>BIBLE!E188</f>
        <v>E25</v>
      </c>
      <c r="B309" s="157" t="str">
        <f>BIBLE!F188</f>
        <v>Dans quelle mesure diriez-vous que votre enfant sent le besoin de protéger l’autre parent ou de défendre ses intérêts ?</v>
      </c>
      <c r="C309" s="498" t="str">
        <f>BIBLE!O188</f>
        <v>Nulle / Très faible / Faible / Moyenne / Élevée / Très élevée / S.O.</v>
      </c>
      <c r="D309" s="1527">
        <f>BIBLE!L188</f>
        <v>2</v>
      </c>
      <c r="E309" s="20"/>
      <c r="F309" s="20"/>
      <c r="G309" s="20"/>
      <c r="H309" s="20"/>
      <c r="I309" s="20"/>
      <c r="J309" s="20">
        <v>1</v>
      </c>
      <c r="K309" s="20"/>
      <c r="L309" s="20"/>
      <c r="M309" s="20"/>
      <c r="N309" s="20"/>
      <c r="O309" s="20"/>
      <c r="P309" s="1877">
        <f>'TEST_pour PROTOTYPE'!D284</f>
        <v>7</v>
      </c>
      <c r="Q309" s="25">
        <f t="shared" si="117"/>
        <v>14</v>
      </c>
      <c r="R309" s="8" t="str">
        <f>IF(BIBLE!K188=0,"",BIBLE!K188)</f>
        <v/>
      </c>
      <c r="S309" s="54"/>
      <c r="T309" s="54"/>
      <c r="U309" s="54"/>
      <c r="V309" s="6">
        <f t="shared" si="129"/>
        <v>14</v>
      </c>
      <c r="W309" s="298"/>
      <c r="X309" s="6">
        <f t="shared" si="131"/>
        <v>0</v>
      </c>
      <c r="Y309" s="6">
        <f t="shared" si="131"/>
        <v>2</v>
      </c>
      <c r="Z309" s="6">
        <f t="shared" si="131"/>
        <v>4</v>
      </c>
      <c r="AA309" s="6">
        <f t="shared" si="131"/>
        <v>8</v>
      </c>
      <c r="AB309" s="6">
        <f t="shared" si="131"/>
        <v>14</v>
      </c>
      <c r="AC309" s="6">
        <f t="shared" si="131"/>
        <v>20</v>
      </c>
      <c r="AE309" s="512"/>
      <c r="AF309" s="52"/>
      <c r="AG309" s="52"/>
      <c r="AH309" s="23">
        <f>$V309*BIBLE!S188</f>
        <v>7</v>
      </c>
      <c r="AI309" s="23">
        <f>$V309*BIBLE!T188</f>
        <v>7</v>
      </c>
      <c r="AJ309" s="23">
        <f>$V309*BIBLE!U188</f>
        <v>0</v>
      </c>
      <c r="AK309" s="1458">
        <f>$V309*BIBLE!W188</f>
        <v>0</v>
      </c>
      <c r="AL309" s="1458">
        <f>$V309*BIBLE!X188</f>
        <v>0</v>
      </c>
      <c r="AM309" s="1458">
        <f>$V309*BIBLE!Y188</f>
        <v>0</v>
      </c>
      <c r="AN309" s="1458">
        <f>$V309*BIBLE!Z188</f>
        <v>0</v>
      </c>
      <c r="AO309" s="1458">
        <f>$V309*BIBLE!AA188</f>
        <v>0</v>
      </c>
      <c r="AP309" s="1458">
        <f>$V309*BIBLE!AB188</f>
        <v>0</v>
      </c>
      <c r="AQ309" s="1458">
        <f>$V309*BIBLE!AC188</f>
        <v>14</v>
      </c>
      <c r="AR309" s="1458">
        <f>$V309*BIBLE!AD188</f>
        <v>0</v>
      </c>
    </row>
    <row r="310" spans="1:44" s="7" customFormat="1" ht="63" customHeight="1" x14ac:dyDescent="0.2">
      <c r="A310" s="1358" t="str">
        <f>BIBLE!E189</f>
        <v>E26</v>
      </c>
      <c r="B310" s="157" t="str">
        <f>BIBLE!F189</f>
        <v>Le comportement ou l'attitude de votre enfant change en présence de l’autre parent.</v>
      </c>
      <c r="C310" s="498" t="str">
        <f>BIBLE!O189</f>
        <v xml:space="preserve">Jamais / Rarement / Occasionnellement / Régulièrement / Souvent / Toujours / S.O. </v>
      </c>
      <c r="D310" s="1527">
        <f>BIBLE!L189</f>
        <v>2</v>
      </c>
      <c r="E310" s="20"/>
      <c r="F310" s="20"/>
      <c r="G310" s="20"/>
      <c r="H310" s="20"/>
      <c r="I310" s="20"/>
      <c r="J310" s="20">
        <v>1</v>
      </c>
      <c r="K310" s="20"/>
      <c r="L310" s="20"/>
      <c r="M310" s="20"/>
      <c r="N310" s="20"/>
      <c r="O310" s="20"/>
      <c r="P310" s="1877">
        <f>'TEST_pour PROTOTYPE'!D285</f>
        <v>4</v>
      </c>
      <c r="Q310" s="25">
        <f t="shared" si="117"/>
        <v>8</v>
      </c>
      <c r="R310" s="8">
        <f>IF(BIBLE!K189=0,"",BIBLE!K189)</f>
        <v>2</v>
      </c>
      <c r="S310" s="55"/>
      <c r="T310" s="55"/>
      <c r="U310" s="55"/>
      <c r="V310" s="6">
        <f t="shared" si="129"/>
        <v>8</v>
      </c>
      <c r="W310" s="298"/>
      <c r="X310" s="6">
        <f t="shared" si="131"/>
        <v>0</v>
      </c>
      <c r="Y310" s="6">
        <f t="shared" si="131"/>
        <v>2</v>
      </c>
      <c r="Z310" s="6">
        <f t="shared" si="131"/>
        <v>4</v>
      </c>
      <c r="AA310" s="6">
        <f t="shared" si="131"/>
        <v>8</v>
      </c>
      <c r="AB310" s="6">
        <f t="shared" si="131"/>
        <v>14</v>
      </c>
      <c r="AC310" s="6">
        <f t="shared" si="131"/>
        <v>20</v>
      </c>
      <c r="AE310" s="512"/>
      <c r="AF310" s="52"/>
      <c r="AG310" s="52"/>
      <c r="AH310" s="23">
        <f>$V310*BIBLE!S189</f>
        <v>4</v>
      </c>
      <c r="AI310" s="23">
        <f>$V310*BIBLE!T189</f>
        <v>4</v>
      </c>
      <c r="AJ310" s="23">
        <f>$V310*BIBLE!U189</f>
        <v>0</v>
      </c>
      <c r="AK310" s="1458">
        <f>$V310*BIBLE!W189</f>
        <v>0</v>
      </c>
      <c r="AL310" s="1458">
        <f>$V310*BIBLE!X189</f>
        <v>0</v>
      </c>
      <c r="AM310" s="1458">
        <f>$V310*BIBLE!Y189</f>
        <v>0</v>
      </c>
      <c r="AN310" s="1458">
        <f>$V310*BIBLE!Z189</f>
        <v>0</v>
      </c>
      <c r="AO310" s="1458">
        <f>$V310*BIBLE!AA189</f>
        <v>0</v>
      </c>
      <c r="AP310" s="1458">
        <f>$V310*BIBLE!AB189</f>
        <v>0</v>
      </c>
      <c r="AQ310" s="1458">
        <f>$V310*BIBLE!AC189</f>
        <v>0</v>
      </c>
      <c r="AR310" s="1458">
        <f>$V310*BIBLE!AD189</f>
        <v>8</v>
      </c>
    </row>
    <row r="311" spans="1:44" s="7" customFormat="1" ht="63" customHeight="1" x14ac:dyDescent="0.2">
      <c r="A311" s="1358" t="str">
        <f>BIBLE!E190</f>
        <v>E12</v>
      </c>
      <c r="B311" s="502" t="str">
        <f>IF(AND(P59&gt;=3,P310&gt;=R310),BIBLE!F190,"")</f>
        <v xml:space="preserve">Est-il déjà arrivé que votre enfant dénigre vos compétences parentales devant l’autre parent ? </v>
      </c>
      <c r="C311" s="498" t="str">
        <f>BIBLE!O190</f>
        <v xml:space="preserve">Jamais / Rarement / Occasionnellement / Régulièrement / Souvent / Toujours / S.O. </v>
      </c>
      <c r="D311" s="1527">
        <f>IF(E40&lt;=10,BIBLE!M190,BIBLE!L190)</f>
        <v>3</v>
      </c>
      <c r="E311" s="20"/>
      <c r="F311" s="20">
        <v>1</v>
      </c>
      <c r="G311" s="20"/>
      <c r="H311" s="20"/>
      <c r="I311" s="20"/>
      <c r="J311" s="20"/>
      <c r="K311" s="20"/>
      <c r="L311" s="20"/>
      <c r="M311" s="20"/>
      <c r="N311" s="20"/>
      <c r="O311" s="20"/>
      <c r="P311" s="1877">
        <f>'TEST_pour PROTOTYPE'!D286</f>
        <v>0</v>
      </c>
      <c r="Q311" s="25">
        <f>P311*D311</f>
        <v>0</v>
      </c>
      <c r="R311" s="8" t="str">
        <f>IF(BIBLE!K190=0,"",BIBLE!K190)</f>
        <v/>
      </c>
      <c r="S311" s="54"/>
      <c r="T311" s="54"/>
      <c r="U311" s="54"/>
      <c r="V311" s="6">
        <f t="shared" si="129"/>
        <v>0</v>
      </c>
      <c r="W311" s="298"/>
      <c r="X311" s="6">
        <f t="shared" ref="X311:AC311" si="132">IF($Q311&gt;0,X$109*$D311,0)</f>
        <v>0</v>
      </c>
      <c r="Y311" s="6">
        <f t="shared" si="132"/>
        <v>0</v>
      </c>
      <c r="Z311" s="6">
        <f t="shared" si="132"/>
        <v>0</v>
      </c>
      <c r="AA311" s="6">
        <f t="shared" si="132"/>
        <v>0</v>
      </c>
      <c r="AB311" s="6">
        <f t="shared" si="132"/>
        <v>0</v>
      </c>
      <c r="AC311" s="6">
        <f t="shared" si="132"/>
        <v>0</v>
      </c>
      <c r="AE311" s="512"/>
      <c r="AF311" s="52"/>
      <c r="AG311" s="52"/>
      <c r="AH311" s="23">
        <f>$V311*BIBLE!S190</f>
        <v>0</v>
      </c>
      <c r="AI311" s="23">
        <f>$V311*BIBLE!T190</f>
        <v>0</v>
      </c>
      <c r="AJ311" s="23">
        <f>$V311*BIBLE!U190</f>
        <v>0</v>
      </c>
      <c r="AK311" s="1458">
        <f>$V311*BIBLE!W190</f>
        <v>0</v>
      </c>
      <c r="AL311" s="1458">
        <f>$V311*BIBLE!X190</f>
        <v>0</v>
      </c>
      <c r="AM311" s="1458">
        <f>$V311*BIBLE!Y190</f>
        <v>0</v>
      </c>
      <c r="AN311" s="1458">
        <f>$V311*BIBLE!Z190</f>
        <v>0</v>
      </c>
      <c r="AO311" s="1458">
        <f>$V311*BIBLE!AA190</f>
        <v>0</v>
      </c>
      <c r="AP311" s="1458">
        <f>$V311*BIBLE!AB190</f>
        <v>0</v>
      </c>
      <c r="AQ311" s="1458">
        <f>$V311*BIBLE!AC190</f>
        <v>0</v>
      </c>
      <c r="AR311" s="1458">
        <f>$V311*BIBLE!AD190</f>
        <v>0</v>
      </c>
    </row>
    <row r="312" spans="1:44" s="7" customFormat="1" ht="63" customHeight="1" x14ac:dyDescent="0.2">
      <c r="A312" s="1358" t="str">
        <f>BIBLE!E191</f>
        <v>E27</v>
      </c>
      <c r="B312" s="157" t="str">
        <f>BIBLE!F191</f>
        <v>Dans quelle mesure notez-vous un changement au niveau du comportement de votre enfant à son retour de garde ?</v>
      </c>
      <c r="C312" s="498" t="str">
        <f>BIBLE!O191</f>
        <v xml:space="preserve">Jamais / Rarement / Occasionnellement / Régulièrement / Souvent / Toujours / S.O. </v>
      </c>
      <c r="D312" s="1527">
        <f>BIBLE!L191</f>
        <v>2</v>
      </c>
      <c r="E312" s="20"/>
      <c r="F312" s="20"/>
      <c r="G312" s="20"/>
      <c r="H312" s="20">
        <v>1</v>
      </c>
      <c r="I312" s="20"/>
      <c r="J312" s="20"/>
      <c r="K312" s="20"/>
      <c r="L312" s="20"/>
      <c r="M312" s="20"/>
      <c r="N312" s="20"/>
      <c r="O312" s="20"/>
      <c r="P312" s="1877">
        <f>'TEST_pour PROTOTYPE'!D287</f>
        <v>4</v>
      </c>
      <c r="Q312" s="25">
        <f t="shared" si="117"/>
        <v>8</v>
      </c>
      <c r="R312" s="8">
        <f>IF(BIBLE!K191=0,"",BIBLE!K191)</f>
        <v>4</v>
      </c>
      <c r="S312" s="55"/>
      <c r="T312" s="55"/>
      <c r="U312" s="55"/>
      <c r="V312" s="6">
        <f>IF(P312&gt;=R312,IF(Q312&gt;Q320,Q312,Q320),Q312)</f>
        <v>8</v>
      </c>
      <c r="W312" s="8"/>
      <c r="X312" s="6">
        <f>IF(($P312&gt;=$R312),IF($Q312&gt;$Q320,X$109*$D312,X$109*$D320),X$109*$D312)</f>
        <v>0</v>
      </c>
      <c r="Y312" s="6">
        <f t="shared" ref="Y312:AC312" si="133">IF(($P312&gt;=$R312),IF($Q312&gt;$Q320,Y$109*$D312,Y$109*$D320),Y$109*$D312)</f>
        <v>2</v>
      </c>
      <c r="Z312" s="6">
        <f t="shared" si="133"/>
        <v>4</v>
      </c>
      <c r="AA312" s="6">
        <f t="shared" si="133"/>
        <v>8</v>
      </c>
      <c r="AB312" s="6">
        <f t="shared" si="133"/>
        <v>14</v>
      </c>
      <c r="AC312" s="6">
        <f t="shared" si="133"/>
        <v>20</v>
      </c>
      <c r="AE312" s="512"/>
      <c r="AF312" s="52"/>
      <c r="AG312" s="52"/>
      <c r="AH312" s="23">
        <f>IF($Q312=$V312,$Q312*BIBLE!S191,$Q320*BIBLE!S193)</f>
        <v>8</v>
      </c>
      <c r="AI312" s="23">
        <f>IF($Q312=$V312,$Q312*BIBLE!T191,$Q320*BIBLE!T193)</f>
        <v>0</v>
      </c>
      <c r="AJ312" s="23">
        <f>IF($Q312=$V312,$Q312*BIBLE!U191,$Q320*BIBLE!U193)</f>
        <v>0</v>
      </c>
      <c r="AK312" s="1458">
        <f>IF($Q312=$V312,$Q312*BIBLE!W191,$Q320*BIBLE!W193)</f>
        <v>0</v>
      </c>
      <c r="AL312" s="1458">
        <f>IF($Q312=$V312,$Q312*BIBLE!X191,$Q320*BIBLE!X193)</f>
        <v>0</v>
      </c>
      <c r="AM312" s="1458">
        <f>IF($Q312=$V312,$Q312*BIBLE!Y191,$Q320*BIBLE!Y193)</f>
        <v>0</v>
      </c>
      <c r="AN312" s="1458">
        <f>IF($Q312=$V312,$Q312*BIBLE!Z191,$Q320*BIBLE!Z193)</f>
        <v>0</v>
      </c>
      <c r="AO312" s="1458">
        <f>IF($Q312=$V312,$Q312*BIBLE!AA191,$Q320*BIBLE!AA193)</f>
        <v>0</v>
      </c>
      <c r="AP312" s="1458">
        <f>IF($Q312=$V312,$Q312*BIBLE!AB191,$Q320*BIBLE!AB193)</f>
        <v>0</v>
      </c>
      <c r="AQ312" s="1458">
        <f>IF($Q312=$V312,$Q312*BIBLE!AC191,$Q320*BIBLE!AC193)</f>
        <v>0</v>
      </c>
      <c r="AR312" s="1458">
        <f>IF($Q312=$V312,$Q312*BIBLE!AD191,$Q320*BIBLE!AD193)</f>
        <v>8</v>
      </c>
    </row>
    <row r="313" spans="1:44" s="7" customFormat="1" ht="32" customHeight="1" x14ac:dyDescent="0.2">
      <c r="A313" s="1358" t="str">
        <f>BIBLE!E192</f>
        <v>E27a</v>
      </c>
      <c r="B313" s="158" t="str">
        <f>IF(P312&gt;=R312,BIBLE!F192,"")</f>
        <v>De manière générale, au retour d'un séjour chez l'autre parent, votre enfant vous paraît :</v>
      </c>
      <c r="C313" s="23"/>
      <c r="D313" s="1527">
        <f>BIBLE!L192</f>
        <v>0</v>
      </c>
      <c r="E313" s="20"/>
      <c r="F313" s="20"/>
      <c r="G313" s="1914"/>
      <c r="H313" s="1914"/>
      <c r="I313" s="1914"/>
      <c r="J313" s="1914"/>
      <c r="K313" s="1914"/>
      <c r="L313" s="1914"/>
      <c r="M313" s="1914"/>
      <c r="N313" s="1914"/>
      <c r="O313" s="1914"/>
      <c r="P313" s="1818">
        <f>'TEST_pour PROTOTYPE'!D288</f>
        <v>2</v>
      </c>
      <c r="Q313" s="25"/>
      <c r="R313" s="8" t="str">
        <f>IF(BIBLE!K192=0,"",BIBLE!K192)</f>
        <v/>
      </c>
      <c r="S313" s="55"/>
      <c r="T313" s="55"/>
      <c r="U313" s="55"/>
      <c r="V313" s="6"/>
      <c r="W313" s="298"/>
      <c r="X313" s="6"/>
      <c r="Y313" s="6"/>
      <c r="Z313" s="6"/>
      <c r="AA313" s="6"/>
      <c r="AB313" s="6"/>
      <c r="AC313" s="6"/>
      <c r="AE313" s="512"/>
      <c r="AF313" s="52"/>
      <c r="AG313" s="52"/>
      <c r="AH313" s="92"/>
      <c r="AI313" s="92"/>
      <c r="AJ313" s="92"/>
      <c r="AK313" s="743"/>
      <c r="AL313" s="743"/>
      <c r="AM313" s="743"/>
      <c r="AN313" s="743"/>
      <c r="AO313" s="743"/>
      <c r="AP313" s="743"/>
      <c r="AQ313" s="743"/>
      <c r="AR313" s="743"/>
    </row>
    <row r="314" spans="1:44" s="7" customFormat="1" ht="23" customHeight="1" x14ac:dyDescent="0.2">
      <c r="A314" s="1358"/>
      <c r="B314" s="161" t="str">
        <f>IF(P312&gt;=R312,"Calme","")</f>
        <v>Calme</v>
      </c>
      <c r="C314" s="23"/>
      <c r="D314" s="2095">
        <v>1</v>
      </c>
      <c r="E314" s="51" t="str">
        <f>IF(P$313=D314,1,"x")</f>
        <v>x</v>
      </c>
      <c r="F314" s="20"/>
      <c r="P314" s="25"/>
      <c r="Q314" s="25"/>
      <c r="R314" s="8" t="str">
        <f>IF(BIBLE!K206=0,"",BIBLE!K206)</f>
        <v/>
      </c>
      <c r="S314" s="55"/>
      <c r="T314" s="55"/>
      <c r="U314" s="55"/>
      <c r="V314" s="6"/>
      <c r="W314" s="298"/>
      <c r="X314" s="6"/>
      <c r="Y314" s="6"/>
      <c r="Z314" s="6"/>
      <c r="AA314" s="6"/>
      <c r="AB314" s="6"/>
      <c r="AC314" s="6"/>
      <c r="AE314" s="512"/>
      <c r="AF314" s="52"/>
      <c r="AG314" s="52"/>
      <c r="AH314" s="92"/>
      <c r="AI314" s="92"/>
      <c r="AJ314" s="92"/>
      <c r="AK314" s="743"/>
      <c r="AL314" s="743"/>
      <c r="AM314" s="743"/>
      <c r="AN314" s="743"/>
      <c r="AO314" s="743"/>
      <c r="AP314" s="743"/>
      <c r="AQ314" s="743"/>
      <c r="AR314" s="743"/>
    </row>
    <row r="315" spans="1:44" s="7" customFormat="1" ht="23" customHeight="1" x14ac:dyDescent="0.2">
      <c r="A315" s="1358"/>
      <c r="B315" s="161" t="str">
        <f>IF(P312&gt;=R312,"Neutre","")</f>
        <v>Neutre</v>
      </c>
      <c r="C315" s="23"/>
      <c r="D315" s="2095">
        <v>2</v>
      </c>
      <c r="E315" s="51">
        <f t="shared" ref="E315:E319" si="134">IF(P$313=D315,1,"x")</f>
        <v>1</v>
      </c>
      <c r="F315" s="20"/>
      <c r="P315" s="25"/>
      <c r="Q315" s="25"/>
      <c r="R315" s="8" t="str">
        <f>IF(BIBLE!K207=0,"",BIBLE!K207)</f>
        <v/>
      </c>
      <c r="S315" s="55"/>
      <c r="T315" s="55"/>
      <c r="U315" s="55"/>
      <c r="V315" s="6"/>
      <c r="W315" s="298"/>
      <c r="X315" s="6"/>
      <c r="Y315" s="6"/>
      <c r="Z315" s="6"/>
      <c r="AA315" s="6"/>
      <c r="AB315" s="6"/>
      <c r="AC315" s="6"/>
      <c r="AE315" s="512"/>
      <c r="AF315" s="52"/>
      <c r="AG315" s="52"/>
      <c r="AH315" s="92"/>
      <c r="AI315" s="92"/>
      <c r="AJ315" s="92"/>
      <c r="AK315" s="743"/>
      <c r="AL315" s="743"/>
      <c r="AM315" s="743"/>
      <c r="AN315" s="743"/>
      <c r="AO315" s="743"/>
      <c r="AP315" s="743"/>
      <c r="AQ315" s="743"/>
      <c r="AR315" s="743"/>
    </row>
    <row r="316" spans="1:44" s="7" customFormat="1" ht="23" customHeight="1" x14ac:dyDescent="0.2">
      <c r="A316" s="1358"/>
      <c r="B316" s="161" t="str">
        <f>IF(P312&gt;=R312,"Enjoué.e","")</f>
        <v>Enjoué.e</v>
      </c>
      <c r="C316" s="23"/>
      <c r="D316" s="2095">
        <v>3</v>
      </c>
      <c r="E316" s="51" t="str">
        <f t="shared" si="134"/>
        <v>x</v>
      </c>
      <c r="F316" s="20"/>
      <c r="P316" s="25"/>
      <c r="Q316" s="25"/>
      <c r="R316" s="8" t="str">
        <f>IF(BIBLE!K211=0,"",BIBLE!K211)</f>
        <v/>
      </c>
      <c r="S316" s="55"/>
      <c r="T316" s="55"/>
      <c r="U316" s="55"/>
      <c r="V316" s="6"/>
      <c r="W316" s="298"/>
      <c r="X316" s="6"/>
      <c r="Y316" s="6"/>
      <c r="Z316" s="6"/>
      <c r="AA316" s="6"/>
      <c r="AB316" s="6"/>
      <c r="AC316" s="6"/>
      <c r="AE316" s="512"/>
      <c r="AF316" s="52"/>
      <c r="AG316" s="52"/>
      <c r="AH316" s="92"/>
      <c r="AI316" s="92"/>
      <c r="AJ316" s="92"/>
      <c r="AK316" s="743"/>
      <c r="AL316" s="743"/>
      <c r="AM316" s="743"/>
      <c r="AN316" s="743"/>
      <c r="AO316" s="743"/>
      <c r="AP316" s="743"/>
      <c r="AQ316" s="743"/>
      <c r="AR316" s="743"/>
    </row>
    <row r="317" spans="1:44" s="7" customFormat="1" ht="23" customHeight="1" x14ac:dyDescent="0.2">
      <c r="A317" s="1358"/>
      <c r="B317" s="161" t="str">
        <f>IF(P312&gt;=R312,"Taciturne","")</f>
        <v>Taciturne</v>
      </c>
      <c r="C317" s="23"/>
      <c r="D317" s="2095">
        <v>4</v>
      </c>
      <c r="E317" s="51" t="str">
        <f t="shared" si="134"/>
        <v>x</v>
      </c>
      <c r="F317" s="20"/>
      <c r="P317" s="25"/>
      <c r="Q317" s="25"/>
      <c r="R317" s="8" t="str">
        <f>IF(BIBLE!K212=0,"",BIBLE!K212)</f>
        <v/>
      </c>
      <c r="S317" s="55"/>
      <c r="T317" s="55"/>
      <c r="U317" s="55"/>
      <c r="V317" s="6"/>
      <c r="W317" s="298"/>
      <c r="X317" s="6"/>
      <c r="Y317" s="6"/>
      <c r="Z317" s="6"/>
      <c r="AA317" s="6"/>
      <c r="AB317" s="6"/>
      <c r="AC317" s="6"/>
      <c r="AE317" s="512"/>
      <c r="AF317" s="52"/>
      <c r="AG317" s="52"/>
      <c r="AH317" s="92"/>
      <c r="AI317" s="92"/>
      <c r="AJ317" s="92"/>
      <c r="AK317" s="743"/>
      <c r="AL317" s="743"/>
      <c r="AM317" s="743"/>
      <c r="AN317" s="743"/>
      <c r="AO317" s="743"/>
      <c r="AP317" s="743"/>
      <c r="AQ317" s="743"/>
      <c r="AR317" s="743"/>
    </row>
    <row r="318" spans="1:44" s="7" customFormat="1" ht="23" customHeight="1" x14ac:dyDescent="0.2">
      <c r="A318" s="1358"/>
      <c r="B318" s="161" t="str">
        <f>IF(P312&gt;=R312,"Anxieux","")</f>
        <v>Anxieux</v>
      </c>
      <c r="C318" s="23"/>
      <c r="D318" s="2095">
        <v>5</v>
      </c>
      <c r="E318" s="51" t="str">
        <f t="shared" si="134"/>
        <v>x</v>
      </c>
      <c r="F318" s="20"/>
      <c r="P318" s="25"/>
      <c r="Q318" s="25"/>
      <c r="R318" s="8" t="str">
        <f>IF(BIBLE!K213=0,"",BIBLE!K213)</f>
        <v/>
      </c>
      <c r="S318" s="55"/>
      <c r="T318" s="55"/>
      <c r="U318" s="55"/>
      <c r="V318" s="6"/>
      <c r="W318" s="298"/>
      <c r="X318" s="6"/>
      <c r="Y318" s="6"/>
      <c r="Z318" s="6"/>
      <c r="AA318" s="6"/>
      <c r="AB318" s="6"/>
      <c r="AC318" s="6"/>
      <c r="AE318" s="512"/>
      <c r="AF318" s="52"/>
      <c r="AG318" s="52"/>
      <c r="AH318" s="92"/>
      <c r="AI318" s="92"/>
      <c r="AJ318" s="92"/>
      <c r="AK318" s="743"/>
      <c r="AL318" s="743"/>
      <c r="AM318" s="743"/>
      <c r="AN318" s="743"/>
      <c r="AO318" s="743"/>
      <c r="AP318" s="743"/>
      <c r="AQ318" s="743"/>
      <c r="AR318" s="743"/>
    </row>
    <row r="319" spans="1:44" s="7" customFormat="1" ht="23" customHeight="1" x14ac:dyDescent="0.2">
      <c r="A319" s="1358"/>
      <c r="B319" s="161" t="str">
        <f>IF(P312&gt;=R312,"Agressif","")</f>
        <v>Agressif</v>
      </c>
      <c r="C319" s="23"/>
      <c r="D319" s="2095">
        <v>6</v>
      </c>
      <c r="E319" s="51" t="str">
        <f t="shared" si="134"/>
        <v>x</v>
      </c>
      <c r="F319" s="20"/>
      <c r="P319" s="25"/>
      <c r="Q319" s="25"/>
      <c r="R319" s="8" t="str">
        <f>IF(BIBLE!K214=0,"",BIBLE!K214)</f>
        <v/>
      </c>
      <c r="S319" s="55"/>
      <c r="T319" s="55"/>
      <c r="U319" s="55"/>
      <c r="V319" s="6"/>
      <c r="W319" s="298"/>
      <c r="X319" s="6"/>
      <c r="Y319" s="6"/>
      <c r="Z319" s="6"/>
      <c r="AA319" s="6"/>
      <c r="AB319" s="6"/>
      <c r="AC319" s="6"/>
      <c r="AE319" s="512"/>
      <c r="AF319" s="52"/>
      <c r="AG319" s="52"/>
      <c r="AH319" s="92"/>
      <c r="AI319" s="92"/>
      <c r="AJ319" s="92"/>
      <c r="AK319" s="743"/>
      <c r="AL319" s="743"/>
      <c r="AM319" s="743"/>
      <c r="AN319" s="743"/>
      <c r="AO319" s="743"/>
      <c r="AP319" s="743"/>
      <c r="AQ319" s="743"/>
      <c r="AR319" s="743"/>
    </row>
    <row r="320" spans="1:44" s="7" customFormat="1" ht="62" customHeight="1" x14ac:dyDescent="0.2">
      <c r="A320" s="1358" t="str">
        <f>BIBLE!E193</f>
        <v>E27a1</v>
      </c>
      <c r="B320" s="158" t="str">
        <f>IF(P313&gt;=1,BIBLE!F193,"")</f>
        <v>Au retour d’un séjour chez l’autre parent, votre enfant vous questionne sur vos décisions présentes ou passsées ou vous accable de reproches.</v>
      </c>
      <c r="C320" s="23" t="str">
        <f>IF(BIBLE!H193=0,"",BIBLE!H193)</f>
        <v/>
      </c>
      <c r="D320" s="1527">
        <f>BIBLE!L193</f>
        <v>3</v>
      </c>
      <c r="E320" s="20"/>
      <c r="F320" s="20"/>
      <c r="G320" s="1915"/>
      <c r="H320" s="1915"/>
      <c r="I320" s="1915"/>
      <c r="J320" s="1915"/>
      <c r="K320" s="1915"/>
      <c r="L320" s="1915"/>
      <c r="M320" s="1915"/>
      <c r="N320" s="1915"/>
      <c r="O320" s="1915"/>
      <c r="P320" s="1877">
        <f>'TEST_pour PROTOTYPE'!D289</f>
        <v>0</v>
      </c>
      <c r="Q320" s="25">
        <f>P320*D320</f>
        <v>0</v>
      </c>
      <c r="R320" s="8" t="str">
        <f>IF(BIBLE!K193=0,"",BIBLE!K193)</f>
        <v/>
      </c>
      <c r="S320" s="55"/>
      <c r="T320" s="55"/>
      <c r="U320" s="55"/>
      <c r="V320" s="6"/>
      <c r="W320" s="298"/>
      <c r="X320" s="6"/>
      <c r="Y320" s="6"/>
      <c r="Z320" s="6"/>
      <c r="AA320" s="6"/>
      <c r="AB320" s="6"/>
      <c r="AC320" s="6"/>
      <c r="AE320" s="512"/>
      <c r="AF320" s="52"/>
      <c r="AG320" s="52"/>
      <c r="AH320" s="92"/>
      <c r="AI320" s="92"/>
      <c r="AJ320" s="92"/>
      <c r="AK320" s="743"/>
      <c r="AL320" s="743"/>
      <c r="AM320" s="743"/>
      <c r="AN320" s="743"/>
      <c r="AO320" s="743"/>
      <c r="AP320" s="743"/>
      <c r="AQ320" s="743"/>
      <c r="AR320" s="743"/>
    </row>
    <row r="321" spans="1:61" s="7" customFormat="1" ht="60" customHeight="1" x14ac:dyDescent="0.2">
      <c r="A321" s="1358" t="str">
        <f>BIBLE!E194</f>
        <v>E28</v>
      </c>
      <c r="B321" s="157" t="str">
        <f>BIBLE!F194</f>
        <v>Votre enfant s'isole ou se cache (ex.: chambre ou toilettes) pour appeler l'autre parent afin qu'on n'entende pas ses conversations.</v>
      </c>
      <c r="C321" s="498" t="str">
        <f>BIBLE!O194</f>
        <v xml:space="preserve">Jamais / Rarement / Occasionnellement / Régulièrement / Souvent / Toujours / S.O. </v>
      </c>
      <c r="D321" s="1527">
        <f>BIBLE!L194</f>
        <v>2</v>
      </c>
      <c r="E321" s="20"/>
      <c r="F321" s="20"/>
      <c r="G321" s="20"/>
      <c r="H321" s="20">
        <v>1</v>
      </c>
      <c r="I321" s="20"/>
      <c r="J321" s="20"/>
      <c r="K321" s="20"/>
      <c r="L321" s="20"/>
      <c r="M321" s="20"/>
      <c r="N321" s="20"/>
      <c r="O321" s="20"/>
      <c r="P321" s="1877">
        <f>'TEST_pour PROTOTYPE'!D290</f>
        <v>4</v>
      </c>
      <c r="Q321" s="25">
        <f t="shared" ref="Q321:Q328" si="135">P321*D321</f>
        <v>8</v>
      </c>
      <c r="R321" s="8" t="str">
        <f>IF(BIBLE!K194=0,"",BIBLE!K194)</f>
        <v/>
      </c>
      <c r="S321" s="55"/>
      <c r="T321" s="55"/>
      <c r="U321" s="55"/>
      <c r="V321" s="6">
        <f>Q321</f>
        <v>8</v>
      </c>
      <c r="W321" s="298"/>
      <c r="X321" s="6">
        <f t="shared" ref="X321:AC321" si="136">IF($Q321&gt;0,X$109*$D321,0)</f>
        <v>0</v>
      </c>
      <c r="Y321" s="6">
        <f t="shared" si="136"/>
        <v>2</v>
      </c>
      <c r="Z321" s="6">
        <f t="shared" si="136"/>
        <v>4</v>
      </c>
      <c r="AA321" s="6">
        <f t="shared" si="136"/>
        <v>8</v>
      </c>
      <c r="AB321" s="6">
        <f t="shared" si="136"/>
        <v>14</v>
      </c>
      <c r="AC321" s="6">
        <f t="shared" si="136"/>
        <v>20</v>
      </c>
      <c r="AE321" s="512"/>
      <c r="AF321" s="52"/>
      <c r="AG321" s="52"/>
      <c r="AH321" s="23">
        <f>$V321*BIBLE!S194</f>
        <v>8</v>
      </c>
      <c r="AI321" s="23">
        <f>$V321*BIBLE!T194</f>
        <v>0</v>
      </c>
      <c r="AJ321" s="23">
        <f>$V321*BIBLE!U194</f>
        <v>0</v>
      </c>
      <c r="AK321" s="1458">
        <f>$V321*BIBLE!W194</f>
        <v>0</v>
      </c>
      <c r="AL321" s="1458">
        <f>$V321*BIBLE!X194</f>
        <v>0</v>
      </c>
      <c r="AM321" s="1458">
        <f>$V321*BIBLE!Y194</f>
        <v>0</v>
      </c>
      <c r="AN321" s="1458">
        <f>$V321*BIBLE!Z194</f>
        <v>0</v>
      </c>
      <c r="AO321" s="1458">
        <f>$V321*BIBLE!AA194</f>
        <v>0</v>
      </c>
      <c r="AP321" s="1458">
        <f>$V321*BIBLE!AB194</f>
        <v>0</v>
      </c>
      <c r="AQ321" s="1458">
        <f>$V321*BIBLE!AC194</f>
        <v>0</v>
      </c>
      <c r="AR321" s="1458">
        <f>$V321*BIBLE!AD194</f>
        <v>8</v>
      </c>
    </row>
    <row r="322" spans="1:61" s="7" customFormat="1" ht="45" customHeight="1" x14ac:dyDescent="0.2">
      <c r="A322" s="1358" t="str">
        <f>BIBLE!E195</f>
        <v>E29</v>
      </c>
      <c r="B322" s="157" t="str">
        <f>BIBLE!F195</f>
        <v>Dans quelle mesure diriez-vous que votre enfant change ou adapte ses champs d’intérêts pour partager les intérêts de l’autre parent ?</v>
      </c>
      <c r="C322" s="498" t="str">
        <f>BIBLE!O195</f>
        <v>Pas du tout / Très peu / Un peu / Moyennement / Grandement / Totalement / S.O.</v>
      </c>
      <c r="D322" s="1527">
        <f>BIBLE!L195</f>
        <v>2</v>
      </c>
      <c r="E322" s="20"/>
      <c r="F322" s="20"/>
      <c r="G322" s="20">
        <v>1</v>
      </c>
      <c r="H322" s="20"/>
      <c r="I322" s="20"/>
      <c r="J322" s="20"/>
      <c r="K322" s="20"/>
      <c r="L322" s="20"/>
      <c r="M322" s="20"/>
      <c r="N322" s="20"/>
      <c r="O322" s="20"/>
      <c r="P322" s="1877">
        <f>'TEST_pour PROTOTYPE'!D291</f>
        <v>4</v>
      </c>
      <c r="Q322" s="25">
        <f t="shared" si="135"/>
        <v>8</v>
      </c>
      <c r="R322" s="8">
        <f>IF(BIBLE!K195=0,"",BIBLE!K195)</f>
        <v>4</v>
      </c>
      <c r="S322" s="55"/>
      <c r="T322" s="55"/>
      <c r="U322" s="55"/>
      <c r="V322" s="6">
        <f>IF(P322&gt;=R322,IF(Q322&gt;Q323,Q322,Q323),Q322)</f>
        <v>21</v>
      </c>
      <c r="W322" s="8"/>
      <c r="X322" s="6">
        <f t="shared" ref="X322:AC322" si="137">IF(($P322&gt;=$R322),IF($Q322&gt;$Q323,X$109*$D322,X$109*$D323),X$109*$D322)</f>
        <v>0</v>
      </c>
      <c r="Y322" s="6">
        <f t="shared" si="137"/>
        <v>3</v>
      </c>
      <c r="Z322" s="6">
        <f t="shared" si="137"/>
        <v>6</v>
      </c>
      <c r="AA322" s="6">
        <f t="shared" si="137"/>
        <v>12</v>
      </c>
      <c r="AB322" s="6">
        <f t="shared" si="137"/>
        <v>21</v>
      </c>
      <c r="AC322" s="6">
        <f t="shared" si="137"/>
        <v>30</v>
      </c>
      <c r="AE322" s="512"/>
      <c r="AF322" s="52"/>
      <c r="AG322" s="52"/>
      <c r="AH322" s="23">
        <f>IF($Q322=$V322,$Q322*BIBLE!S195,$Q323*BIBLE!S196)</f>
        <v>21</v>
      </c>
      <c r="AI322" s="23">
        <f>IF($Q322=$V322,$Q322*BIBLE!T195,$Q323*BIBLE!T196)</f>
        <v>0</v>
      </c>
      <c r="AJ322" s="23">
        <f>IF($Q322=$V322,$Q322*BIBLE!U195,$Q323*BIBLE!U196)</f>
        <v>0</v>
      </c>
      <c r="AK322" s="1458">
        <f>IF($Q322=$V322,$Q322*BIBLE!W195,$Q323*BIBLE!W196)</f>
        <v>0</v>
      </c>
      <c r="AL322" s="1458">
        <f>IF($Q322=$V322,$Q322*BIBLE!X195,$Q323*BIBLE!X196)</f>
        <v>0</v>
      </c>
      <c r="AM322" s="1458">
        <f>IF($Q322=$V322,$Q322*BIBLE!Y195,$Q323*BIBLE!Y196)</f>
        <v>0</v>
      </c>
      <c r="AN322" s="1458">
        <f>IF($Q322=$V322,$Q322*BIBLE!Z195,$Q323*BIBLE!Z196)</f>
        <v>0</v>
      </c>
      <c r="AO322" s="1458">
        <f>IF($Q322=$V322,$Q322*BIBLE!AA195,$Q323*BIBLE!AA196)</f>
        <v>0</v>
      </c>
      <c r="AP322" s="1458">
        <f>IF($Q322=$V322,$Q322*BIBLE!AB195,$Q323*BIBLE!AB196)</f>
        <v>0</v>
      </c>
      <c r="AQ322" s="1458">
        <f>IF($Q322=$V322,$Q322*BIBLE!AC195,$Q323*BIBLE!AC196)</f>
        <v>0</v>
      </c>
      <c r="AR322" s="1458">
        <f>IF($Q322=$V322,$Q322*BIBLE!AD195,$Q323*BIBLE!AD196)</f>
        <v>21</v>
      </c>
    </row>
    <row r="323" spans="1:61" s="7" customFormat="1" ht="45" customHeight="1" x14ac:dyDescent="0.2">
      <c r="A323" s="1358" t="str">
        <f>BIBLE!E196</f>
        <v>E29a</v>
      </c>
      <c r="B323" s="158" t="str">
        <f>IF(P322&gt;=R322,BIBLE!F196,"")</f>
        <v>Dans quelle mesure diriez-vous que votre enfant rejette vos valeurs et vos champs d’intérêts.</v>
      </c>
      <c r="C323" s="498" t="str">
        <f>BIBLE!O196</f>
        <v>Pas du tout / Très peu / Un peu / Moyennement / Grandement / Totalement / S.O.</v>
      </c>
      <c r="D323" s="1527">
        <f>BIBLE!L196</f>
        <v>3</v>
      </c>
      <c r="E323" s="20"/>
      <c r="F323" s="20"/>
      <c r="G323" s="20"/>
      <c r="H323" s="20"/>
      <c r="I323" s="20"/>
      <c r="J323" s="20"/>
      <c r="K323" s="20"/>
      <c r="L323" s="20"/>
      <c r="M323" s="20"/>
      <c r="N323" s="20"/>
      <c r="O323" s="20"/>
      <c r="P323" s="1877">
        <f>'TEST_pour PROTOTYPE'!D292</f>
        <v>7</v>
      </c>
      <c r="Q323" s="25">
        <f>P323*D323</f>
        <v>21</v>
      </c>
      <c r="R323" s="8" t="str">
        <f>IF(BIBLE!K196=0,"",BIBLE!K196)</f>
        <v/>
      </c>
      <c r="S323" s="55"/>
      <c r="T323" s="55"/>
      <c r="U323" s="55"/>
      <c r="V323" s="6"/>
      <c r="W323" s="298"/>
      <c r="X323" s="6"/>
      <c r="Y323" s="6"/>
      <c r="Z323" s="6"/>
      <c r="AA323" s="6"/>
      <c r="AB323" s="6"/>
      <c r="AC323" s="6"/>
      <c r="AE323" s="512"/>
      <c r="AF323" s="52"/>
      <c r="AG323" s="52"/>
      <c r="AH323" s="92"/>
      <c r="AI323" s="92"/>
      <c r="AJ323" s="92"/>
      <c r="AK323" s="743"/>
      <c r="AL323" s="743"/>
      <c r="AM323" s="743"/>
      <c r="AN323" s="743"/>
      <c r="AO323" s="743"/>
      <c r="AP323" s="743"/>
      <c r="AQ323" s="743"/>
      <c r="AR323" s="743"/>
    </row>
    <row r="324" spans="1:61" s="7" customFormat="1" ht="70" customHeight="1" x14ac:dyDescent="0.2">
      <c r="A324" s="1358" t="str">
        <f>BIBLE!E197</f>
        <v>E30</v>
      </c>
      <c r="B324" s="157" t="str">
        <f>IF(AND(P53&gt;=R53,P68&gt;=2),BIBLE!F197,"")</f>
        <v/>
      </c>
      <c r="C324" s="498" t="str">
        <f>BIBLE!O197</f>
        <v xml:space="preserve">Jamais / Rarement / Occasionnellement / Régulièrement / Souvent / Toujours / S.O. </v>
      </c>
      <c r="D324" s="1527">
        <f>IF(E40&gt;=8,BIBLE!L197,BIBLE!M197)</f>
        <v>2</v>
      </c>
      <c r="E324" s="20"/>
      <c r="F324" s="20"/>
      <c r="G324" s="20"/>
      <c r="H324" s="20">
        <v>1</v>
      </c>
      <c r="I324" s="20"/>
      <c r="J324" s="20"/>
      <c r="K324" s="20"/>
      <c r="L324" s="20"/>
      <c r="M324" s="20"/>
      <c r="N324" s="20"/>
      <c r="O324" s="20"/>
      <c r="P324" s="1877">
        <f>'TEST_pour PROTOTYPE'!D293</f>
        <v>0</v>
      </c>
      <c r="Q324" s="25">
        <f t="shared" si="135"/>
        <v>0</v>
      </c>
      <c r="R324" s="8" t="str">
        <f>IF(BIBLE!K197=0,"",BIBLE!K197)</f>
        <v/>
      </c>
      <c r="S324" s="55"/>
      <c r="T324" s="55"/>
      <c r="U324" s="55"/>
      <c r="V324" s="6">
        <f>Q324</f>
        <v>0</v>
      </c>
      <c r="W324" s="298"/>
      <c r="X324" s="6">
        <f t="shared" ref="X324:AC325" si="138">IF($Q324&gt;0,X$109*$D324,0)</f>
        <v>0</v>
      </c>
      <c r="Y324" s="6">
        <f t="shared" si="138"/>
        <v>0</v>
      </c>
      <c r="Z324" s="6">
        <f t="shared" si="138"/>
        <v>0</v>
      </c>
      <c r="AA324" s="6">
        <f t="shared" si="138"/>
        <v>0</v>
      </c>
      <c r="AB324" s="6">
        <f t="shared" si="138"/>
        <v>0</v>
      </c>
      <c r="AC324" s="6">
        <f t="shared" si="138"/>
        <v>0</v>
      </c>
      <c r="AE324" s="512"/>
      <c r="AF324" s="52"/>
      <c r="AG324" s="52"/>
      <c r="AH324" s="23">
        <f>$V324*BIBLE!S197</f>
        <v>0</v>
      </c>
      <c r="AI324" s="23">
        <f>$V324*BIBLE!T197</f>
        <v>0</v>
      </c>
      <c r="AJ324" s="23">
        <f>$V324*BIBLE!U197</f>
        <v>0</v>
      </c>
      <c r="AK324" s="1458">
        <f>$V324*BIBLE!W197</f>
        <v>0</v>
      </c>
      <c r="AL324" s="1458">
        <f>$V324*BIBLE!X197</f>
        <v>0</v>
      </c>
      <c r="AM324" s="1458">
        <f>$V324*BIBLE!Y197</f>
        <v>0</v>
      </c>
      <c r="AN324" s="1458">
        <f>$V324*BIBLE!Z197</f>
        <v>0</v>
      </c>
      <c r="AO324" s="1458">
        <f>$V324*BIBLE!AA197</f>
        <v>0</v>
      </c>
      <c r="AP324" s="1458">
        <f>$V324*BIBLE!AB197</f>
        <v>0</v>
      </c>
      <c r="AQ324" s="1458">
        <f>$V324*BIBLE!AC197</f>
        <v>0</v>
      </c>
      <c r="AR324" s="1458">
        <f>$V324*BIBLE!AD197</f>
        <v>0</v>
      </c>
    </row>
    <row r="325" spans="1:61" s="7" customFormat="1" ht="49" customHeight="1" x14ac:dyDescent="0.2">
      <c r="A325" s="1358" t="str">
        <f>BIBLE!E198</f>
        <v>E32</v>
      </c>
      <c r="B325" s="157" t="str">
        <f>IF($P$269&gt;=$R$269,BIBLE!F198,"")</f>
        <v/>
      </c>
      <c r="C325" s="498" t="str">
        <f>BIBLE!O198</f>
        <v xml:space="preserve">Jamais / Rarement / Occasionnellement / Régulièrement / Souvent / Toujours / S.O. </v>
      </c>
      <c r="D325" s="1527">
        <f>BIBLE!L198</f>
        <v>2</v>
      </c>
      <c r="E325" s="20"/>
      <c r="F325" s="20"/>
      <c r="G325" s="20"/>
      <c r="H325" s="20"/>
      <c r="I325" s="20"/>
      <c r="J325" s="20"/>
      <c r="K325" s="20"/>
      <c r="L325" s="20"/>
      <c r="M325" s="20"/>
      <c r="N325" s="20"/>
      <c r="O325" s="20"/>
      <c r="P325" s="1877">
        <f>'TEST_pour PROTOTYPE'!D294</f>
        <v>0</v>
      </c>
      <c r="Q325" s="25">
        <f t="shared" si="135"/>
        <v>0</v>
      </c>
      <c r="R325" s="8" t="str">
        <f>IF(BIBLE!K198=0,"",BIBLE!K198)</f>
        <v/>
      </c>
      <c r="S325" s="55"/>
      <c r="T325" s="55"/>
      <c r="U325" s="55"/>
      <c r="V325" s="6">
        <f>Q325</f>
        <v>0</v>
      </c>
      <c r="W325" s="298"/>
      <c r="X325" s="6">
        <f t="shared" si="138"/>
        <v>0</v>
      </c>
      <c r="Y325" s="6">
        <f t="shared" si="138"/>
        <v>0</v>
      </c>
      <c r="Z325" s="6">
        <f t="shared" si="138"/>
        <v>0</v>
      </c>
      <c r="AA325" s="6">
        <f t="shared" si="138"/>
        <v>0</v>
      </c>
      <c r="AB325" s="6">
        <f t="shared" si="138"/>
        <v>0</v>
      </c>
      <c r="AC325" s="6">
        <f t="shared" si="138"/>
        <v>0</v>
      </c>
      <c r="AE325" s="512"/>
      <c r="AF325" s="52"/>
      <c r="AG325" s="52"/>
      <c r="AH325" s="23">
        <f>$V325*BIBLE!S198</f>
        <v>0</v>
      </c>
      <c r="AI325" s="23">
        <f>$V325*BIBLE!T198</f>
        <v>0</v>
      </c>
      <c r="AJ325" s="23">
        <f>$V325*BIBLE!U198</f>
        <v>0</v>
      </c>
      <c r="AK325" s="1458">
        <f>$V325*BIBLE!W198</f>
        <v>0</v>
      </c>
      <c r="AL325" s="1458">
        <f>$V325*BIBLE!X198</f>
        <v>0</v>
      </c>
      <c r="AM325" s="1458">
        <f>$V325*BIBLE!Y198</f>
        <v>0</v>
      </c>
      <c r="AN325" s="1458">
        <f>$V325*BIBLE!Z198</f>
        <v>0</v>
      </c>
      <c r="AO325" s="1458">
        <f>$V325*BIBLE!AA198</f>
        <v>0</v>
      </c>
      <c r="AP325" s="1458">
        <f>$V325*BIBLE!AB198</f>
        <v>0</v>
      </c>
      <c r="AQ325" s="1458">
        <f>$V325*BIBLE!AC198</f>
        <v>0</v>
      </c>
      <c r="AR325" s="1458">
        <f>$V325*BIBLE!AD198</f>
        <v>0</v>
      </c>
      <c r="BB325" s="17" t="s">
        <v>529</v>
      </c>
    </row>
    <row r="326" spans="1:61" s="7" customFormat="1" ht="47" customHeight="1" x14ac:dyDescent="0.2">
      <c r="A326" s="1358" t="str">
        <f>BIBLE!E199</f>
        <v>E33</v>
      </c>
      <c r="B326" s="157" t="str">
        <f>IF(AND(P53&gt;=R53,P68&gt;=2),BIBLE!F199,"")</f>
        <v/>
      </c>
      <c r="C326" s="498" t="str">
        <f>BIBLE!O199</f>
        <v xml:space="preserve">Jamais / Rarement / Occasionnellement / Régulièrement / Souvent / Toujours / S.O. </v>
      </c>
      <c r="D326" s="1527">
        <f>BIBLE!L199</f>
        <v>3</v>
      </c>
      <c r="E326" s="20"/>
      <c r="F326" s="20"/>
      <c r="G326" s="20"/>
      <c r="H326" s="20"/>
      <c r="I326" s="20">
        <v>1</v>
      </c>
      <c r="J326" s="20"/>
      <c r="K326" s="20"/>
      <c r="L326" s="20"/>
      <c r="M326" s="20"/>
      <c r="N326" s="20"/>
      <c r="O326" s="20"/>
      <c r="P326" s="1877">
        <f>'TEST_pour PROTOTYPE'!D295</f>
        <v>0</v>
      </c>
      <c r="Q326" s="25">
        <f t="shared" si="135"/>
        <v>0</v>
      </c>
      <c r="R326" s="8">
        <f>IF(BIBLE!K199=0,"",BIBLE!K199)</f>
        <v>4</v>
      </c>
      <c r="S326" s="55"/>
      <c r="T326" s="55"/>
      <c r="U326" s="55"/>
      <c r="V326" s="6">
        <f>IF(P326&gt;=R326,IF(SUM(Q327:Q328)&gt;Q326,SUM(Q327:Q328),Q326),Q326)</f>
        <v>0</v>
      </c>
      <c r="W326" s="8"/>
      <c r="X326" s="6">
        <f t="shared" ref="X326:AC326" si="139">IF($Q326&gt;=SUM($Q327:$Q328),AU326,SUM(AU327:AU328))</f>
        <v>0</v>
      </c>
      <c r="Y326" s="6">
        <f t="shared" si="139"/>
        <v>0</v>
      </c>
      <c r="Z326" s="6">
        <f t="shared" si="139"/>
        <v>0</v>
      </c>
      <c r="AA326" s="6">
        <f t="shared" si="139"/>
        <v>0</v>
      </c>
      <c r="AB326" s="6">
        <f t="shared" si="139"/>
        <v>0</v>
      </c>
      <c r="AC326" s="6">
        <f t="shared" si="139"/>
        <v>0</v>
      </c>
      <c r="AE326" s="512"/>
      <c r="AF326" s="52"/>
      <c r="AG326" s="52"/>
      <c r="AH326" s="23">
        <f>IF($Q326=$V326,$Q326*BIBLE!S199,(Test_Bible!$Q327*BIBLE!S200+Test_Bible!$Q328*BIBLE!S201))</f>
        <v>0</v>
      </c>
      <c r="AI326" s="23">
        <f>IF($Q326=$V326,$Q326*BIBLE!T199,(Test_Bible!$Q327*BIBLE!T200+Test_Bible!$Q328*BIBLE!T201))</f>
        <v>0</v>
      </c>
      <c r="AJ326" s="23">
        <f>IF($Q326=$V326,$Q326*BIBLE!U199,(Test_Bible!$Q327*BIBLE!U200+Test_Bible!$Q328*BIBLE!U201))</f>
        <v>0</v>
      </c>
      <c r="AK326" s="1458">
        <f>IF($Q326=$V326,$Q326*BIBLE!W199,(Test_Bible!$Q327*BIBLE!W200+Test_Bible!$Q328*BIBLE!W201))</f>
        <v>0</v>
      </c>
      <c r="AL326" s="1458">
        <f>IF($Q326=$V326,$Q326*BIBLE!X199,(Test_Bible!$Q327*BIBLE!X200+Test_Bible!$Q328*BIBLE!X201))</f>
        <v>0</v>
      </c>
      <c r="AM326" s="1458">
        <f>IF($Q326=$V326,$Q326*BIBLE!Y199,(Test_Bible!$Q327*BIBLE!Y200+Test_Bible!$Q328*BIBLE!Y201))</f>
        <v>0</v>
      </c>
      <c r="AN326" s="1458">
        <f>IF($Q326=$V326,$Q326*BIBLE!Z199,(Test_Bible!$Q327*BIBLE!Z200+Test_Bible!$Q328*BIBLE!Z201))</f>
        <v>0</v>
      </c>
      <c r="AO326" s="1458">
        <f>IF($Q326=$V326,$Q326*BIBLE!AA199,(Test_Bible!$Q327*BIBLE!AA200+Test_Bible!$Q328*BIBLE!AA201))</f>
        <v>0</v>
      </c>
      <c r="AP326" s="1458">
        <f>IF($Q326=$V326,$Q326*BIBLE!AB199,(Test_Bible!$Q327*BIBLE!AB200+Test_Bible!$Q328*BIBLE!AB201))</f>
        <v>0</v>
      </c>
      <c r="AQ326" s="1458">
        <f>IF($Q326=$V326,$Q326*BIBLE!AC199,(Test_Bible!$Q327*BIBLE!AC200+Test_Bible!$Q328*BIBLE!AC201))</f>
        <v>0</v>
      </c>
      <c r="AR326" s="1458">
        <f>IF($Q326=$V326,$Q326*BIBLE!AD199,(Test_Bible!$Q327*BIBLE!AD200+Test_Bible!$Q328*BIBLE!AD201))</f>
        <v>0</v>
      </c>
      <c r="AS326" s="6">
        <f>Q326</f>
        <v>0</v>
      </c>
      <c r="AT326" s="298"/>
      <c r="AU326" s="6">
        <f t="shared" ref="AU326:AZ328" si="140">IF($Q326&gt;0,X$109*$D326,0)</f>
        <v>0</v>
      </c>
      <c r="AV326" s="6">
        <f t="shared" si="140"/>
        <v>0</v>
      </c>
      <c r="AW326" s="6">
        <f t="shared" si="140"/>
        <v>0</v>
      </c>
      <c r="AX326" s="6">
        <f t="shared" si="140"/>
        <v>0</v>
      </c>
      <c r="AY326" s="6">
        <f t="shared" si="140"/>
        <v>0</v>
      </c>
      <c r="AZ326" s="6">
        <f t="shared" si="140"/>
        <v>0</v>
      </c>
      <c r="BB326" s="562">
        <f>AS326</f>
        <v>0</v>
      </c>
      <c r="BD326" s="562">
        <f t="shared" ref="BD326:BI326" si="141">AU326</f>
        <v>0</v>
      </c>
      <c r="BE326" s="562">
        <f t="shared" si="141"/>
        <v>0</v>
      </c>
      <c r="BF326" s="562">
        <f t="shared" si="141"/>
        <v>0</v>
      </c>
      <c r="BG326" s="562">
        <f t="shared" si="141"/>
        <v>0</v>
      </c>
      <c r="BH326" s="562">
        <f t="shared" si="141"/>
        <v>0</v>
      </c>
      <c r="BI326" s="562">
        <f t="shared" si="141"/>
        <v>0</v>
      </c>
    </row>
    <row r="327" spans="1:61" s="7" customFormat="1" ht="60" customHeight="1" x14ac:dyDescent="0.2">
      <c r="A327" s="1358" t="str">
        <f>BIBLE!E200</f>
        <v>E33a</v>
      </c>
      <c r="B327" s="158" t="str">
        <f>IF(P326&gt;=R326,BIBLE!F200,"")</f>
        <v/>
      </c>
      <c r="C327" s="498" t="str">
        <f>BIBLE!O200</f>
        <v xml:space="preserve">Jamais / Rarement / Occasionnellement / Régulièrement / Souvent / Toujours / S.O. </v>
      </c>
      <c r="D327" s="1527">
        <f>BIBLE!L200</f>
        <v>2</v>
      </c>
      <c r="E327" s="20"/>
      <c r="F327" s="20"/>
      <c r="G327" s="20"/>
      <c r="H327" s="20"/>
      <c r="I327" s="20"/>
      <c r="J327" s="20"/>
      <c r="K327" s="20"/>
      <c r="L327" s="20"/>
      <c r="M327" s="20"/>
      <c r="N327" s="20"/>
      <c r="O327" s="20"/>
      <c r="P327" s="1877">
        <f>'TEST_pour PROTOTYPE'!D296</f>
        <v>0</v>
      </c>
      <c r="Q327" s="25">
        <f t="shared" si="135"/>
        <v>0</v>
      </c>
      <c r="R327" s="8" t="str">
        <f>IF(BIBLE!K200=0,"",BIBLE!K200)</f>
        <v/>
      </c>
      <c r="S327" s="55"/>
      <c r="T327" s="55"/>
      <c r="U327" s="55"/>
      <c r="V327" s="8"/>
      <c r="AE327" s="512"/>
      <c r="AF327" s="52"/>
      <c r="AG327" s="52"/>
      <c r="AH327" s="92"/>
      <c r="AI327" s="92"/>
      <c r="AJ327" s="92"/>
      <c r="AK327" s="743"/>
      <c r="AL327" s="743"/>
      <c r="AM327" s="743"/>
      <c r="AN327" s="743"/>
      <c r="AO327" s="743"/>
      <c r="AP327" s="743"/>
      <c r="AQ327" s="743"/>
      <c r="AR327" s="743"/>
      <c r="AS327" s="6">
        <f>Q327</f>
        <v>0</v>
      </c>
      <c r="AT327" s="298"/>
      <c r="AU327" s="6">
        <f t="shared" si="140"/>
        <v>0</v>
      </c>
      <c r="AV327" s="6">
        <f t="shared" si="140"/>
        <v>0</v>
      </c>
      <c r="AW327" s="6">
        <f t="shared" si="140"/>
        <v>0</v>
      </c>
      <c r="AX327" s="6">
        <f t="shared" si="140"/>
        <v>0</v>
      </c>
      <c r="AY327" s="6">
        <f t="shared" si="140"/>
        <v>0</v>
      </c>
      <c r="AZ327" s="6">
        <f t="shared" si="140"/>
        <v>0</v>
      </c>
      <c r="BB327" s="562">
        <f>SUM(AS327:AS328)</f>
        <v>0</v>
      </c>
      <c r="BD327" s="562">
        <f t="shared" ref="BD327:BI327" si="142">SUM(AU327:AU328)</f>
        <v>0</v>
      </c>
      <c r="BE327" s="562">
        <f t="shared" si="142"/>
        <v>0</v>
      </c>
      <c r="BF327" s="562">
        <f t="shared" si="142"/>
        <v>0</v>
      </c>
      <c r="BG327" s="562">
        <f t="shared" si="142"/>
        <v>0</v>
      </c>
      <c r="BH327" s="562">
        <f t="shared" si="142"/>
        <v>0</v>
      </c>
      <c r="BI327" s="562">
        <f t="shared" si="142"/>
        <v>0</v>
      </c>
    </row>
    <row r="328" spans="1:61" s="7" customFormat="1" ht="68" customHeight="1" x14ac:dyDescent="0.2">
      <c r="A328" s="1358" t="str">
        <f>BIBLE!E201</f>
        <v>E33b</v>
      </c>
      <c r="B328" s="158" t="str">
        <f>IF(P326&gt;=R326,BIBLE!F201,"")</f>
        <v/>
      </c>
      <c r="C328" s="498" t="str">
        <f>BIBLE!O201</f>
        <v xml:space="preserve">Jamais / Rarement / Occasionnellement / Régulièrement / Souvent / Toujours / S.O. </v>
      </c>
      <c r="D328" s="1527">
        <f>BIBLE!L201</f>
        <v>3</v>
      </c>
      <c r="E328" s="20"/>
      <c r="F328" s="20"/>
      <c r="G328" s="20"/>
      <c r="H328" s="20"/>
      <c r="I328" s="20"/>
      <c r="J328" s="20"/>
      <c r="K328" s="20"/>
      <c r="L328" s="20"/>
      <c r="M328" s="20"/>
      <c r="N328" s="20"/>
      <c r="O328" s="20"/>
      <c r="P328" s="1877">
        <f>'TEST_pour PROTOTYPE'!D297</f>
        <v>0</v>
      </c>
      <c r="Q328" s="25">
        <f t="shared" si="135"/>
        <v>0</v>
      </c>
      <c r="R328" s="8" t="str">
        <f>IF(BIBLE!K201=0,"",BIBLE!K201)</f>
        <v/>
      </c>
      <c r="S328" s="55"/>
      <c r="T328" s="55"/>
      <c r="U328" s="55"/>
      <c r="V328" s="8"/>
      <c r="AE328" s="512"/>
      <c r="AF328" s="52"/>
      <c r="AG328" s="52"/>
      <c r="AH328" s="92"/>
      <c r="AI328" s="92"/>
      <c r="AJ328" s="92"/>
      <c r="AK328" s="743"/>
      <c r="AL328" s="743"/>
      <c r="AM328" s="743"/>
      <c r="AN328" s="743"/>
      <c r="AO328" s="743"/>
      <c r="AP328" s="743"/>
      <c r="AQ328" s="743"/>
      <c r="AR328" s="743"/>
      <c r="AS328" s="6">
        <f>Q328</f>
        <v>0</v>
      </c>
      <c r="AT328" s="298"/>
      <c r="AU328" s="6">
        <f t="shared" si="140"/>
        <v>0</v>
      </c>
      <c r="AV328" s="6">
        <f t="shared" si="140"/>
        <v>0</v>
      </c>
      <c r="AW328" s="6">
        <f t="shared" si="140"/>
        <v>0</v>
      </c>
      <c r="AX328" s="6">
        <f t="shared" si="140"/>
        <v>0</v>
      </c>
      <c r="AY328" s="6">
        <f t="shared" si="140"/>
        <v>0</v>
      </c>
      <c r="AZ328" s="6">
        <f t="shared" si="140"/>
        <v>0</v>
      </c>
    </row>
    <row r="329" spans="1:61" s="7" customFormat="1" ht="62" customHeight="1" x14ac:dyDescent="0.2">
      <c r="A329" s="1358" t="str">
        <f>BIBLE!E202</f>
        <v>E34</v>
      </c>
      <c r="B329" s="157" t="str">
        <f>IF(P59&gt;=3,BIBLE!F202,"")</f>
        <v xml:space="preserve">Votre enfant bloque les communications (tél., textos, réseaux sociaux, etc.). </v>
      </c>
      <c r="C329" s="498" t="str">
        <f>BIBLE!O202</f>
        <v xml:space="preserve">Jamais / Rarement / Occasionnellement / Régulièrement / Souvent / Toujours / S.O. </v>
      </c>
      <c r="D329" s="1527">
        <f>IF(E40&gt;=12,BIBLE!L202,BIBLE!M202)</f>
        <v>3</v>
      </c>
      <c r="E329" s="20"/>
      <c r="F329" s="20"/>
      <c r="G329" s="20"/>
      <c r="H329" s="69">
        <v>1</v>
      </c>
      <c r="I329" s="69"/>
      <c r="J329" s="69"/>
      <c r="K329" s="69"/>
      <c r="L329" s="69"/>
      <c r="M329" s="69"/>
      <c r="N329" s="20"/>
      <c r="O329" s="20"/>
      <c r="P329" s="1877">
        <f>'TEST_pour PROTOTYPE'!D298</f>
        <v>2</v>
      </c>
      <c r="Q329" s="25">
        <f>P329*D329</f>
        <v>6</v>
      </c>
      <c r="R329" s="8" t="str">
        <f>IF(BIBLE!K202=0,"",BIBLE!K202)</f>
        <v/>
      </c>
      <c r="S329" s="55"/>
      <c r="T329" s="55"/>
      <c r="U329" s="55"/>
      <c r="V329" s="6">
        <f>Q329</f>
        <v>6</v>
      </c>
      <c r="W329" s="298"/>
      <c r="X329" s="6">
        <f t="shared" ref="X329:AC329" si="143">IF($Q329&gt;0,X$109*$D329,0)</f>
        <v>0</v>
      </c>
      <c r="Y329" s="6">
        <f t="shared" si="143"/>
        <v>3</v>
      </c>
      <c r="Z329" s="6">
        <f t="shared" si="143"/>
        <v>6</v>
      </c>
      <c r="AA329" s="6">
        <f t="shared" si="143"/>
        <v>12</v>
      </c>
      <c r="AB329" s="6">
        <f t="shared" si="143"/>
        <v>21</v>
      </c>
      <c r="AC329" s="6">
        <f t="shared" si="143"/>
        <v>30</v>
      </c>
      <c r="AE329" s="512"/>
      <c r="AF329" s="52"/>
      <c r="AG329" s="52"/>
      <c r="AH329" s="23">
        <f>$V329*BIBLE!S202</f>
        <v>6</v>
      </c>
      <c r="AI329" s="23">
        <f>$V329*BIBLE!T202</f>
        <v>0</v>
      </c>
      <c r="AJ329" s="23">
        <f>$V329*BIBLE!U202</f>
        <v>0</v>
      </c>
      <c r="AK329" s="1458">
        <f>$V329*BIBLE!W202</f>
        <v>0</v>
      </c>
      <c r="AL329" s="1458">
        <f>$V329*BIBLE!X202</f>
        <v>0</v>
      </c>
      <c r="AM329" s="1458">
        <f>$V329*BIBLE!Y202</f>
        <v>0</v>
      </c>
      <c r="AN329" s="1458">
        <f>$V329*BIBLE!Z202</f>
        <v>0</v>
      </c>
      <c r="AO329" s="1458">
        <f>$V329*BIBLE!AA202</f>
        <v>0</v>
      </c>
      <c r="AP329" s="1458">
        <f>$V329*BIBLE!AB202</f>
        <v>0</v>
      </c>
      <c r="AQ329" s="1458">
        <f>$V329*BIBLE!AC202</f>
        <v>0</v>
      </c>
      <c r="AR329" s="1458">
        <f>$V329*BIBLE!AD202</f>
        <v>6</v>
      </c>
    </row>
    <row r="330" spans="1:61" s="7" customFormat="1" ht="59" customHeight="1" x14ac:dyDescent="0.2">
      <c r="A330" s="1358" t="str">
        <f>BIBLE!E203</f>
        <v>E35</v>
      </c>
      <c r="B330" s="157" t="str">
        <f>IF(P59&gt;=3,BIBLE!F203,"")</f>
        <v>Comment qualiferiez-vous la relation entre votre enfant et votre famille élargie  (cousin.es, grands-parents, etc.) ?</v>
      </c>
      <c r="C330" s="1002" t="s">
        <v>1424</v>
      </c>
      <c r="D330" s="1976">
        <v>1</v>
      </c>
      <c r="E330" s="51" t="str">
        <f>IF(P$330=D330,1,"x")</f>
        <v>x</v>
      </c>
      <c r="F330" s="20"/>
      <c r="G330" s="20"/>
      <c r="H330" s="8"/>
      <c r="I330" s="1945"/>
      <c r="J330" s="1945"/>
      <c r="K330" s="1945"/>
      <c r="L330" s="1945"/>
      <c r="M330" s="1945"/>
      <c r="N330" s="20"/>
      <c r="O330" s="20"/>
      <c r="P330" s="1877">
        <f>'TEST_pour PROTOTYPE'!D299</f>
        <v>4</v>
      </c>
      <c r="Q330" s="25"/>
      <c r="R330" s="8"/>
      <c r="S330" s="55"/>
      <c r="T330" s="55"/>
      <c r="U330" s="55"/>
      <c r="V330" s="6"/>
      <c r="W330" s="8"/>
      <c r="X330" s="6"/>
      <c r="Y330" s="6"/>
      <c r="Z330" s="6"/>
      <c r="AA330" s="6"/>
      <c r="AB330" s="6"/>
      <c r="AC330" s="6"/>
      <c r="AE330" s="512"/>
      <c r="AF330" s="52"/>
      <c r="AG330" s="52"/>
      <c r="AH330" s="23"/>
      <c r="AI330" s="23"/>
      <c r="AJ330" s="23"/>
      <c r="AK330" s="1458"/>
      <c r="AL330" s="1458"/>
      <c r="AM330" s="1458"/>
      <c r="AN330" s="1458"/>
      <c r="AO330" s="1458"/>
      <c r="AP330" s="1458"/>
      <c r="AQ330" s="1458"/>
      <c r="AR330" s="1458"/>
    </row>
    <row r="331" spans="1:61" s="7" customFormat="1" ht="20" customHeight="1" x14ac:dyDescent="0.2">
      <c r="A331" s="1358"/>
      <c r="B331" s="157"/>
      <c r="C331" s="1002" t="s">
        <v>1429</v>
      </c>
      <c r="D331" s="1976">
        <v>2</v>
      </c>
      <c r="E331" s="51" t="str">
        <f t="shared" ref="E331:E335" si="144">IF(P$330=D331,1,"x")</f>
        <v>x</v>
      </c>
      <c r="F331" s="20"/>
      <c r="G331" s="20"/>
      <c r="H331" s="8"/>
      <c r="I331" s="1945"/>
      <c r="J331" s="1945"/>
      <c r="K331" s="1945"/>
      <c r="L331" s="1945"/>
      <c r="M331" s="1945"/>
      <c r="N331" s="20"/>
      <c r="O331" s="20"/>
      <c r="P331" s="24"/>
      <c r="Q331" s="25"/>
      <c r="R331" s="8"/>
      <c r="S331" s="55"/>
      <c r="T331" s="55"/>
      <c r="U331" s="55"/>
      <c r="V331" s="6"/>
      <c r="W331" s="8"/>
      <c r="X331" s="6"/>
      <c r="Y331" s="6"/>
      <c r="Z331" s="6"/>
      <c r="AA331" s="6"/>
      <c r="AB331" s="6"/>
      <c r="AC331" s="6"/>
      <c r="AE331" s="512"/>
      <c r="AF331" s="52"/>
      <c r="AG331" s="52"/>
      <c r="AH331" s="23"/>
      <c r="AI331" s="23"/>
      <c r="AJ331" s="23"/>
      <c r="AK331" s="1458"/>
      <c r="AL331" s="1458"/>
      <c r="AM331" s="1458"/>
      <c r="AN331" s="1458"/>
      <c r="AO331" s="1458"/>
      <c r="AP331" s="1458"/>
      <c r="AQ331" s="1458"/>
      <c r="AR331" s="1458"/>
    </row>
    <row r="332" spans="1:61" s="7" customFormat="1" ht="20" customHeight="1" x14ac:dyDescent="0.2">
      <c r="A332" s="1358"/>
      <c r="B332" s="157"/>
      <c r="C332" s="1002" t="s">
        <v>1425</v>
      </c>
      <c r="D332" s="1976">
        <v>3</v>
      </c>
      <c r="E332" s="51" t="str">
        <f t="shared" si="144"/>
        <v>x</v>
      </c>
      <c r="F332" s="20"/>
      <c r="G332" s="20"/>
      <c r="H332" s="8"/>
      <c r="I332" s="1945"/>
      <c r="J332" s="1945"/>
      <c r="K332" s="1945"/>
      <c r="L332" s="1945"/>
      <c r="M332" s="1945"/>
      <c r="N332" s="20"/>
      <c r="O332" s="20"/>
      <c r="P332" s="24"/>
      <c r="Q332" s="25"/>
      <c r="R332" s="8"/>
      <c r="S332" s="55"/>
      <c r="T332" s="55"/>
      <c r="U332" s="55"/>
      <c r="V332" s="6"/>
      <c r="W332" s="8"/>
      <c r="X332" s="6"/>
      <c r="Y332" s="6"/>
      <c r="Z332" s="6"/>
      <c r="AA332" s="6"/>
      <c r="AB332" s="6"/>
      <c r="AC332" s="6"/>
      <c r="AE332" s="512"/>
      <c r="AF332" s="52"/>
      <c r="AG332" s="52"/>
      <c r="AH332" s="23"/>
      <c r="AI332" s="23"/>
      <c r="AJ332" s="23"/>
      <c r="AK332" s="1458"/>
      <c r="AL332" s="1458"/>
      <c r="AM332" s="1458"/>
      <c r="AN332" s="1458"/>
      <c r="AO332" s="1458"/>
      <c r="AP332" s="1458"/>
      <c r="AQ332" s="1458"/>
      <c r="AR332" s="1458"/>
    </row>
    <row r="333" spans="1:61" s="7" customFormat="1" ht="20" customHeight="1" x14ac:dyDescent="0.2">
      <c r="A333" s="1358"/>
      <c r="B333" s="157"/>
      <c r="C333" s="1002" t="s">
        <v>1426</v>
      </c>
      <c r="D333" s="1976">
        <v>4</v>
      </c>
      <c r="E333" s="51">
        <f t="shared" si="144"/>
        <v>1</v>
      </c>
      <c r="F333" s="20"/>
      <c r="G333" s="20"/>
      <c r="H333" s="8"/>
      <c r="I333" s="1944"/>
      <c r="J333" s="1944"/>
      <c r="K333" s="1944"/>
      <c r="L333" s="1944"/>
      <c r="M333" s="1944"/>
      <c r="N333" s="20"/>
      <c r="O333" s="20"/>
      <c r="P333" s="24"/>
      <c r="Q333" s="25"/>
      <c r="R333" s="8"/>
      <c r="S333" s="55"/>
      <c r="T333" s="55"/>
      <c r="U333" s="55"/>
      <c r="V333" s="6"/>
      <c r="W333" s="8"/>
      <c r="X333" s="6"/>
      <c r="Y333" s="6"/>
      <c r="Z333" s="6"/>
      <c r="AA333" s="6"/>
      <c r="AB333" s="6"/>
      <c r="AC333" s="6"/>
      <c r="AE333" s="512"/>
      <c r="AF333" s="52"/>
      <c r="AG333" s="52"/>
      <c r="AH333" s="23"/>
      <c r="AI333" s="23"/>
      <c r="AJ333" s="23"/>
      <c r="AK333" s="1458"/>
      <c r="AL333" s="1458"/>
      <c r="AM333" s="1458"/>
      <c r="AN333" s="1458"/>
      <c r="AO333" s="1458"/>
      <c r="AP333" s="1458"/>
      <c r="AQ333" s="1458"/>
      <c r="AR333" s="1458"/>
    </row>
    <row r="334" spans="1:61" s="7" customFormat="1" ht="20" customHeight="1" x14ac:dyDescent="0.2">
      <c r="A334" s="1358"/>
      <c r="B334" s="157"/>
      <c r="C334" s="1002" t="s">
        <v>1427</v>
      </c>
      <c r="D334" s="1976">
        <v>5</v>
      </c>
      <c r="E334" s="51" t="str">
        <f t="shared" si="144"/>
        <v>x</v>
      </c>
      <c r="F334" s="20"/>
      <c r="G334" s="20"/>
      <c r="H334" s="8"/>
      <c r="I334" s="1944"/>
      <c r="J334" s="1944"/>
      <c r="K334" s="1944"/>
      <c r="L334" s="1944"/>
      <c r="M334" s="1944"/>
      <c r="N334" s="20"/>
      <c r="O334" s="20"/>
      <c r="P334" s="24"/>
      <c r="Q334" s="25"/>
      <c r="R334" s="8"/>
      <c r="S334" s="55"/>
      <c r="T334" s="55"/>
      <c r="U334" s="55"/>
      <c r="V334" s="6"/>
      <c r="W334" s="8"/>
      <c r="X334" s="6"/>
      <c r="Y334" s="6"/>
      <c r="Z334" s="6"/>
      <c r="AA334" s="6"/>
      <c r="AB334" s="6"/>
      <c r="AC334" s="6"/>
      <c r="AE334" s="512"/>
      <c r="AF334" s="52"/>
      <c r="AG334" s="52"/>
      <c r="AH334" s="23"/>
      <c r="AI334" s="23"/>
      <c r="AJ334" s="23"/>
      <c r="AK334" s="1458"/>
      <c r="AL334" s="1458"/>
      <c r="AM334" s="1458"/>
      <c r="AN334" s="1458"/>
      <c r="AO334" s="1458"/>
      <c r="AP334" s="1458"/>
      <c r="AQ334" s="1458"/>
      <c r="AR334" s="1458"/>
    </row>
    <row r="335" spans="1:61" s="7" customFormat="1" ht="20" customHeight="1" x14ac:dyDescent="0.2">
      <c r="A335" s="1358"/>
      <c r="B335" s="157"/>
      <c r="C335" s="1002" t="s">
        <v>1428</v>
      </c>
      <c r="D335" s="1976">
        <v>6</v>
      </c>
      <c r="E335" s="51" t="str">
        <f t="shared" si="144"/>
        <v>x</v>
      </c>
      <c r="F335" s="20"/>
      <c r="G335" s="20"/>
      <c r="H335" s="8"/>
      <c r="I335" s="1944"/>
      <c r="J335" s="1944"/>
      <c r="K335" s="1944"/>
      <c r="L335" s="1944"/>
      <c r="M335" s="1944"/>
      <c r="N335" s="20"/>
      <c r="O335" s="20"/>
      <c r="P335" s="24"/>
      <c r="Q335" s="25"/>
      <c r="R335" s="8"/>
      <c r="S335" s="55"/>
      <c r="T335" s="55"/>
      <c r="U335" s="55"/>
      <c r="V335" s="6"/>
      <c r="W335" s="8"/>
      <c r="X335" s="6"/>
      <c r="Y335" s="6"/>
      <c r="Z335" s="6"/>
      <c r="AA335" s="6"/>
      <c r="AB335" s="6"/>
      <c r="AC335" s="6"/>
      <c r="AE335" s="512"/>
      <c r="AF335" s="52"/>
      <c r="AG335" s="52"/>
      <c r="AH335" s="23"/>
      <c r="AI335" s="23"/>
      <c r="AJ335" s="23"/>
      <c r="AK335" s="1458"/>
      <c r="AL335" s="1458"/>
      <c r="AM335" s="1458"/>
      <c r="AN335" s="1458"/>
      <c r="AO335" s="1458"/>
      <c r="AP335" s="1458"/>
      <c r="AQ335" s="1458"/>
      <c r="AR335" s="1458"/>
    </row>
    <row r="336" spans="1:61" s="7" customFormat="1" ht="65" customHeight="1" x14ac:dyDescent="0.2">
      <c r="A336" s="1358" t="str">
        <f>BIBLE!E204</f>
        <v>E35a</v>
      </c>
      <c r="B336" s="158" t="str">
        <f>IF(P330&gt;=3,BIBLE!F204,"")</f>
        <v>Dans quelle mesure diriez-vous que votre enfant accepte les contacts avec votre famille élargie  (cousin.es, grands-parents, etc.) ?</v>
      </c>
      <c r="C336" s="498" t="str">
        <f>BIBLE!O204</f>
        <v xml:space="preserve">Jamais / Rarement / Occasionnellement / Régulièrement / Souvent / Toujours / S.O. </v>
      </c>
      <c r="D336" s="1527">
        <f>BIBLE!L204</f>
        <v>1</v>
      </c>
      <c r="E336" s="20">
        <v>1</v>
      </c>
      <c r="F336" s="20"/>
      <c r="G336" s="20"/>
      <c r="H336" s="8"/>
      <c r="I336" s="1944"/>
      <c r="J336" s="1944"/>
      <c r="K336" s="1944"/>
      <c r="L336" s="1944"/>
      <c r="M336" s="1944"/>
      <c r="N336" s="20"/>
      <c r="O336" s="20"/>
      <c r="P336" s="1877">
        <f>'TEST_pour PROTOTYPE'!D300</f>
        <v>7</v>
      </c>
      <c r="Q336" s="25">
        <f>P336*D336</f>
        <v>7</v>
      </c>
      <c r="R336" s="8"/>
      <c r="S336" s="55"/>
      <c r="T336" s="55"/>
      <c r="U336" s="55"/>
      <c r="V336" s="6"/>
      <c r="W336" s="298"/>
      <c r="X336" s="6"/>
      <c r="Y336" s="6"/>
      <c r="Z336" s="6"/>
      <c r="AA336" s="6"/>
      <c r="AB336" s="6"/>
      <c r="AC336" s="6"/>
      <c r="AE336" s="512"/>
      <c r="AF336" s="52"/>
      <c r="AG336" s="52"/>
      <c r="AH336" s="23"/>
      <c r="AI336" s="23"/>
      <c r="AJ336" s="23"/>
      <c r="AK336" s="1458"/>
      <c r="AL336" s="1458"/>
      <c r="AM336" s="1458"/>
      <c r="AN336" s="1458"/>
      <c r="AO336" s="1458"/>
      <c r="AP336" s="1458"/>
      <c r="AQ336" s="1458"/>
      <c r="AR336" s="1458"/>
    </row>
    <row r="337" spans="1:44" s="7" customFormat="1" ht="41" customHeight="1" x14ac:dyDescent="0.2">
      <c r="A337" s="1358" t="str">
        <f>BIBLE!E205</f>
        <v>E35b</v>
      </c>
      <c r="B337" s="158" t="str">
        <f>IF(P330&gt;=3,BIBLE!F205,"")</f>
        <v>Comment était la relation de votre enfant avec la famille élargie avant la séparation ?</v>
      </c>
      <c r="C337" s="498" t="str">
        <f>BIBLE!O205</f>
        <v xml:space="preserve">Excellente / Très bonne / Bonne / Moyenne / Faible / Mauvaise / S.O.   </v>
      </c>
      <c r="D337" s="1527">
        <f>BIBLE!L205</f>
        <v>1</v>
      </c>
      <c r="E337" s="20"/>
      <c r="F337" s="20">
        <v>1</v>
      </c>
      <c r="G337" s="20"/>
      <c r="H337" s="8"/>
      <c r="I337" s="1944"/>
      <c r="J337" s="1944"/>
      <c r="K337" s="1944"/>
      <c r="L337" s="1944"/>
      <c r="M337" s="1944"/>
      <c r="N337" s="20"/>
      <c r="O337" s="20"/>
      <c r="P337" s="1877">
        <f>'TEST_pour PROTOTYPE'!D301</f>
        <v>2</v>
      </c>
      <c r="Q337" s="25">
        <f>P337*D337</f>
        <v>2</v>
      </c>
      <c r="R337" s="8" t="str">
        <f>IF(BIBLE!K210=0,"",BIBLE!K210)</f>
        <v/>
      </c>
      <c r="S337" s="55"/>
      <c r="T337" s="55"/>
      <c r="U337" s="55"/>
      <c r="V337" s="6"/>
      <c r="W337" s="298"/>
      <c r="X337" s="6"/>
      <c r="Y337" s="6"/>
      <c r="Z337" s="6"/>
      <c r="AA337" s="6"/>
      <c r="AB337" s="6"/>
      <c r="AC337" s="6"/>
      <c r="AE337" s="512"/>
      <c r="AF337" s="52"/>
      <c r="AG337" s="52"/>
      <c r="AH337" s="23"/>
      <c r="AI337" s="23"/>
      <c r="AJ337" s="23"/>
      <c r="AK337" s="1458"/>
      <c r="AL337" s="1458"/>
      <c r="AM337" s="1458"/>
      <c r="AN337" s="1458"/>
      <c r="AO337" s="1458"/>
      <c r="AP337" s="1458"/>
      <c r="AQ337" s="1458"/>
      <c r="AR337" s="1458"/>
    </row>
    <row r="338" spans="1:44" s="7" customFormat="1" ht="40" customHeight="1" x14ac:dyDescent="0.2">
      <c r="A338" s="1358" t="str">
        <f>BIBLE!E206</f>
        <v>E36</v>
      </c>
      <c r="B338" s="157" t="str">
        <f>BIBLE!F206</f>
        <v>Est-ce que votre enfant présente des troubles psychosomatiques en ce moment?</v>
      </c>
      <c r="C338" s="124" t="s">
        <v>235</v>
      </c>
      <c r="D338" s="1976">
        <v>1</v>
      </c>
      <c r="E338" s="51">
        <f>IF(P$338=D338,1,"x")</f>
        <v>1</v>
      </c>
      <c r="F338" s="55"/>
      <c r="G338" s="61"/>
      <c r="H338" s="61"/>
      <c r="I338" s="61"/>
      <c r="J338" s="61"/>
      <c r="K338" s="19"/>
      <c r="L338" s="19"/>
      <c r="M338" s="19"/>
      <c r="N338" s="20"/>
      <c r="O338" s="20"/>
      <c r="P338" s="1877">
        <f>'TEST_pour PROTOTYPE'!D302</f>
        <v>1</v>
      </c>
      <c r="Q338" s="25"/>
      <c r="R338" s="8" t="str">
        <f>IF(BIBLE!K206=0,"",BIBLE!K206)</f>
        <v/>
      </c>
      <c r="S338" s="55"/>
      <c r="T338" s="55"/>
      <c r="U338" s="55"/>
      <c r="V338" s="534"/>
      <c r="W338" s="55"/>
      <c r="X338" s="8"/>
      <c r="Y338" s="8"/>
      <c r="Z338" s="8"/>
      <c r="AA338" s="8"/>
      <c r="AB338" s="8"/>
      <c r="AC338" s="8"/>
      <c r="AE338" s="512"/>
      <c r="AF338" s="52"/>
      <c r="AG338" s="52"/>
      <c r="AH338" s="92"/>
      <c r="AI338" s="92"/>
      <c r="AJ338" s="92"/>
      <c r="AK338" s="743"/>
      <c r="AL338" s="743"/>
      <c r="AM338" s="743"/>
      <c r="AN338" s="743"/>
      <c r="AO338" s="743"/>
      <c r="AP338" s="743"/>
      <c r="AQ338" s="743"/>
      <c r="AR338" s="743"/>
    </row>
    <row r="339" spans="1:44" s="7" customFormat="1" ht="18" customHeight="1" x14ac:dyDescent="0.2">
      <c r="A339" s="1358"/>
      <c r="C339" s="124" t="s">
        <v>236</v>
      </c>
      <c r="D339" s="1977">
        <v>0</v>
      </c>
      <c r="E339" s="51" t="str">
        <f>IF(P$338=D339,1,"x")</f>
        <v>x</v>
      </c>
      <c r="F339" s="55"/>
      <c r="G339" s="61"/>
      <c r="H339" s="61"/>
      <c r="I339" s="61"/>
      <c r="J339" s="61"/>
      <c r="K339" s="8"/>
      <c r="L339" s="8"/>
      <c r="M339" s="8"/>
      <c r="N339" s="8"/>
      <c r="O339" s="8"/>
      <c r="P339" s="24"/>
      <c r="Q339" s="25"/>
      <c r="R339" s="8"/>
      <c r="S339" s="55"/>
      <c r="T339" s="55"/>
      <c r="U339" s="55"/>
      <c r="V339" s="534"/>
      <c r="W339" s="55"/>
      <c r="X339" s="8"/>
      <c r="Y339" s="8"/>
      <c r="Z339" s="8"/>
      <c r="AA339" s="8"/>
      <c r="AB339" s="8"/>
      <c r="AC339" s="8"/>
      <c r="AE339" s="512"/>
      <c r="AF339" s="52"/>
      <c r="AG339" s="52"/>
      <c r="AH339" s="92"/>
      <c r="AI339" s="92"/>
      <c r="AJ339" s="92"/>
      <c r="AK339" s="743"/>
      <c r="AL339" s="743"/>
      <c r="AM339" s="743"/>
      <c r="AN339" s="743"/>
      <c r="AO339" s="743"/>
      <c r="AP339" s="743"/>
      <c r="AQ339" s="743"/>
      <c r="AR339" s="743"/>
    </row>
    <row r="340" spans="1:44" s="7" customFormat="1" ht="48" customHeight="1" x14ac:dyDescent="0.2">
      <c r="A340" s="1358"/>
      <c r="B340" s="309" t="str">
        <f>IF($E$338=1,BIBLE!F207,"")</f>
        <v>Quelles sont les manifestations ou troubles psychosomatiques présents chez votre enfant et à quelle fréquence?</v>
      </c>
      <c r="C340" s="124"/>
      <c r="D340" s="1527">
        <f>BIBLE!L207</f>
        <v>1</v>
      </c>
      <c r="E340" s="473"/>
      <c r="F340" s="559">
        <f>$F$52</f>
        <v>0</v>
      </c>
      <c r="G340" s="559">
        <f>$G$52</f>
        <v>1</v>
      </c>
      <c r="H340" s="559">
        <f>$H$52</f>
        <v>2</v>
      </c>
      <c r="I340" s="559">
        <f>$I$52</f>
        <v>4</v>
      </c>
      <c r="J340" s="559">
        <f>$J$52</f>
        <v>7</v>
      </c>
      <c r="K340" s="559">
        <f>$K$52</f>
        <v>10</v>
      </c>
      <c r="L340" s="17"/>
      <c r="M340" s="17"/>
      <c r="N340" s="17"/>
      <c r="O340" s="17"/>
      <c r="P340" s="24"/>
      <c r="Q340" s="24"/>
      <c r="S340" s="55"/>
      <c r="T340" s="55"/>
      <c r="U340" s="55"/>
      <c r="V340" s="534"/>
      <c r="W340" s="55"/>
      <c r="X340" s="8"/>
      <c r="Y340" s="8"/>
      <c r="Z340" s="8"/>
      <c r="AA340" s="8"/>
      <c r="AB340" s="8"/>
      <c r="AC340" s="8"/>
      <c r="AE340" s="512"/>
      <c r="AF340" s="52"/>
      <c r="AG340" s="52"/>
      <c r="AH340" s="92"/>
      <c r="AI340" s="92"/>
      <c r="AJ340" s="92"/>
      <c r="AK340" s="743"/>
      <c r="AL340" s="743"/>
      <c r="AM340" s="743"/>
      <c r="AN340" s="743"/>
      <c r="AO340" s="743"/>
      <c r="AP340" s="743"/>
      <c r="AQ340" s="743"/>
      <c r="AR340" s="743"/>
    </row>
    <row r="341" spans="1:44" s="8" customFormat="1" ht="17" customHeight="1" x14ac:dyDescent="0.2">
      <c r="A341" s="1358" t="s">
        <v>355</v>
      </c>
      <c r="B341" s="161" t="str">
        <f>IF($E$338=1,"insomnie","")</f>
        <v>insomnie</v>
      </c>
      <c r="C341" s="124"/>
      <c r="D341" s="1976">
        <v>1</v>
      </c>
      <c r="E341" s="560"/>
      <c r="F341" s="560"/>
      <c r="G341" s="560"/>
      <c r="H341" s="560"/>
      <c r="I341" s="560"/>
      <c r="J341" s="560"/>
      <c r="K341" s="560"/>
      <c r="P341" s="1877">
        <f>'TEST_pour PROTOTYPE'!D303</f>
        <v>7</v>
      </c>
      <c r="Q341" s="25">
        <f>P341*D341</f>
        <v>7</v>
      </c>
      <c r="AE341" s="512"/>
      <c r="AF341" s="52"/>
      <c r="AG341" s="52"/>
      <c r="AH341" s="92"/>
      <c r="AI341" s="92"/>
      <c r="AJ341" s="92"/>
      <c r="AK341" s="743"/>
      <c r="AL341" s="743"/>
      <c r="AM341" s="743"/>
      <c r="AN341" s="743"/>
      <c r="AO341" s="743"/>
      <c r="AP341" s="743"/>
      <c r="AQ341" s="743"/>
      <c r="AR341" s="743"/>
    </row>
    <row r="342" spans="1:44" s="8" customFormat="1" ht="18" customHeight="1" x14ac:dyDescent="0.2">
      <c r="A342" s="1358" t="s">
        <v>556</v>
      </c>
      <c r="B342" s="161" t="str">
        <f>IF($E$338=1,"anxiété","")</f>
        <v>anxiété</v>
      </c>
      <c r="C342" s="124"/>
      <c r="D342" s="1976">
        <v>1</v>
      </c>
      <c r="E342" s="560"/>
      <c r="F342" s="560"/>
      <c r="G342" s="560"/>
      <c r="H342" s="560"/>
      <c r="I342" s="560"/>
      <c r="J342" s="560"/>
      <c r="K342" s="560"/>
      <c r="P342" s="1877">
        <f>'TEST_pour PROTOTYPE'!D304</f>
        <v>4</v>
      </c>
      <c r="Q342" s="25">
        <f t="shared" ref="Q342" si="145">P342*D342</f>
        <v>4</v>
      </c>
      <c r="AE342" s="512"/>
      <c r="AF342" s="52"/>
      <c r="AG342" s="52"/>
      <c r="AH342" s="92"/>
      <c r="AI342" s="92"/>
      <c r="AJ342" s="92"/>
      <c r="AK342" s="743"/>
      <c r="AL342" s="743"/>
      <c r="AM342" s="743"/>
      <c r="AN342" s="743"/>
      <c r="AO342" s="743"/>
      <c r="AP342" s="743"/>
      <c r="AQ342" s="743"/>
      <c r="AR342" s="743"/>
    </row>
    <row r="343" spans="1:44" s="8" customFormat="1" ht="18" customHeight="1" x14ac:dyDescent="0.2">
      <c r="A343" s="1358" t="s">
        <v>1822</v>
      </c>
      <c r="B343" s="161" t="str">
        <f>IF($E$338=1,"isolement et difficulté à socialiser","")</f>
        <v>isolement et difficulté à socialiser</v>
      </c>
      <c r="C343" s="124"/>
      <c r="D343" s="1976">
        <v>1</v>
      </c>
      <c r="E343" s="560"/>
      <c r="F343" s="560"/>
      <c r="G343" s="560"/>
      <c r="H343" s="560">
        <v>1</v>
      </c>
      <c r="I343" s="560"/>
      <c r="J343" s="560"/>
      <c r="K343" s="560"/>
      <c r="P343" s="1877">
        <f>'TEST_pour PROTOTYPE'!D305</f>
        <v>2</v>
      </c>
      <c r="Q343" s="25">
        <f t="shared" ref="Q343:Q351" si="146">P343*D343</f>
        <v>2</v>
      </c>
      <c r="AE343" s="512"/>
      <c r="AF343" s="52"/>
      <c r="AG343" s="52"/>
      <c r="AH343" s="92"/>
      <c r="AI343" s="92"/>
      <c r="AJ343" s="92"/>
      <c r="AK343" s="743"/>
      <c r="AL343" s="743"/>
      <c r="AM343" s="743"/>
      <c r="AN343" s="743"/>
      <c r="AO343" s="743"/>
      <c r="AP343" s="743"/>
      <c r="AQ343" s="743"/>
      <c r="AR343" s="743"/>
    </row>
    <row r="344" spans="1:44" s="8" customFormat="1" ht="17" x14ac:dyDescent="0.2">
      <c r="A344" s="1358" t="s">
        <v>1823</v>
      </c>
      <c r="B344" s="161" t="str">
        <f>IF($E$338=1,"trouble de l'opposition","")</f>
        <v>trouble de l'opposition</v>
      </c>
      <c r="C344" s="124"/>
      <c r="D344" s="1976">
        <v>1</v>
      </c>
      <c r="E344" s="560"/>
      <c r="F344" s="560"/>
      <c r="G344" s="560"/>
      <c r="H344" s="560"/>
      <c r="I344" s="560"/>
      <c r="J344" s="560"/>
      <c r="K344" s="560"/>
      <c r="P344" s="1877">
        <f>'TEST_pour PROTOTYPE'!D306</f>
        <v>1</v>
      </c>
      <c r="Q344" s="25">
        <f t="shared" si="146"/>
        <v>1</v>
      </c>
      <c r="AE344" s="512"/>
      <c r="AF344" s="52"/>
      <c r="AG344" s="52"/>
      <c r="AH344" s="92"/>
      <c r="AI344" s="92"/>
      <c r="AJ344" s="92"/>
      <c r="AK344" s="743"/>
      <c r="AL344" s="743"/>
      <c r="AM344" s="743"/>
      <c r="AN344" s="743"/>
      <c r="AO344" s="743"/>
      <c r="AP344" s="743"/>
      <c r="AQ344" s="743"/>
      <c r="AR344" s="743"/>
    </row>
    <row r="345" spans="1:44" s="8" customFormat="1" ht="17" x14ac:dyDescent="0.2">
      <c r="A345" s="1358" t="s">
        <v>1824</v>
      </c>
      <c r="B345" s="161" t="str">
        <f>IF($E$338=1,"trouble alimentaire","")</f>
        <v>trouble alimentaire</v>
      </c>
      <c r="C345" s="124"/>
      <c r="D345" s="1976">
        <v>1</v>
      </c>
      <c r="E345" s="560"/>
      <c r="F345" s="560"/>
      <c r="G345" s="560"/>
      <c r="H345" s="560"/>
      <c r="I345" s="560"/>
      <c r="J345" s="560"/>
      <c r="K345" s="560"/>
      <c r="P345" s="1877">
        <f>'TEST_pour PROTOTYPE'!D307</f>
        <v>1</v>
      </c>
      <c r="Q345" s="25">
        <f t="shared" si="146"/>
        <v>1</v>
      </c>
      <c r="U345" s="331"/>
      <c r="V345" s="331"/>
      <c r="AE345" s="512"/>
      <c r="AF345" s="52"/>
      <c r="AG345" s="52"/>
      <c r="AH345" s="92"/>
      <c r="AI345" s="92"/>
      <c r="AJ345" s="92"/>
      <c r="AK345" s="743"/>
      <c r="AL345" s="743"/>
      <c r="AM345" s="743"/>
      <c r="AN345" s="743"/>
      <c r="AO345" s="743"/>
      <c r="AP345" s="743"/>
      <c r="AQ345" s="743"/>
      <c r="AR345" s="743"/>
    </row>
    <row r="346" spans="1:44" s="8" customFormat="1" x14ac:dyDescent="0.2">
      <c r="A346" s="1358"/>
      <c r="B346" s="161"/>
      <c r="C346" s="124"/>
      <c r="D346" s="1976"/>
      <c r="E346" s="1949" t="s">
        <v>1718</v>
      </c>
      <c r="F346" s="560"/>
      <c r="G346" s="560"/>
      <c r="H346" s="560"/>
      <c r="I346" s="560"/>
      <c r="J346" s="560"/>
      <c r="K346" s="560"/>
      <c r="P346" s="1877"/>
      <c r="Q346" s="25"/>
      <c r="U346" s="71"/>
      <c r="V346" s="71"/>
      <c r="AE346" s="512"/>
      <c r="AF346" s="52"/>
      <c r="AG346" s="52"/>
      <c r="AH346" s="92"/>
      <c r="AI346" s="92"/>
      <c r="AJ346" s="92"/>
      <c r="AK346" s="743"/>
      <c r="AL346" s="743"/>
      <c r="AM346" s="743"/>
      <c r="AN346" s="743"/>
      <c r="AO346" s="743"/>
      <c r="AP346" s="743"/>
      <c r="AQ346" s="743"/>
      <c r="AR346" s="743"/>
    </row>
    <row r="347" spans="1:44" s="8" customFormat="1" ht="17" customHeight="1" x14ac:dyDescent="0.2">
      <c r="A347" s="1358" t="s">
        <v>1825</v>
      </c>
      <c r="B347" s="161" t="str">
        <f>IF($E$338=1,"automutilation","")</f>
        <v>automutilation</v>
      </c>
      <c r="C347" s="124" t="s">
        <v>235</v>
      </c>
      <c r="D347" s="1976">
        <v>1</v>
      </c>
      <c r="E347" s="51" t="str">
        <f>IF(P$347=D347,1,"x")</f>
        <v>x</v>
      </c>
      <c r="F347" s="560"/>
      <c r="G347" s="560"/>
      <c r="H347" s="560"/>
      <c r="I347" s="560"/>
      <c r="J347" s="560"/>
      <c r="K347" s="560"/>
      <c r="P347" s="1877">
        <f>'TEST_pour PROTOTYPE'!D308</f>
        <v>0</v>
      </c>
      <c r="Q347" s="25">
        <f t="shared" si="146"/>
        <v>0</v>
      </c>
      <c r="R347" s="1945"/>
      <c r="S347" s="1945"/>
      <c r="T347" s="1945"/>
      <c r="U347" s="1945"/>
      <c r="V347" s="1945"/>
      <c r="AE347" s="512"/>
      <c r="AF347" s="52"/>
      <c r="AG347" s="52"/>
      <c r="AH347" s="92"/>
      <c r="AI347" s="92"/>
      <c r="AJ347" s="92"/>
      <c r="AK347" s="743"/>
      <c r="AL347" s="743"/>
      <c r="AM347" s="743"/>
      <c r="AN347" s="743"/>
      <c r="AO347" s="743"/>
      <c r="AP347" s="743"/>
      <c r="AQ347" s="743"/>
      <c r="AR347" s="743"/>
    </row>
    <row r="348" spans="1:44" s="8" customFormat="1" ht="17" customHeight="1" x14ac:dyDescent="0.2">
      <c r="A348" s="1358"/>
      <c r="B348" s="161"/>
      <c r="C348" s="124" t="s">
        <v>236</v>
      </c>
      <c r="D348" s="1977">
        <v>0</v>
      </c>
      <c r="E348" s="51">
        <f>IF(P$347=D348,1,"x")</f>
        <v>1</v>
      </c>
      <c r="F348" s="561"/>
      <c r="G348" s="561"/>
      <c r="H348" s="561"/>
      <c r="I348" s="561"/>
      <c r="J348" s="561"/>
      <c r="K348" s="561"/>
      <c r="P348" s="1877"/>
      <c r="Q348" s="25"/>
      <c r="R348" s="1945"/>
      <c r="S348" s="1945"/>
      <c r="T348" s="1945"/>
      <c r="U348" s="1945"/>
      <c r="V348" s="1945"/>
      <c r="AE348" s="512"/>
      <c r="AF348" s="52"/>
      <c r="AG348" s="52"/>
      <c r="AH348" s="92"/>
      <c r="AI348" s="92"/>
      <c r="AJ348" s="92"/>
      <c r="AK348" s="743"/>
      <c r="AL348" s="743"/>
      <c r="AM348" s="743"/>
      <c r="AN348" s="743"/>
      <c r="AO348" s="743"/>
      <c r="AP348" s="743"/>
      <c r="AQ348" s="743"/>
      <c r="AR348" s="743"/>
    </row>
    <row r="349" spans="1:44" s="8" customFormat="1" ht="17" x14ac:dyDescent="0.2">
      <c r="A349" s="1358" t="s">
        <v>1826</v>
      </c>
      <c r="B349" s="161" t="str">
        <f>IF($E$338=1,"dépression","")</f>
        <v>dépression</v>
      </c>
      <c r="C349" s="124" t="s">
        <v>235</v>
      </c>
      <c r="D349" s="1976">
        <v>1</v>
      </c>
      <c r="E349" s="51">
        <f>IF(P$349=D349,1,"x")</f>
        <v>1</v>
      </c>
      <c r="F349" s="561"/>
      <c r="G349" s="561"/>
      <c r="H349" s="561"/>
      <c r="I349" s="561"/>
      <c r="J349" s="561"/>
      <c r="K349" s="561"/>
      <c r="P349" s="1877">
        <f>'TEST_pour PROTOTYPE'!D309</f>
        <v>1</v>
      </c>
      <c r="Q349" s="25">
        <f t="shared" si="146"/>
        <v>1</v>
      </c>
      <c r="R349" s="1945"/>
      <c r="S349" s="1945"/>
      <c r="T349" s="1945"/>
      <c r="U349" s="1945"/>
      <c r="V349" s="1945"/>
      <c r="AE349" s="512"/>
      <c r="AF349" s="52"/>
      <c r="AG349" s="52"/>
      <c r="AH349" s="92"/>
      <c r="AI349" s="92"/>
      <c r="AJ349" s="92"/>
      <c r="AK349" s="743"/>
      <c r="AL349" s="743"/>
      <c r="AM349" s="743"/>
      <c r="AN349" s="743"/>
      <c r="AO349" s="743"/>
      <c r="AP349" s="743"/>
      <c r="AQ349" s="743"/>
      <c r="AR349" s="743"/>
    </row>
    <row r="350" spans="1:44" s="8" customFormat="1" x14ac:dyDescent="0.2">
      <c r="A350" s="1358"/>
      <c r="B350" s="161"/>
      <c r="C350" s="124" t="s">
        <v>236</v>
      </c>
      <c r="D350" s="1977">
        <v>0</v>
      </c>
      <c r="E350" s="51" t="str">
        <f>IF(P$349=D350,1,"x")</f>
        <v>x</v>
      </c>
      <c r="F350" s="561"/>
      <c r="G350" s="561"/>
      <c r="H350" s="561"/>
      <c r="I350" s="561"/>
      <c r="J350" s="561"/>
      <c r="K350" s="561"/>
      <c r="P350" s="1877"/>
      <c r="Q350" s="25"/>
      <c r="R350" s="1945"/>
      <c r="S350" s="1945"/>
      <c r="T350" s="1945"/>
      <c r="U350" s="1945"/>
      <c r="V350" s="1945"/>
      <c r="AE350" s="512"/>
      <c r="AF350" s="52"/>
      <c r="AG350" s="52"/>
      <c r="AH350" s="92"/>
      <c r="AI350" s="92"/>
      <c r="AJ350" s="92"/>
      <c r="AK350" s="743"/>
      <c r="AL350" s="743"/>
      <c r="AM350" s="743"/>
      <c r="AN350" s="743"/>
      <c r="AO350" s="743"/>
      <c r="AP350" s="743"/>
      <c r="AQ350" s="743"/>
      <c r="AR350" s="743"/>
    </row>
    <row r="351" spans="1:44" s="8" customFormat="1" ht="17" x14ac:dyDescent="0.2">
      <c r="A351" s="1358" t="s">
        <v>1827</v>
      </c>
      <c r="B351" s="161" t="str">
        <f>IF($E$338=1,"idéation suicidaire","")</f>
        <v>idéation suicidaire</v>
      </c>
      <c r="C351" s="124" t="s">
        <v>235</v>
      </c>
      <c r="D351" s="1976">
        <v>1</v>
      </c>
      <c r="E351" s="51" t="str">
        <f>IF(P$351=D351,1,"x")</f>
        <v>x</v>
      </c>
      <c r="F351" s="560"/>
      <c r="G351" s="560"/>
      <c r="H351" s="560"/>
      <c r="I351" s="560"/>
      <c r="J351" s="560"/>
      <c r="K351" s="560"/>
      <c r="P351" s="1877">
        <f>'TEST_pour PROTOTYPE'!D310</f>
        <v>0</v>
      </c>
      <c r="Q351" s="25">
        <f t="shared" si="146"/>
        <v>0</v>
      </c>
      <c r="R351" s="1945"/>
      <c r="S351" s="1945"/>
      <c r="T351" s="1945"/>
      <c r="U351" s="1945"/>
      <c r="V351" s="1945"/>
      <c r="AE351" s="512"/>
      <c r="AF351" s="52"/>
      <c r="AG351" s="52"/>
      <c r="AH351" s="92"/>
      <c r="AI351" s="92"/>
      <c r="AJ351" s="92"/>
      <c r="AK351" s="743"/>
      <c r="AL351" s="743"/>
      <c r="AM351" s="743"/>
      <c r="AN351" s="743"/>
      <c r="AO351" s="743"/>
      <c r="AP351" s="743"/>
      <c r="AQ351" s="743"/>
      <c r="AR351" s="743"/>
    </row>
    <row r="352" spans="1:44" s="8" customFormat="1" x14ac:dyDescent="0.2">
      <c r="A352" s="1358"/>
      <c r="B352" s="161"/>
      <c r="C352" s="124" t="s">
        <v>236</v>
      </c>
      <c r="D352" s="1977">
        <v>0</v>
      </c>
      <c r="E352" s="51">
        <f>IF(P$351=D352,1,"x")</f>
        <v>1</v>
      </c>
      <c r="F352" s="560"/>
      <c r="G352" s="560"/>
      <c r="H352" s="560"/>
      <c r="I352" s="560"/>
      <c r="J352" s="560"/>
      <c r="K352" s="560"/>
      <c r="P352" s="1877"/>
      <c r="Q352" s="25"/>
      <c r="R352" s="1945"/>
      <c r="S352" s="1945"/>
      <c r="T352" s="1945"/>
      <c r="U352" s="1945"/>
      <c r="V352" s="1945"/>
      <c r="AE352" s="512"/>
      <c r="AF352" s="52"/>
      <c r="AG352" s="52"/>
      <c r="AH352" s="92"/>
      <c r="AI352" s="92"/>
      <c r="AJ352" s="92"/>
      <c r="AK352" s="743"/>
      <c r="AL352" s="743"/>
      <c r="AM352" s="743"/>
      <c r="AN352" s="743"/>
      <c r="AO352" s="743"/>
      <c r="AP352" s="743"/>
      <c r="AQ352" s="743"/>
      <c r="AR352" s="743"/>
    </row>
    <row r="353" spans="1:44" s="8" customFormat="1" ht="21" hidden="1" customHeight="1" x14ac:dyDescent="0.2">
      <c r="A353" s="1950"/>
      <c r="B353" s="1882" t="str">
        <f>IF($E$338=1,"Aucune de ces réponses","")</f>
        <v>Aucune de ces réponses</v>
      </c>
      <c r="C353" s="1931"/>
      <c r="D353" s="1976">
        <v>0</v>
      </c>
      <c r="E353" s="1883"/>
      <c r="F353" s="1883"/>
      <c r="G353" s="1883"/>
      <c r="H353" s="1883"/>
      <c r="I353" s="1883"/>
      <c r="J353" s="1883"/>
      <c r="K353" s="1883"/>
      <c r="L353" s="1677"/>
      <c r="M353" s="1677"/>
      <c r="N353" s="1677"/>
      <c r="O353" s="1677"/>
      <c r="P353" s="1884"/>
      <c r="Q353" s="1885"/>
      <c r="R353" s="1943"/>
      <c r="S353" s="1951" t="s">
        <v>1719</v>
      </c>
      <c r="T353" s="1945"/>
      <c r="U353" s="1945"/>
      <c r="V353" s="1945"/>
      <c r="AE353" s="512"/>
      <c r="AF353" s="52"/>
      <c r="AG353" s="52"/>
      <c r="AH353" s="92"/>
      <c r="AI353" s="92"/>
      <c r="AJ353" s="92"/>
      <c r="AK353" s="743"/>
      <c r="AL353" s="743"/>
      <c r="AM353" s="743"/>
      <c r="AN353" s="743"/>
      <c r="AO353" s="743"/>
      <c r="AP353" s="743"/>
      <c r="AQ353" s="743"/>
      <c r="AR353" s="743"/>
    </row>
    <row r="354" spans="1:44" s="8" customFormat="1" ht="17" hidden="1" x14ac:dyDescent="0.2">
      <c r="A354" s="1358" t="s">
        <v>1828</v>
      </c>
      <c r="B354" s="161" t="str">
        <f>IF($E$338=1,"autres (veuillez spécifier)","")</f>
        <v>autres (veuillez spécifier)</v>
      </c>
      <c r="C354" s="124"/>
      <c r="D354" s="1978" t="s">
        <v>1492</v>
      </c>
      <c r="E354" s="302"/>
      <c r="P354" s="25"/>
      <c r="Q354" s="25"/>
      <c r="R354" s="1945"/>
      <c r="S354" s="1945"/>
      <c r="T354" s="1945"/>
      <c r="U354" s="1945"/>
      <c r="V354" s="1945"/>
      <c r="AE354" s="512"/>
      <c r="AF354" s="52"/>
      <c r="AG354" s="52"/>
      <c r="AH354" s="92"/>
      <c r="AI354" s="92"/>
      <c r="AJ354" s="92"/>
      <c r="AK354" s="743"/>
      <c r="AL354" s="743"/>
      <c r="AM354" s="743"/>
      <c r="AN354" s="743"/>
      <c r="AO354" s="743"/>
      <c r="AP354" s="743"/>
      <c r="AQ354" s="743"/>
      <c r="AR354" s="743"/>
    </row>
    <row r="355" spans="1:44" s="8" customFormat="1" ht="50" customHeight="1" x14ac:dyDescent="0.2">
      <c r="A355" s="1358"/>
      <c r="B355" s="309" t="str">
        <f>IF($E$338=1,BIBLE!F208,"")</f>
        <v>Lesquelles de ces manifestations étaient déjà apparentes avant la séparation et à quelle fréquence?</v>
      </c>
      <c r="C355" s="124"/>
      <c r="D355" s="1527">
        <f>BIBLE!L208</f>
        <v>1</v>
      </c>
      <c r="O355" s="8" t="s">
        <v>945</v>
      </c>
      <c r="P355" s="24"/>
      <c r="Q355" s="24"/>
      <c r="R355" s="1945"/>
      <c r="S355" s="1945"/>
      <c r="T355" s="1945"/>
      <c r="U355" s="1945"/>
      <c r="V355" s="1945"/>
      <c r="AE355" s="512"/>
      <c r="AF355" s="52"/>
      <c r="AG355" s="52"/>
      <c r="AH355" s="92"/>
      <c r="AI355" s="92"/>
      <c r="AJ355" s="92"/>
      <c r="AK355" s="743"/>
      <c r="AL355" s="743"/>
      <c r="AM355" s="743"/>
      <c r="AN355" s="743"/>
      <c r="AO355" s="743"/>
      <c r="AP355" s="743"/>
      <c r="AQ355" s="743"/>
      <c r="AR355" s="743"/>
    </row>
    <row r="356" spans="1:44" s="8" customFormat="1" ht="17" x14ac:dyDescent="0.2">
      <c r="A356" s="1913" t="s">
        <v>1627</v>
      </c>
      <c r="B356" s="161" t="str">
        <f>IF(P341&gt;0,"insomnie","")</f>
        <v>insomnie</v>
      </c>
      <c r="C356" s="23"/>
      <c r="D356" s="1976">
        <v>1</v>
      </c>
      <c r="E356" s="560"/>
      <c r="F356" s="560"/>
      <c r="G356" s="560"/>
      <c r="H356" s="560"/>
      <c r="I356" s="560">
        <v>1</v>
      </c>
      <c r="J356" s="560"/>
      <c r="K356" s="560"/>
      <c r="P356" s="1877">
        <f>'TEST_pour PROTOTYPE'!D311</f>
        <v>4</v>
      </c>
      <c r="Q356" s="25">
        <f>P356*D356</f>
        <v>4</v>
      </c>
      <c r="R356" s="1945"/>
      <c r="S356" s="1945"/>
      <c r="T356" s="1945"/>
      <c r="U356" s="1945"/>
      <c r="V356" s="1945"/>
      <c r="AE356" s="512"/>
      <c r="AF356" s="52"/>
      <c r="AG356" s="52"/>
      <c r="AH356" s="92"/>
      <c r="AI356" s="92"/>
      <c r="AJ356" s="92"/>
      <c r="AK356" s="743"/>
      <c r="AL356" s="743"/>
      <c r="AM356" s="743"/>
      <c r="AN356" s="743"/>
      <c r="AO356" s="743"/>
      <c r="AP356" s="743"/>
      <c r="AQ356" s="743"/>
      <c r="AR356" s="743"/>
    </row>
    <row r="357" spans="1:44" s="8" customFormat="1" ht="17" x14ac:dyDescent="0.2">
      <c r="A357" s="1913" t="s">
        <v>1829</v>
      </c>
      <c r="B357" s="161" t="str">
        <f>IF(P342&lt;&gt;0,"anxiété","")</f>
        <v>anxiété</v>
      </c>
      <c r="C357" s="23"/>
      <c r="D357" s="1976">
        <v>1</v>
      </c>
      <c r="E357" s="560"/>
      <c r="F357" s="560"/>
      <c r="G357" s="560"/>
      <c r="H357" s="560"/>
      <c r="I357" s="560"/>
      <c r="J357" s="560"/>
      <c r="K357" s="560"/>
      <c r="P357" s="1877">
        <f>'TEST_pour PROTOTYPE'!D312</f>
        <v>1</v>
      </c>
      <c r="Q357" s="25">
        <f t="shared" ref="Q357:Q366" si="147">P357*D357</f>
        <v>1</v>
      </c>
      <c r="R357" s="1945"/>
      <c r="S357" s="1945"/>
      <c r="T357" s="1945"/>
      <c r="U357" s="1945"/>
      <c r="V357" s="1945"/>
      <c r="AE357" s="512"/>
      <c r="AF357" s="52"/>
      <c r="AG357" s="52"/>
      <c r="AH357" s="92"/>
      <c r="AI357" s="92"/>
      <c r="AJ357" s="92"/>
      <c r="AK357" s="743"/>
      <c r="AL357" s="743"/>
      <c r="AM357" s="743"/>
      <c r="AN357" s="743"/>
      <c r="AO357" s="743"/>
      <c r="AP357" s="743"/>
      <c r="AQ357" s="743"/>
      <c r="AR357" s="743"/>
    </row>
    <row r="358" spans="1:44" s="8" customFormat="1" ht="17" x14ac:dyDescent="0.2">
      <c r="A358" s="1913" t="s">
        <v>1830</v>
      </c>
      <c r="B358" s="161" t="str">
        <f>IF(P343&lt;&gt;0,"isolement et difficulté à socialiser","")</f>
        <v>isolement et difficulté à socialiser</v>
      </c>
      <c r="C358" s="23"/>
      <c r="D358" s="1976">
        <v>1</v>
      </c>
      <c r="E358" s="560"/>
      <c r="F358" s="560"/>
      <c r="G358" s="560"/>
      <c r="H358" s="560"/>
      <c r="I358" s="560"/>
      <c r="J358" s="560"/>
      <c r="K358" s="560"/>
      <c r="P358" s="1877">
        <f>'TEST_pour PROTOTYPE'!D313</f>
        <v>1</v>
      </c>
      <c r="Q358" s="25">
        <f t="shared" si="147"/>
        <v>1</v>
      </c>
      <c r="R358" s="1945"/>
      <c r="S358" s="1945"/>
      <c r="T358" s="1945"/>
      <c r="U358" s="1945"/>
      <c r="V358" s="1945"/>
      <c r="AE358" s="512"/>
      <c r="AF358" s="52"/>
      <c r="AG358" s="52"/>
      <c r="AH358" s="92"/>
      <c r="AI358" s="92"/>
      <c r="AJ358" s="92"/>
      <c r="AK358" s="743"/>
      <c r="AL358" s="743"/>
      <c r="AM358" s="743"/>
      <c r="AN358" s="743"/>
      <c r="AO358" s="743"/>
      <c r="AP358" s="743"/>
      <c r="AQ358" s="743"/>
      <c r="AR358" s="743"/>
    </row>
    <row r="359" spans="1:44" s="8" customFormat="1" ht="17" x14ac:dyDescent="0.2">
      <c r="A359" s="1913" t="s">
        <v>1831</v>
      </c>
      <c r="B359" s="161" t="str">
        <f>IF(P344&lt;&gt;0,"trouble de l'opposition","")</f>
        <v>trouble de l'opposition</v>
      </c>
      <c r="C359" s="23"/>
      <c r="D359" s="1976">
        <v>1</v>
      </c>
      <c r="E359" s="560"/>
      <c r="F359" s="560"/>
      <c r="G359" s="560"/>
      <c r="H359" s="560"/>
      <c r="I359" s="560">
        <v>1</v>
      </c>
      <c r="J359" s="560"/>
      <c r="K359" s="560"/>
      <c r="P359" s="1877">
        <f>'TEST_pour PROTOTYPE'!D314</f>
        <v>0</v>
      </c>
      <c r="Q359" s="25">
        <f t="shared" si="147"/>
        <v>0</v>
      </c>
      <c r="R359" s="1945"/>
      <c r="S359" s="1945"/>
      <c r="T359" s="1945"/>
      <c r="U359" s="1945"/>
      <c r="V359" s="1945"/>
      <c r="AE359" s="512"/>
      <c r="AF359" s="52"/>
      <c r="AG359" s="52"/>
      <c r="AH359" s="92"/>
      <c r="AI359" s="92"/>
      <c r="AJ359" s="92"/>
      <c r="AK359" s="743"/>
      <c r="AL359" s="743"/>
      <c r="AM359" s="743"/>
      <c r="AN359" s="743"/>
      <c r="AO359" s="743"/>
      <c r="AP359" s="743"/>
      <c r="AQ359" s="743"/>
      <c r="AR359" s="743"/>
    </row>
    <row r="360" spans="1:44" s="8" customFormat="1" ht="17" x14ac:dyDescent="0.2">
      <c r="A360" s="1913" t="s">
        <v>1832</v>
      </c>
      <c r="B360" s="161" t="str">
        <f>IF(P345&lt;&gt;0,"trouble alimentaire","")</f>
        <v>trouble alimentaire</v>
      </c>
      <c r="C360" s="23"/>
      <c r="D360" s="1976">
        <v>1</v>
      </c>
      <c r="E360" s="560"/>
      <c r="F360" s="560"/>
      <c r="G360" s="560"/>
      <c r="H360" s="560"/>
      <c r="I360" s="560"/>
      <c r="J360" s="560"/>
      <c r="K360" s="560"/>
      <c r="P360" s="1877">
        <f>'TEST_pour PROTOTYPE'!D315</f>
        <v>0</v>
      </c>
      <c r="Q360" s="25">
        <f t="shared" si="147"/>
        <v>0</v>
      </c>
      <c r="R360" s="1945"/>
      <c r="S360" s="1945"/>
      <c r="T360" s="1945"/>
      <c r="U360" s="1945"/>
      <c r="V360" s="1945"/>
      <c r="AE360" s="512"/>
      <c r="AF360" s="52"/>
      <c r="AG360" s="52"/>
      <c r="AH360" s="92"/>
      <c r="AI360" s="92"/>
      <c r="AJ360" s="92"/>
      <c r="AK360" s="743"/>
      <c r="AL360" s="743"/>
      <c r="AM360" s="743"/>
      <c r="AN360" s="743"/>
      <c r="AO360" s="743"/>
      <c r="AP360" s="743"/>
      <c r="AQ360" s="743"/>
      <c r="AR360" s="743"/>
    </row>
    <row r="361" spans="1:44" s="8" customFormat="1" x14ac:dyDescent="0.2">
      <c r="A361" s="1358"/>
      <c r="B361" s="161"/>
      <c r="C361" s="23"/>
      <c r="D361" s="1976"/>
      <c r="E361" s="1949" t="s">
        <v>1718</v>
      </c>
      <c r="F361" s="560"/>
      <c r="G361" s="560"/>
      <c r="H361" s="560"/>
      <c r="I361" s="560"/>
      <c r="J361" s="560"/>
      <c r="K361" s="560"/>
      <c r="P361" s="1877"/>
      <c r="Q361" s="25"/>
      <c r="R361" s="1945"/>
      <c r="S361" s="1945"/>
      <c r="T361" s="1945"/>
      <c r="U361" s="1945"/>
      <c r="V361" s="1945"/>
      <c r="AE361" s="512"/>
      <c r="AF361" s="52"/>
      <c r="AG361" s="52"/>
      <c r="AH361" s="92"/>
      <c r="AI361" s="92"/>
      <c r="AJ361" s="92"/>
      <c r="AK361" s="743"/>
      <c r="AL361" s="743"/>
      <c r="AM361" s="743"/>
      <c r="AN361" s="743"/>
      <c r="AO361" s="743"/>
      <c r="AP361" s="743"/>
      <c r="AQ361" s="743"/>
      <c r="AR361" s="743"/>
    </row>
    <row r="362" spans="1:44" s="8" customFormat="1" ht="17" x14ac:dyDescent="0.2">
      <c r="A362" s="1913" t="s">
        <v>1833</v>
      </c>
      <c r="B362" s="161" t="str">
        <f>IF(P347&lt;&gt;0,"automutilation","")</f>
        <v/>
      </c>
      <c r="C362" s="124" t="s">
        <v>235</v>
      </c>
      <c r="D362" s="1976">
        <v>1</v>
      </c>
      <c r="E362" s="51" t="str">
        <f>IF(P$362=D362,1,"x")</f>
        <v>x</v>
      </c>
      <c r="F362" s="560"/>
      <c r="G362" s="560"/>
      <c r="H362" s="560"/>
      <c r="I362" s="560"/>
      <c r="J362" s="560"/>
      <c r="K362" s="560"/>
      <c r="P362" s="1877">
        <f>'TEST_pour PROTOTYPE'!D316</f>
        <v>0</v>
      </c>
      <c r="Q362" s="25">
        <f t="shared" si="147"/>
        <v>0</v>
      </c>
      <c r="R362" s="1945"/>
      <c r="S362" s="1945"/>
      <c r="T362" s="1945"/>
      <c r="U362" s="1945"/>
      <c r="V362" s="1945"/>
      <c r="AE362" s="512"/>
      <c r="AF362" s="52"/>
      <c r="AG362" s="52"/>
      <c r="AH362" s="92"/>
      <c r="AI362" s="92"/>
      <c r="AJ362" s="92"/>
      <c r="AK362" s="743"/>
      <c r="AL362" s="743"/>
      <c r="AM362" s="743"/>
      <c r="AN362" s="743"/>
      <c r="AO362" s="743"/>
      <c r="AP362" s="743"/>
      <c r="AQ362" s="743"/>
      <c r="AR362" s="743"/>
    </row>
    <row r="363" spans="1:44" s="8" customFormat="1" x14ac:dyDescent="0.2">
      <c r="A363" s="1358"/>
      <c r="B363" s="161"/>
      <c r="C363" s="124" t="s">
        <v>236</v>
      </c>
      <c r="D363" s="1977">
        <v>0</v>
      </c>
      <c r="E363" s="51">
        <f>IF(P$362=D363,1,"x")</f>
        <v>1</v>
      </c>
      <c r="F363" s="560"/>
      <c r="G363" s="560"/>
      <c r="H363" s="560"/>
      <c r="I363" s="560"/>
      <c r="J363" s="560"/>
      <c r="K363" s="560"/>
      <c r="P363" s="1877"/>
      <c r="Q363" s="25"/>
      <c r="R363" s="1945"/>
      <c r="S363" s="1945"/>
      <c r="T363" s="1945"/>
      <c r="U363" s="1945"/>
      <c r="V363" s="1945"/>
      <c r="AE363" s="512"/>
      <c r="AF363" s="52"/>
      <c r="AG363" s="52"/>
      <c r="AH363" s="92"/>
      <c r="AI363" s="92"/>
      <c r="AJ363" s="92"/>
      <c r="AK363" s="743"/>
      <c r="AL363" s="743"/>
      <c r="AM363" s="743"/>
      <c r="AN363" s="743"/>
      <c r="AO363" s="743"/>
      <c r="AP363" s="743"/>
      <c r="AQ363" s="743"/>
      <c r="AR363" s="743"/>
    </row>
    <row r="364" spans="1:44" s="8" customFormat="1" ht="17" x14ac:dyDescent="0.2">
      <c r="A364" s="1913" t="s">
        <v>1834</v>
      </c>
      <c r="B364" s="161" t="str">
        <f>IF(P349&lt;&gt;0,"dépression","")</f>
        <v>dépression</v>
      </c>
      <c r="C364" s="124" t="s">
        <v>235</v>
      </c>
      <c r="D364" s="1976">
        <v>1</v>
      </c>
      <c r="E364" s="51">
        <f>IF(P$338=D364,1,"x")</f>
        <v>1</v>
      </c>
      <c r="F364" s="560"/>
      <c r="G364" s="560"/>
      <c r="H364" s="560"/>
      <c r="I364" s="560"/>
      <c r="J364" s="560"/>
      <c r="K364" s="560"/>
      <c r="P364" s="1877">
        <f>'TEST_pour PROTOTYPE'!D317</f>
        <v>0</v>
      </c>
      <c r="Q364" s="25">
        <f t="shared" si="147"/>
        <v>0</v>
      </c>
      <c r="R364" s="1945"/>
      <c r="S364" s="1945"/>
      <c r="T364" s="1945"/>
      <c r="U364" s="1945"/>
      <c r="V364" s="1945"/>
      <c r="AE364" s="512"/>
      <c r="AF364" s="52"/>
      <c r="AG364" s="52"/>
      <c r="AH364" s="92"/>
      <c r="AI364" s="92"/>
      <c r="AJ364" s="92"/>
      <c r="AK364" s="743"/>
      <c r="AL364" s="743"/>
      <c r="AM364" s="743"/>
      <c r="AN364" s="743"/>
      <c r="AO364" s="743"/>
      <c r="AP364" s="743"/>
      <c r="AQ364" s="743"/>
      <c r="AR364" s="743"/>
    </row>
    <row r="365" spans="1:44" s="8" customFormat="1" x14ac:dyDescent="0.2">
      <c r="A365" s="1358"/>
      <c r="B365" s="161"/>
      <c r="C365" s="124" t="s">
        <v>236</v>
      </c>
      <c r="D365" s="1977">
        <v>0</v>
      </c>
      <c r="E365" s="51" t="str">
        <f>IF(P$338=D365,1,"x")</f>
        <v>x</v>
      </c>
      <c r="F365" s="560"/>
      <c r="G365" s="560"/>
      <c r="H365" s="560"/>
      <c r="I365" s="560"/>
      <c r="J365" s="560"/>
      <c r="K365" s="560"/>
      <c r="P365" s="1877"/>
      <c r="Q365" s="25"/>
      <c r="R365" s="1945"/>
      <c r="S365" s="1945"/>
      <c r="T365" s="1945"/>
      <c r="U365" s="1945"/>
      <c r="V365" s="1945"/>
      <c r="AE365" s="512"/>
      <c r="AF365" s="52"/>
      <c r="AG365" s="52"/>
      <c r="AH365" s="92"/>
      <c r="AI365" s="92"/>
      <c r="AJ365" s="92"/>
      <c r="AK365" s="743"/>
      <c r="AL365" s="743"/>
      <c r="AM365" s="743"/>
      <c r="AN365" s="743"/>
      <c r="AO365" s="743"/>
      <c r="AP365" s="743"/>
      <c r="AQ365" s="743"/>
      <c r="AR365" s="743"/>
    </row>
    <row r="366" spans="1:44" s="8" customFormat="1" ht="17" x14ac:dyDescent="0.2">
      <c r="A366" s="1913" t="s">
        <v>1835</v>
      </c>
      <c r="B366" s="161" t="str">
        <f>IF(P351&lt;&gt;0,"idéation suicidaire","")</f>
        <v/>
      </c>
      <c r="C366" s="124" t="s">
        <v>235</v>
      </c>
      <c r="D366" s="1976">
        <v>1</v>
      </c>
      <c r="E366" s="51">
        <f>IF(P$338=D366,1,"x")</f>
        <v>1</v>
      </c>
      <c r="F366" s="560"/>
      <c r="G366" s="560"/>
      <c r="H366" s="560"/>
      <c r="I366" s="560"/>
      <c r="J366" s="560"/>
      <c r="K366" s="560"/>
      <c r="P366" s="1877">
        <f>'TEST_pour PROTOTYPE'!D318</f>
        <v>0</v>
      </c>
      <c r="Q366" s="25">
        <f t="shared" si="147"/>
        <v>0</v>
      </c>
      <c r="R366" s="1945"/>
      <c r="S366" s="1945"/>
      <c r="T366" s="1945"/>
      <c r="U366" s="1945"/>
      <c r="V366" s="1945"/>
      <c r="AE366" s="512"/>
      <c r="AF366" s="52"/>
      <c r="AG366" s="52"/>
      <c r="AH366" s="92"/>
      <c r="AI366" s="92"/>
      <c r="AJ366" s="92"/>
      <c r="AK366" s="743"/>
      <c r="AL366" s="743"/>
      <c r="AM366" s="743"/>
      <c r="AN366" s="743"/>
      <c r="AO366" s="743"/>
      <c r="AP366" s="743"/>
      <c r="AQ366" s="743"/>
      <c r="AR366" s="743"/>
    </row>
    <row r="367" spans="1:44" s="8" customFormat="1" x14ac:dyDescent="0.2">
      <c r="A367" s="1358"/>
      <c r="B367" s="161"/>
      <c r="C367" s="124" t="s">
        <v>236</v>
      </c>
      <c r="D367" s="1977">
        <v>0</v>
      </c>
      <c r="E367" s="51" t="str">
        <f>IF(P$338=D367,1,"x")</f>
        <v>x</v>
      </c>
      <c r="F367" s="560"/>
      <c r="G367" s="560"/>
      <c r="H367" s="560"/>
      <c r="I367" s="560"/>
      <c r="J367" s="560"/>
      <c r="K367" s="560"/>
      <c r="P367" s="1877"/>
      <c r="Q367" s="25"/>
      <c r="R367" s="1945"/>
      <c r="S367" s="1945"/>
      <c r="T367" s="1945"/>
      <c r="U367" s="1945"/>
      <c r="V367" s="1945"/>
      <c r="AE367" s="512"/>
      <c r="AF367" s="52"/>
      <c r="AG367" s="52"/>
      <c r="AH367" s="92"/>
      <c r="AI367" s="92"/>
      <c r="AJ367" s="92"/>
      <c r="AK367" s="743"/>
      <c r="AL367" s="743"/>
      <c r="AM367" s="743"/>
      <c r="AN367" s="743"/>
      <c r="AO367" s="743"/>
      <c r="AP367" s="743"/>
      <c r="AQ367" s="743"/>
      <c r="AR367" s="743"/>
    </row>
    <row r="368" spans="1:44" s="8" customFormat="1" ht="17" hidden="1" x14ac:dyDescent="0.2">
      <c r="A368" s="1358"/>
      <c r="B368" s="1882" t="str">
        <f>IF($E$338=1,"Aucune de ces réponses","")</f>
        <v>Aucune de ces réponses</v>
      </c>
      <c r="C368" s="1677"/>
      <c r="D368" s="1976">
        <v>0</v>
      </c>
      <c r="E368" s="1883"/>
      <c r="F368" s="1883"/>
      <c r="G368" s="1883"/>
      <c r="H368" s="1883"/>
      <c r="I368" s="1883"/>
      <c r="J368" s="1883"/>
      <c r="K368" s="1883"/>
      <c r="L368" s="1677"/>
      <c r="M368" s="1677"/>
      <c r="N368" s="1677"/>
      <c r="O368" s="1677"/>
      <c r="P368" s="1884"/>
      <c r="Q368" s="1885"/>
      <c r="R368" s="6" t="s">
        <v>1717</v>
      </c>
      <c r="AE368" s="512"/>
      <c r="AF368" s="52"/>
      <c r="AG368" s="52"/>
      <c r="AH368" s="92"/>
      <c r="AI368" s="92"/>
      <c r="AJ368" s="92"/>
      <c r="AK368" s="743"/>
      <c r="AL368" s="743"/>
      <c r="AM368" s="743"/>
      <c r="AN368" s="743"/>
      <c r="AO368" s="743"/>
      <c r="AP368" s="743"/>
      <c r="AQ368" s="743"/>
      <c r="AR368" s="743"/>
    </row>
    <row r="369" spans="1:44" s="8" customFormat="1" ht="17" hidden="1" x14ac:dyDescent="0.2">
      <c r="A369" s="1358"/>
      <c r="B369" s="1882" t="str">
        <f>IF($E$338=1,"autres (veuillez spécifier)","")</f>
        <v>autres (veuillez spécifier)</v>
      </c>
      <c r="C369" s="1677"/>
      <c r="D369" s="1978" t="s">
        <v>1492</v>
      </c>
      <c r="E369" s="1677"/>
      <c r="F369" s="1677"/>
      <c r="G369" s="1677"/>
      <c r="H369" s="1677"/>
      <c r="I369" s="1677"/>
      <c r="J369" s="1677"/>
      <c r="K369" s="1677"/>
      <c r="L369" s="1677"/>
      <c r="M369" s="1677"/>
      <c r="N369" s="1677"/>
      <c r="O369" s="1677"/>
      <c r="P369" s="1884"/>
      <c r="Q369" s="1885"/>
      <c r="R369" s="6" t="s">
        <v>1717</v>
      </c>
      <c r="AE369" s="512"/>
      <c r="AF369" s="52"/>
      <c r="AG369" s="52"/>
      <c r="AH369" s="92"/>
      <c r="AI369" s="92"/>
      <c r="AJ369" s="92"/>
      <c r="AK369" s="743"/>
      <c r="AL369" s="743"/>
      <c r="AM369" s="743"/>
      <c r="AN369" s="743"/>
      <c r="AO369" s="743"/>
      <c r="AP369" s="743"/>
      <c r="AQ369" s="743"/>
      <c r="AR369" s="743"/>
    </row>
    <row r="370" spans="1:44" s="8" customFormat="1" x14ac:dyDescent="0.2">
      <c r="A370" s="1358"/>
      <c r="B370" s="161"/>
      <c r="C370" s="23"/>
      <c r="D370" s="1978"/>
      <c r="P370" s="24"/>
      <c r="Q370" s="25"/>
      <c r="R370" s="6"/>
      <c r="AE370" s="512"/>
      <c r="AF370" s="52"/>
      <c r="AG370" s="52"/>
      <c r="AH370" s="92"/>
      <c r="AI370" s="92"/>
      <c r="AJ370" s="92"/>
      <c r="AK370" s="743"/>
      <c r="AL370" s="743"/>
      <c r="AM370" s="743"/>
      <c r="AN370" s="743"/>
      <c r="AO370" s="743"/>
      <c r="AP370" s="743"/>
      <c r="AQ370" s="743"/>
      <c r="AR370" s="743"/>
    </row>
    <row r="371" spans="1:44" s="7" customFormat="1" ht="63" customHeight="1" x14ac:dyDescent="0.2">
      <c r="A371" s="1358" t="str">
        <f>BIBLE!E209</f>
        <v>E37</v>
      </c>
      <c r="B371" s="157" t="str">
        <f>BIBLE!F209</f>
        <v xml:space="preserve">Vous notez un changement de comportement chez votre enfant au moment de retouner chez l'autre parent (changement de garde). </v>
      </c>
      <c r="C371" s="498" t="str">
        <f>BIBLE!O209</f>
        <v xml:space="preserve">Jamais / Rarement / Occasionnellement / Régulièrement / Souvent / Toujours / S.O. </v>
      </c>
      <c r="D371" s="1527">
        <f>BIBLE!L209</f>
        <v>2</v>
      </c>
      <c r="E371" s="20"/>
      <c r="F371" s="20"/>
      <c r="G371" s="20"/>
      <c r="H371" s="20"/>
      <c r="I371" s="20">
        <v>1</v>
      </c>
      <c r="J371" s="20"/>
      <c r="K371" s="20"/>
      <c r="L371" s="20"/>
      <c r="M371" s="20"/>
      <c r="N371" s="20"/>
      <c r="O371" s="20"/>
      <c r="P371" s="24">
        <f>'TEST_pour PROTOTYPE'!D319</f>
        <v>7</v>
      </c>
      <c r="Q371" s="25">
        <f>P371*D371</f>
        <v>14</v>
      </c>
      <c r="R371" s="8">
        <f>BIBLE!K209</f>
        <v>4</v>
      </c>
      <c r="S371" s="55"/>
      <c r="T371" s="55"/>
      <c r="U371" s="55"/>
      <c r="V371" s="6">
        <f>Q371</f>
        <v>14</v>
      </c>
      <c r="W371" s="298"/>
      <c r="X371" s="6">
        <f t="shared" ref="X371:AC371" si="148">IF($Q371&gt;0,X$109*$D371,0)</f>
        <v>0</v>
      </c>
      <c r="Y371" s="6">
        <f t="shared" si="148"/>
        <v>2</v>
      </c>
      <c r="Z371" s="6">
        <f t="shared" si="148"/>
        <v>4</v>
      </c>
      <c r="AA371" s="6">
        <f t="shared" si="148"/>
        <v>8</v>
      </c>
      <c r="AB371" s="6">
        <f t="shared" si="148"/>
        <v>14</v>
      </c>
      <c r="AC371" s="6">
        <f t="shared" si="148"/>
        <v>20</v>
      </c>
      <c r="AE371" s="512"/>
      <c r="AF371" s="52"/>
      <c r="AG371" s="52"/>
      <c r="AH371" s="23">
        <f>$V371*BIBLE!S232</f>
        <v>0</v>
      </c>
      <c r="AI371" s="23">
        <f>$V371*BIBLE!T232</f>
        <v>0</v>
      </c>
      <c r="AJ371" s="23">
        <f>$V371*BIBLE!U232</f>
        <v>14</v>
      </c>
      <c r="AK371" s="1458">
        <f>$V371*BIBLE!W232</f>
        <v>0</v>
      </c>
      <c r="AL371" s="1458">
        <f>$V371*BIBLE!X232</f>
        <v>0</v>
      </c>
      <c r="AM371" s="1458">
        <f>$V371*BIBLE!Y232</f>
        <v>0</v>
      </c>
      <c r="AN371" s="1458">
        <f>$V371*BIBLE!Z232</f>
        <v>0</v>
      </c>
      <c r="AO371" s="1458">
        <f>$V371*BIBLE!AA232</f>
        <v>0</v>
      </c>
      <c r="AP371" s="1458">
        <f>$V371*BIBLE!AB232</f>
        <v>14</v>
      </c>
      <c r="AQ371" s="1458">
        <f>$V371*BIBLE!AC232</f>
        <v>0</v>
      </c>
      <c r="AR371" s="1458">
        <f>$V371*BIBLE!AD232</f>
        <v>0</v>
      </c>
    </row>
    <row r="372" spans="1:44" s="7" customFormat="1" ht="33" customHeight="1" x14ac:dyDescent="0.2">
      <c r="A372" s="1358" t="str">
        <f>BIBLE!E210</f>
        <v>E37a</v>
      </c>
      <c r="B372" s="158" t="str">
        <f>IF(P371&gt;=R371,BIBLE!F210,"")</f>
        <v>Au moment de retouner chez l'autre parent (changement de garde), votre enfant vous paraît :</v>
      </c>
      <c r="C372" s="23"/>
      <c r="D372" s="1527">
        <f>BIBLE!L243</f>
        <v>0</v>
      </c>
      <c r="E372" s="20"/>
      <c r="F372" s="20"/>
      <c r="G372" s="20"/>
      <c r="H372" s="20"/>
      <c r="I372" s="20"/>
      <c r="J372" s="20"/>
      <c r="K372" s="20"/>
      <c r="L372" s="20"/>
      <c r="M372" s="20"/>
      <c r="N372" s="20"/>
      <c r="O372" s="20"/>
      <c r="P372" s="1818">
        <f>'TEST_pour PROTOTYPE'!D320</f>
        <v>5</v>
      </c>
      <c r="Q372" s="25"/>
      <c r="R372" s="8" t="str">
        <f>IF(BIBLE!K239=0,"",BIBLE!K239)</f>
        <v/>
      </c>
      <c r="S372" s="55"/>
      <c r="T372" s="55"/>
      <c r="U372" s="55"/>
      <c r="V372" s="6"/>
      <c r="W372" s="298"/>
      <c r="X372" s="6"/>
      <c r="Y372" s="6"/>
      <c r="Z372" s="6"/>
      <c r="AA372" s="6"/>
      <c r="AB372" s="6"/>
      <c r="AC372" s="6"/>
      <c r="AE372" s="512"/>
      <c r="AF372" s="52"/>
      <c r="AG372" s="52"/>
      <c r="AH372" s="92"/>
      <c r="AI372" s="92"/>
      <c r="AJ372" s="92"/>
      <c r="AK372" s="743"/>
      <c r="AL372" s="743"/>
      <c r="AM372" s="743"/>
      <c r="AN372" s="743"/>
      <c r="AO372" s="743"/>
      <c r="AP372" s="743"/>
      <c r="AQ372" s="743"/>
      <c r="AR372" s="743"/>
    </row>
    <row r="373" spans="1:44" s="7" customFormat="1" ht="17" x14ac:dyDescent="0.2">
      <c r="A373" s="1358"/>
      <c r="B373" s="161" t="str">
        <f>IF(P371&gt;=R371,"Calme","")</f>
        <v>Calme</v>
      </c>
      <c r="C373" s="92"/>
      <c r="D373" s="2095">
        <v>1</v>
      </c>
      <c r="E373" s="51" t="str">
        <f>IF(P$372=D373,1,"x")</f>
        <v>x</v>
      </c>
      <c r="F373" s="20"/>
      <c r="G373" s="20"/>
      <c r="H373" s="20"/>
      <c r="I373" s="20"/>
      <c r="J373" s="20"/>
      <c r="K373" s="20"/>
      <c r="L373" s="20"/>
      <c r="M373" s="20"/>
      <c r="N373" s="20"/>
      <c r="O373" s="20"/>
      <c r="P373" s="25"/>
      <c r="Q373" s="25"/>
      <c r="R373" s="8" t="str">
        <f>IF(BIBLE!K253=0,"",BIBLE!K253)</f>
        <v/>
      </c>
      <c r="S373" s="55"/>
      <c r="T373" s="55"/>
      <c r="U373" s="55"/>
      <c r="V373" s="6"/>
      <c r="W373" s="298"/>
      <c r="X373" s="6"/>
      <c r="Y373" s="6"/>
      <c r="Z373" s="6"/>
      <c r="AA373" s="6"/>
      <c r="AB373" s="6"/>
      <c r="AC373" s="6"/>
      <c r="AE373" s="512"/>
      <c r="AF373" s="52"/>
      <c r="AG373" s="52"/>
      <c r="AH373" s="92"/>
      <c r="AI373" s="92"/>
      <c r="AJ373" s="92"/>
      <c r="AK373" s="743"/>
      <c r="AL373" s="743"/>
      <c r="AM373" s="743"/>
      <c r="AN373" s="743"/>
      <c r="AO373" s="743"/>
      <c r="AP373" s="743"/>
      <c r="AQ373" s="743"/>
      <c r="AR373" s="743"/>
    </row>
    <row r="374" spans="1:44" s="7" customFormat="1" ht="17" x14ac:dyDescent="0.2">
      <c r="A374" s="1358"/>
      <c r="B374" s="161" t="str">
        <f>IF(P371&gt;=R371,"Neutre","")</f>
        <v>Neutre</v>
      </c>
      <c r="C374" s="92"/>
      <c r="D374" s="2095">
        <v>2</v>
      </c>
      <c r="E374" s="51" t="str">
        <f t="shared" ref="E374:E378" si="149">IF(P$372=D374,1,"x")</f>
        <v>x</v>
      </c>
      <c r="F374" s="20"/>
      <c r="G374" s="20"/>
      <c r="H374" s="20"/>
      <c r="I374" s="20"/>
      <c r="J374" s="20"/>
      <c r="K374" s="20"/>
      <c r="L374" s="20"/>
      <c r="M374" s="20"/>
      <c r="N374" s="20"/>
      <c r="O374" s="20"/>
      <c r="P374" s="25"/>
      <c r="Q374" s="25"/>
      <c r="R374" s="8" t="str">
        <f>IF(BIBLE!K254=0,"",BIBLE!K254)</f>
        <v/>
      </c>
      <c r="S374" s="55"/>
      <c r="T374" s="55"/>
      <c r="U374" s="55"/>
      <c r="V374" s="6"/>
      <c r="W374" s="298"/>
      <c r="X374" s="6"/>
      <c r="Y374" s="6"/>
      <c r="Z374" s="6"/>
      <c r="AA374" s="6"/>
      <c r="AB374" s="6"/>
      <c r="AC374" s="6"/>
      <c r="AE374" s="512"/>
      <c r="AF374" s="52"/>
      <c r="AG374" s="52"/>
      <c r="AH374" s="92"/>
      <c r="AI374" s="92"/>
      <c r="AJ374" s="92"/>
      <c r="AK374" s="743"/>
      <c r="AL374" s="743"/>
      <c r="AM374" s="743"/>
      <c r="AN374" s="743"/>
      <c r="AO374" s="743"/>
      <c r="AP374" s="743"/>
      <c r="AQ374" s="743"/>
      <c r="AR374" s="743"/>
    </row>
    <row r="375" spans="1:44" s="7" customFormat="1" ht="17" x14ac:dyDescent="0.2">
      <c r="A375" s="1358"/>
      <c r="B375" s="161" t="str">
        <f>IF(P371&gt;=R371,"Enjoué.e","")</f>
        <v>Enjoué.e</v>
      </c>
      <c r="C375" s="92"/>
      <c r="D375" s="2095">
        <v>3</v>
      </c>
      <c r="E375" s="51" t="str">
        <f t="shared" si="149"/>
        <v>x</v>
      </c>
      <c r="F375" s="20"/>
      <c r="G375" s="20"/>
      <c r="H375" s="20"/>
      <c r="I375" s="20"/>
      <c r="J375" s="20"/>
      <c r="K375" s="20"/>
      <c r="L375" s="20"/>
      <c r="M375" s="20"/>
      <c r="N375" s="20"/>
      <c r="O375" s="20"/>
      <c r="P375" s="25"/>
      <c r="Q375" s="25"/>
      <c r="R375" s="8" t="str">
        <f>IF(BIBLE!K258=0,"",BIBLE!K258)</f>
        <v/>
      </c>
      <c r="S375" s="55"/>
      <c r="T375" s="55"/>
      <c r="U375" s="55"/>
      <c r="V375" s="6"/>
      <c r="W375" s="298"/>
      <c r="X375" s="6"/>
      <c r="Y375" s="6"/>
      <c r="Z375" s="6"/>
      <c r="AA375" s="6"/>
      <c r="AB375" s="6"/>
      <c r="AC375" s="6"/>
      <c r="AE375" s="512"/>
      <c r="AF375" s="52"/>
      <c r="AG375" s="52"/>
      <c r="AH375" s="92"/>
      <c r="AI375" s="92"/>
      <c r="AJ375" s="92"/>
      <c r="AK375" s="743"/>
      <c r="AL375" s="743"/>
      <c r="AM375" s="743"/>
      <c r="AN375" s="743"/>
      <c r="AO375" s="743"/>
      <c r="AP375" s="743"/>
      <c r="AQ375" s="743"/>
      <c r="AR375" s="743"/>
    </row>
    <row r="376" spans="1:44" s="7" customFormat="1" ht="17" x14ac:dyDescent="0.2">
      <c r="A376" s="1358"/>
      <c r="B376" s="161" t="str">
        <f>IF(P371&gt;=R371,"Taciturne","")</f>
        <v>Taciturne</v>
      </c>
      <c r="C376" s="92"/>
      <c r="D376" s="2095">
        <v>4</v>
      </c>
      <c r="E376" s="51" t="str">
        <f t="shared" si="149"/>
        <v>x</v>
      </c>
      <c r="F376" s="20"/>
      <c r="G376" s="20"/>
      <c r="H376" s="20"/>
      <c r="I376" s="20"/>
      <c r="J376" s="20"/>
      <c r="K376" s="20"/>
      <c r="L376" s="20"/>
      <c r="M376" s="20"/>
      <c r="N376" s="20"/>
      <c r="O376" s="20"/>
      <c r="P376" s="25"/>
      <c r="Q376" s="25"/>
      <c r="R376" s="8" t="str">
        <f>IF(BIBLE!K259=0,"",BIBLE!K259)</f>
        <v/>
      </c>
      <c r="S376" s="55"/>
      <c r="T376" s="55"/>
      <c r="U376" s="55"/>
      <c r="V376" s="6"/>
      <c r="W376" s="298"/>
      <c r="X376" s="6"/>
      <c r="Y376" s="6"/>
      <c r="Z376" s="6"/>
      <c r="AA376" s="6"/>
      <c r="AB376" s="6"/>
      <c r="AC376" s="6"/>
      <c r="AE376" s="512"/>
      <c r="AF376" s="52"/>
      <c r="AG376" s="52"/>
      <c r="AH376" s="92"/>
      <c r="AI376" s="92"/>
      <c r="AJ376" s="92"/>
      <c r="AK376" s="743"/>
      <c r="AL376" s="743"/>
      <c r="AM376" s="743"/>
      <c r="AN376" s="743"/>
      <c r="AO376" s="743"/>
      <c r="AP376" s="743"/>
      <c r="AQ376" s="743"/>
      <c r="AR376" s="743"/>
    </row>
    <row r="377" spans="1:44" s="7" customFormat="1" ht="17" x14ac:dyDescent="0.2">
      <c r="A377" s="1358"/>
      <c r="B377" s="161" t="str">
        <f>IF(P371&gt;=R371,"Anxieux","")</f>
        <v>Anxieux</v>
      </c>
      <c r="C377" s="92"/>
      <c r="D377" s="2095">
        <v>5</v>
      </c>
      <c r="E377" s="51">
        <f>IF(P$372=D377,1,"x")</f>
        <v>1</v>
      </c>
      <c r="F377" s="20"/>
      <c r="G377" s="20"/>
      <c r="H377" s="20"/>
      <c r="I377" s="20"/>
      <c r="J377" s="20"/>
      <c r="K377" s="20"/>
      <c r="L377" s="20"/>
      <c r="M377" s="20"/>
      <c r="N377" s="20"/>
      <c r="O377" s="20"/>
      <c r="P377" s="25"/>
      <c r="Q377" s="25"/>
      <c r="R377" s="8" t="str">
        <f>IF(BIBLE!K260=0,"",BIBLE!K260)</f>
        <v/>
      </c>
      <c r="S377" s="55"/>
      <c r="T377" s="55"/>
      <c r="U377" s="55"/>
      <c r="V377" s="6"/>
      <c r="W377" s="298"/>
      <c r="X377" s="6"/>
      <c r="Y377" s="6"/>
      <c r="Z377" s="6"/>
      <c r="AA377" s="6"/>
      <c r="AB377" s="6"/>
      <c r="AC377" s="6"/>
      <c r="AE377" s="512"/>
      <c r="AF377" s="52"/>
      <c r="AG377" s="52"/>
      <c r="AH377" s="92"/>
      <c r="AI377" s="92"/>
      <c r="AJ377" s="92"/>
      <c r="AK377" s="743"/>
      <c r="AL377" s="743"/>
      <c r="AM377" s="743"/>
      <c r="AN377" s="743"/>
      <c r="AO377" s="743"/>
      <c r="AP377" s="743"/>
      <c r="AQ377" s="743"/>
      <c r="AR377" s="743"/>
    </row>
    <row r="378" spans="1:44" s="7" customFormat="1" ht="17" x14ac:dyDescent="0.2">
      <c r="A378" s="1358"/>
      <c r="B378" s="161" t="str">
        <f>IF(P371&gt;=R371,"Agressif","")</f>
        <v>Agressif</v>
      </c>
      <c r="C378" s="92"/>
      <c r="D378" s="2095">
        <v>6</v>
      </c>
      <c r="E378" s="51" t="str">
        <f t="shared" si="149"/>
        <v>x</v>
      </c>
      <c r="F378" s="20"/>
      <c r="G378" s="20"/>
      <c r="H378" s="20"/>
      <c r="I378" s="20"/>
      <c r="J378" s="20"/>
      <c r="K378" s="20"/>
      <c r="L378" s="20"/>
      <c r="M378" s="20"/>
      <c r="N378" s="20"/>
      <c r="O378" s="20"/>
      <c r="P378" s="25"/>
      <c r="Q378" s="25"/>
      <c r="R378" s="8" t="str">
        <f>IF(BIBLE!K261=0,"",BIBLE!K261)</f>
        <v/>
      </c>
      <c r="S378" s="55"/>
      <c r="T378" s="55"/>
      <c r="U378" s="55"/>
      <c r="V378" s="6"/>
      <c r="W378" s="298"/>
      <c r="X378" s="6"/>
      <c r="Y378" s="6"/>
      <c r="Z378" s="6"/>
      <c r="AA378" s="6"/>
      <c r="AB378" s="6"/>
      <c r="AC378" s="6"/>
      <c r="AE378" s="512"/>
      <c r="AF378" s="52"/>
      <c r="AG378" s="52"/>
      <c r="AH378" s="92"/>
      <c r="AI378" s="92"/>
      <c r="AJ378" s="92"/>
      <c r="AK378" s="743"/>
      <c r="AL378" s="743"/>
      <c r="AM378" s="743"/>
      <c r="AN378" s="743"/>
      <c r="AO378" s="743"/>
      <c r="AP378" s="743"/>
      <c r="AQ378" s="743"/>
      <c r="AR378" s="743"/>
    </row>
    <row r="379" spans="1:44" s="8" customFormat="1" x14ac:dyDescent="0.2">
      <c r="A379" s="1358"/>
      <c r="B379" s="161"/>
      <c r="C379" s="23"/>
      <c r="D379" s="1978"/>
      <c r="P379" s="24"/>
      <c r="Q379" s="25"/>
      <c r="R379" s="6"/>
      <c r="AE379" s="512"/>
      <c r="AF379" s="52"/>
      <c r="AG379" s="52"/>
      <c r="AH379" s="92"/>
      <c r="AI379" s="92"/>
      <c r="AJ379" s="92"/>
      <c r="AK379" s="743"/>
      <c r="AL379" s="743"/>
      <c r="AM379" s="743"/>
      <c r="AN379" s="743"/>
      <c r="AO379" s="743"/>
      <c r="AP379" s="743"/>
      <c r="AQ379" s="743"/>
      <c r="AR379" s="743"/>
    </row>
    <row r="380" spans="1:44" s="8" customFormat="1" x14ac:dyDescent="0.2">
      <c r="A380" s="1358"/>
      <c r="B380" s="331"/>
      <c r="C380" s="124"/>
      <c r="D380" s="1978"/>
      <c r="E380" s="54"/>
      <c r="F380" s="54"/>
      <c r="K380" s="7"/>
      <c r="L380" s="89"/>
      <c r="M380" s="6"/>
      <c r="N380" s="536"/>
      <c r="O380" s="54"/>
      <c r="P380" s="54"/>
      <c r="V380" s="487">
        <f>SUM(V263:V379)</f>
        <v>260</v>
      </c>
      <c r="X380" s="487">
        <f t="shared" ref="X380:AC380" si="150">SUM(X263:X379)</f>
        <v>0</v>
      </c>
      <c r="Y380" s="487">
        <f t="shared" si="150"/>
        <v>54</v>
      </c>
      <c r="Z380" s="487">
        <f t="shared" si="150"/>
        <v>108</v>
      </c>
      <c r="AA380" s="487">
        <f t="shared" si="150"/>
        <v>216</v>
      </c>
      <c r="AB380" s="487">
        <f t="shared" si="150"/>
        <v>378</v>
      </c>
      <c r="AC380" s="487">
        <f t="shared" si="150"/>
        <v>540</v>
      </c>
      <c r="AD380" s="80">
        <f>V380/AC380</f>
        <v>0.48148148148148145</v>
      </c>
      <c r="AE380" s="1469">
        <f t="shared" ref="AE380:AR380" si="151">SUM(AE263:AE369)</f>
        <v>0</v>
      </c>
      <c r="AF380" s="2053"/>
      <c r="AG380" s="2053"/>
      <c r="AH380" s="1470">
        <f t="shared" si="151"/>
        <v>151</v>
      </c>
      <c r="AI380" s="1470">
        <f t="shared" si="151"/>
        <v>84</v>
      </c>
      <c r="AJ380" s="1470">
        <f t="shared" si="151"/>
        <v>11</v>
      </c>
      <c r="AK380" s="1471">
        <f t="shared" si="151"/>
        <v>28</v>
      </c>
      <c r="AL380" s="1471">
        <f t="shared" si="151"/>
        <v>12</v>
      </c>
      <c r="AM380" s="1471">
        <f t="shared" si="151"/>
        <v>12</v>
      </c>
      <c r="AN380" s="1471">
        <f t="shared" si="151"/>
        <v>18</v>
      </c>
      <c r="AO380" s="1471">
        <f t="shared" si="151"/>
        <v>60</v>
      </c>
      <c r="AP380" s="1471">
        <f t="shared" si="151"/>
        <v>28</v>
      </c>
      <c r="AQ380" s="1471">
        <f t="shared" si="151"/>
        <v>37</v>
      </c>
      <c r="AR380" s="1471">
        <f t="shared" si="151"/>
        <v>51</v>
      </c>
    </row>
    <row r="381" spans="1:44" s="8" customFormat="1" x14ac:dyDescent="0.2">
      <c r="A381" s="1358"/>
      <c r="B381" s="331"/>
      <c r="C381" s="537"/>
      <c r="D381" s="1978"/>
      <c r="E381" s="298"/>
      <c r="F381" s="298"/>
      <c r="G381" s="298"/>
      <c r="H381" s="298"/>
      <c r="I381" s="298"/>
      <c r="J381" s="298"/>
      <c r="K381" s="298"/>
      <c r="L381" s="54"/>
      <c r="M381" s="54"/>
      <c r="N381" s="54"/>
      <c r="O381" s="54"/>
      <c r="P381" s="298"/>
      <c r="V381" s="6"/>
      <c r="X381" s="6"/>
      <c r="Y381" s="6"/>
      <c r="Z381" s="6"/>
      <c r="AA381" s="6"/>
      <c r="AB381" s="6"/>
      <c r="AC381" s="6"/>
      <c r="AE381" s="1466"/>
      <c r="AF381" s="2056"/>
      <c r="AG381" s="2056"/>
      <c r="AH381" s="1467">
        <f>AH380/SUM($AH$380:$AJ$380)</f>
        <v>0.61382113821138207</v>
      </c>
      <c r="AI381" s="1467">
        <f>AI380/SUM($AH$380:$AJ$380)</f>
        <v>0.34146341463414637</v>
      </c>
      <c r="AJ381" s="1467">
        <f>AJ380/SUM($AH$380:$AJ$380)</f>
        <v>4.4715447154471545E-2</v>
      </c>
      <c r="AK381" s="1468">
        <f>AK380/SUM($AK$380:$AR$380)</f>
        <v>0.11382113821138211</v>
      </c>
      <c r="AL381" s="1468">
        <f t="shared" ref="AL381:AR381" si="152">AL380/SUM($AK$380:$AR$380)</f>
        <v>4.878048780487805E-2</v>
      </c>
      <c r="AM381" s="1468">
        <f t="shared" si="152"/>
        <v>4.878048780487805E-2</v>
      </c>
      <c r="AN381" s="1468">
        <f t="shared" si="152"/>
        <v>7.3170731707317069E-2</v>
      </c>
      <c r="AO381" s="1468">
        <f t="shared" si="152"/>
        <v>0.24390243902439024</v>
      </c>
      <c r="AP381" s="1468">
        <f t="shared" si="152"/>
        <v>0.11382113821138211</v>
      </c>
      <c r="AQ381" s="1468">
        <f t="shared" si="152"/>
        <v>0.15040650406504066</v>
      </c>
      <c r="AR381" s="1468">
        <f t="shared" si="152"/>
        <v>0.2073170731707317</v>
      </c>
    </row>
    <row r="382" spans="1:44" s="8" customFormat="1" x14ac:dyDescent="0.2">
      <c r="A382" s="1358"/>
      <c r="B382" s="331"/>
      <c r="C382" s="537"/>
      <c r="D382" s="1978"/>
      <c r="E382" s="298"/>
      <c r="F382" s="298"/>
      <c r="G382" s="298"/>
      <c r="H382" s="298"/>
      <c r="I382" s="298"/>
      <c r="J382" s="298"/>
      <c r="K382" s="298"/>
      <c r="L382" s="54"/>
      <c r="M382" s="54"/>
      <c r="N382" s="54"/>
      <c r="O382" s="54"/>
      <c r="P382" s="298"/>
      <c r="V382" s="6"/>
      <c r="X382" s="6"/>
      <c r="Y382" s="6"/>
      <c r="Z382" s="6"/>
      <c r="AA382" s="6"/>
      <c r="AB382" s="6"/>
      <c r="AC382" s="6"/>
      <c r="AE382" s="512"/>
      <c r="AF382" s="52"/>
      <c r="AG382" s="52"/>
      <c r="AH382" s="92"/>
      <c r="AI382" s="92"/>
      <c r="AJ382" s="92"/>
      <c r="AK382" s="743"/>
      <c r="AL382" s="743"/>
      <c r="AM382" s="743"/>
      <c r="AN382" s="743"/>
      <c r="AO382" s="743"/>
      <c r="AP382" s="743"/>
      <c r="AQ382" s="743"/>
      <c r="AR382" s="743"/>
    </row>
    <row r="383" spans="1:44" s="8" customFormat="1" x14ac:dyDescent="0.2">
      <c r="A383" s="1358"/>
      <c r="B383" s="331"/>
      <c r="C383" s="537"/>
      <c r="D383" s="1978"/>
      <c r="E383" s="298"/>
      <c r="F383" s="298"/>
      <c r="G383" s="298"/>
      <c r="H383" s="298"/>
      <c r="I383" s="298"/>
      <c r="J383" s="298"/>
      <c r="K383" s="298"/>
      <c r="L383" s="54"/>
      <c r="M383" s="54"/>
      <c r="N383" s="54"/>
      <c r="O383" s="54"/>
      <c r="P383" s="298"/>
      <c r="V383" s="6"/>
      <c r="X383" s="6"/>
      <c r="Y383" s="6"/>
      <c r="Z383" s="6"/>
      <c r="AA383" s="6"/>
      <c r="AB383" s="6"/>
      <c r="AC383" s="6"/>
      <c r="AE383" s="512"/>
      <c r="AF383" s="52"/>
      <c r="AG383" s="52"/>
      <c r="AH383" s="92"/>
      <c r="AI383" s="92"/>
      <c r="AJ383" s="92"/>
      <c r="AK383" s="743"/>
      <c r="AL383" s="743"/>
      <c r="AM383" s="743"/>
      <c r="AN383" s="743"/>
      <c r="AO383" s="743"/>
      <c r="AP383" s="743"/>
      <c r="AQ383" s="743"/>
      <c r="AR383" s="743"/>
    </row>
    <row r="384" spans="1:44" s="8" customFormat="1" x14ac:dyDescent="0.2">
      <c r="A384" s="1358"/>
      <c r="B384" s="331"/>
      <c r="D384" s="292"/>
      <c r="E384" s="302"/>
      <c r="P384" s="89"/>
      <c r="V384" s="6"/>
      <c r="X384" s="6"/>
      <c r="Y384" s="6"/>
      <c r="Z384" s="6"/>
      <c r="AA384" s="6"/>
      <c r="AB384" s="6"/>
      <c r="AC384" s="6"/>
      <c r="AE384" s="512"/>
      <c r="AF384" s="52"/>
      <c r="AG384" s="52"/>
      <c r="AH384" s="92"/>
      <c r="AI384" s="92"/>
      <c r="AJ384" s="92"/>
      <c r="AK384" s="743"/>
      <c r="AL384" s="743"/>
      <c r="AM384" s="743"/>
      <c r="AN384" s="743"/>
      <c r="AO384" s="743"/>
      <c r="AP384" s="743"/>
      <c r="AQ384" s="743"/>
      <c r="AR384" s="743"/>
    </row>
    <row r="385" spans="1:44" s="7" customFormat="1" x14ac:dyDescent="0.2">
      <c r="D385" s="292"/>
      <c r="V385" s="8"/>
      <c r="X385" s="8"/>
      <c r="Y385" s="8"/>
      <c r="Z385" s="8"/>
      <c r="AA385" s="8"/>
      <c r="AB385" s="8"/>
      <c r="AC385" s="8"/>
      <c r="AE385" s="512"/>
      <c r="AF385" s="52"/>
      <c r="AG385" s="52"/>
      <c r="AH385" s="92"/>
      <c r="AI385" s="92"/>
      <c r="AJ385" s="92"/>
      <c r="AK385" s="743"/>
      <c r="AL385" s="743"/>
      <c r="AM385" s="743"/>
      <c r="AN385" s="743"/>
      <c r="AO385" s="743"/>
      <c r="AP385" s="743"/>
      <c r="AQ385" s="743"/>
      <c r="AR385" s="743"/>
    </row>
    <row r="386" spans="1:44" s="7" customFormat="1" ht="37" thickBot="1" x14ac:dyDescent="0.25">
      <c r="A386" s="556" t="s">
        <v>489</v>
      </c>
      <c r="B386" s="26"/>
      <c r="C386" s="23"/>
      <c r="D386" s="596" t="s">
        <v>244</v>
      </c>
      <c r="E386" s="507">
        <f>$E$52</f>
        <v>0</v>
      </c>
      <c r="F386" s="300">
        <f>$F$52</f>
        <v>0</v>
      </c>
      <c r="G386" s="300">
        <f>$G$52</f>
        <v>1</v>
      </c>
      <c r="H386" s="300">
        <f>$H$52</f>
        <v>2</v>
      </c>
      <c r="I386" s="300">
        <f>$I$52</f>
        <v>4</v>
      </c>
      <c r="J386" s="300">
        <f>$J$52</f>
        <v>7</v>
      </c>
      <c r="K386" s="300">
        <f>$K$52</f>
        <v>10</v>
      </c>
      <c r="N386" s="54"/>
      <c r="O386" s="54"/>
      <c r="P386" s="77" t="s">
        <v>232</v>
      </c>
      <c r="Q386" s="77" t="s">
        <v>233</v>
      </c>
      <c r="R386" s="77" t="s">
        <v>242</v>
      </c>
      <c r="V386" s="8"/>
      <c r="X386" s="8"/>
      <c r="Y386" s="8"/>
      <c r="Z386" s="8"/>
      <c r="AA386" s="8"/>
      <c r="AB386" s="8"/>
      <c r="AC386" s="8"/>
      <c r="AE386" s="512"/>
      <c r="AF386" s="52"/>
      <c r="AG386" s="52"/>
      <c r="AH386" s="92"/>
      <c r="AI386" s="92"/>
      <c r="AJ386" s="92"/>
      <c r="AK386" s="743"/>
      <c r="AL386" s="743"/>
      <c r="AM386" s="743"/>
      <c r="AN386" s="743"/>
      <c r="AO386" s="743"/>
      <c r="AP386" s="743"/>
      <c r="AQ386" s="743"/>
      <c r="AR386" s="743"/>
    </row>
    <row r="387" spans="1:44" s="7" customFormat="1" ht="63" customHeight="1" thickTop="1" x14ac:dyDescent="0.2">
      <c r="A387" s="1357" t="str">
        <f>BIBLE!E213</f>
        <v>PCR20</v>
      </c>
      <c r="B387" s="157" t="str">
        <f>IF($P$312&gt;=4,BIBLE!F213,"")</f>
        <v xml:space="preserve">Au retour d’un séjour chez l’autre parent : 
Votre enfant est agressif envers vous et vous accable de reproches. Comment réagissez-vous ?
</v>
      </c>
      <c r="C387" s="124"/>
      <c r="D387" s="1527"/>
      <c r="E387" s="8"/>
      <c r="F387" s="19"/>
      <c r="G387" s="19"/>
      <c r="H387" s="19"/>
      <c r="I387" s="19"/>
      <c r="J387" s="19"/>
      <c r="K387" s="19"/>
      <c r="L387" s="19"/>
      <c r="M387" s="19"/>
      <c r="N387" s="19"/>
      <c r="O387" s="19"/>
      <c r="P387" s="1778">
        <f>'TEST_pour PROTOTYPE'!D339</f>
        <v>2</v>
      </c>
      <c r="Q387" s="25">
        <f>P387*D387</f>
        <v>0</v>
      </c>
      <c r="R387" s="298"/>
      <c r="V387" s="8"/>
      <c r="X387" s="8"/>
      <c r="Y387" s="8"/>
      <c r="Z387" s="8"/>
      <c r="AA387" s="8"/>
      <c r="AB387" s="8"/>
      <c r="AC387" s="8"/>
      <c r="AE387" s="512"/>
      <c r="AF387" s="52"/>
      <c r="AG387" s="52"/>
      <c r="AH387" s="92"/>
      <c r="AI387" s="92"/>
      <c r="AJ387" s="92"/>
      <c r="AK387" s="743"/>
      <c r="AL387" s="743"/>
      <c r="AM387" s="743"/>
      <c r="AN387" s="743"/>
      <c r="AO387" s="743"/>
      <c r="AP387" s="743"/>
      <c r="AQ387" s="743"/>
      <c r="AR387" s="743"/>
    </row>
    <row r="388" spans="1:44" s="7" customFormat="1" ht="46" customHeight="1" x14ac:dyDescent="0.2">
      <c r="A388" s="1357"/>
      <c r="B388" s="157" t="s">
        <v>1837</v>
      </c>
      <c r="C388" s="124"/>
      <c r="D388" s="1976">
        <v>1</v>
      </c>
      <c r="E388" s="51" t="str">
        <f>IF(P$387=D388,1,"x")</f>
        <v>x</v>
      </c>
      <c r="F388" s="19"/>
      <c r="G388" s="19"/>
      <c r="H388" s="19"/>
      <c r="I388" s="19"/>
      <c r="J388" s="19"/>
      <c r="K388" s="19"/>
      <c r="L388" s="19"/>
      <c r="M388" s="19"/>
      <c r="N388" s="19"/>
      <c r="O388" s="19"/>
      <c r="P388" s="24"/>
      <c r="Q388" s="25"/>
      <c r="R388" s="298"/>
      <c r="V388" s="8"/>
      <c r="X388" s="8"/>
      <c r="Y388" s="8"/>
      <c r="Z388" s="8"/>
      <c r="AA388" s="8"/>
      <c r="AB388" s="8"/>
      <c r="AC388" s="8"/>
      <c r="AE388" s="512"/>
      <c r="AF388" s="52"/>
      <c r="AG388" s="52"/>
      <c r="AH388" s="92"/>
      <c r="AI388" s="92"/>
      <c r="AJ388" s="92"/>
      <c r="AK388" s="743"/>
      <c r="AL388" s="743"/>
      <c r="AM388" s="743"/>
      <c r="AN388" s="743"/>
      <c r="AO388" s="743"/>
      <c r="AP388" s="743"/>
      <c r="AQ388" s="743"/>
      <c r="AR388" s="743"/>
    </row>
    <row r="389" spans="1:44" s="7" customFormat="1" ht="46" customHeight="1" x14ac:dyDescent="0.2">
      <c r="A389" s="1357"/>
      <c r="B389" s="157" t="s">
        <v>1838</v>
      </c>
      <c r="C389" s="124"/>
      <c r="D389" s="1976">
        <v>2</v>
      </c>
      <c r="E389" s="51">
        <f t="shared" ref="E389:E392" si="153">IF(P$387=D389,1,"x")</f>
        <v>1</v>
      </c>
      <c r="F389" s="19"/>
      <c r="G389" s="19"/>
      <c r="H389" s="19"/>
      <c r="I389" s="19"/>
      <c r="J389" s="19"/>
      <c r="K389" s="19"/>
      <c r="L389" s="19"/>
      <c r="M389" s="19"/>
      <c r="N389" s="19"/>
      <c r="O389" s="19"/>
      <c r="P389" s="24"/>
      <c r="Q389" s="25"/>
      <c r="R389" s="298"/>
      <c r="V389"/>
      <c r="X389" s="8"/>
      <c r="Y389" s="8"/>
      <c r="Z389" s="8"/>
      <c r="AA389" s="8"/>
      <c r="AB389" s="8"/>
      <c r="AC389" s="8"/>
      <c r="AE389" s="512"/>
      <c r="AF389" s="52"/>
      <c r="AG389" s="52"/>
      <c r="AH389" s="92"/>
      <c r="AI389" s="92"/>
      <c r="AJ389" s="92"/>
      <c r="AK389" s="743"/>
      <c r="AL389" s="743"/>
      <c r="AM389" s="743"/>
      <c r="AN389" s="743"/>
      <c r="AO389" s="743"/>
      <c r="AP389" s="743"/>
      <c r="AQ389" s="743"/>
      <c r="AR389" s="743"/>
    </row>
    <row r="390" spans="1:44" s="7" customFormat="1" ht="46" customHeight="1" x14ac:dyDescent="0.2">
      <c r="A390" s="1357"/>
      <c r="B390" s="157" t="s">
        <v>1839</v>
      </c>
      <c r="C390" s="124"/>
      <c r="D390" s="1976">
        <v>3</v>
      </c>
      <c r="E390" s="51" t="str">
        <f t="shared" si="153"/>
        <v>x</v>
      </c>
      <c r="F390" s="19"/>
      <c r="G390" s="19"/>
      <c r="H390" s="19"/>
      <c r="I390" s="19"/>
      <c r="J390" s="19"/>
      <c r="K390" s="19"/>
      <c r="L390" s="19"/>
      <c r="M390" s="19"/>
      <c r="N390" s="19"/>
      <c r="O390" s="19"/>
      <c r="P390" s="24"/>
      <c r="Q390" s="25"/>
      <c r="R390" s="298"/>
      <c r="V390"/>
      <c r="X390" s="8"/>
      <c r="Y390" s="8"/>
      <c r="Z390" s="8"/>
      <c r="AA390" s="8"/>
      <c r="AB390" s="8"/>
      <c r="AC390" s="8"/>
      <c r="AE390" s="512"/>
      <c r="AF390" s="52"/>
      <c r="AG390" s="52"/>
      <c r="AH390" s="92"/>
      <c r="AI390" s="92"/>
      <c r="AJ390" s="92"/>
      <c r="AK390" s="743"/>
      <c r="AL390" s="743"/>
      <c r="AM390" s="743"/>
      <c r="AN390" s="743"/>
      <c r="AO390" s="743"/>
      <c r="AP390" s="743"/>
      <c r="AQ390" s="743"/>
      <c r="AR390" s="743"/>
    </row>
    <row r="391" spans="1:44" s="7" customFormat="1" ht="46" customHeight="1" x14ac:dyDescent="0.2">
      <c r="A391" s="1357"/>
      <c r="B391" s="157" t="s">
        <v>1840</v>
      </c>
      <c r="C391" s="124"/>
      <c r="D391" s="1976">
        <v>4</v>
      </c>
      <c r="E391" s="51" t="str">
        <f t="shared" si="153"/>
        <v>x</v>
      </c>
      <c r="F391" s="19"/>
      <c r="G391" s="19"/>
      <c r="H391" s="19"/>
      <c r="I391" s="19"/>
      <c r="J391" s="19"/>
      <c r="K391" s="19"/>
      <c r="L391" s="19"/>
      <c r="M391" s="19"/>
      <c r="N391" s="19"/>
      <c r="O391" s="19"/>
      <c r="P391" s="24"/>
      <c r="Q391" s="25"/>
      <c r="R391" s="298"/>
      <c r="V391"/>
      <c r="X391" s="8"/>
      <c r="Y391" s="8"/>
      <c r="Z391" s="8"/>
      <c r="AA391" s="8"/>
      <c r="AB391" s="8"/>
      <c r="AC391" s="8"/>
      <c r="AE391" s="512"/>
      <c r="AF391" s="52"/>
      <c r="AG391" s="52"/>
      <c r="AH391" s="92"/>
      <c r="AI391" s="92"/>
      <c r="AJ391" s="92"/>
      <c r="AK391" s="743"/>
      <c r="AL391" s="743"/>
      <c r="AM391" s="743"/>
      <c r="AN391" s="743"/>
      <c r="AO391" s="743"/>
      <c r="AP391" s="743"/>
      <c r="AQ391" s="743"/>
      <c r="AR391" s="743"/>
    </row>
    <row r="392" spans="1:44" s="7" customFormat="1" ht="46" customHeight="1" x14ac:dyDescent="0.2">
      <c r="A392" s="1357"/>
      <c r="B392" s="157" t="str">
        <f>IF($P$312&gt;=4,"Aucune de ces réponses ","")</f>
        <v xml:space="preserve">Aucune de ces réponses </v>
      </c>
      <c r="C392" s="124"/>
      <c r="D392" s="1976">
        <v>5</v>
      </c>
      <c r="E392" s="51" t="str">
        <f t="shared" si="153"/>
        <v>x</v>
      </c>
      <c r="F392" s="19"/>
      <c r="G392" s="19"/>
      <c r="H392" s="19"/>
      <c r="I392" s="19"/>
      <c r="J392" s="19"/>
      <c r="K392" s="19"/>
      <c r="L392" s="19"/>
      <c r="M392" s="19"/>
      <c r="N392" s="19"/>
      <c r="O392" s="19"/>
      <c r="P392" s="24"/>
      <c r="Q392" s="25"/>
      <c r="R392" s="298"/>
      <c r="V392"/>
      <c r="X392" s="8"/>
      <c r="Y392" s="8"/>
      <c r="Z392" s="8"/>
      <c r="AA392" s="8"/>
      <c r="AB392" s="8"/>
      <c r="AC392" s="8"/>
      <c r="AE392" s="512"/>
      <c r="AF392" s="52"/>
      <c r="AG392" s="52"/>
      <c r="AH392" s="92"/>
      <c r="AI392" s="92"/>
      <c r="AJ392" s="92"/>
      <c r="AK392" s="743"/>
      <c r="AL392" s="743"/>
      <c r="AM392" s="743"/>
      <c r="AN392" s="743"/>
      <c r="AO392" s="743"/>
      <c r="AP392" s="743"/>
      <c r="AQ392" s="743"/>
      <c r="AR392" s="743"/>
    </row>
    <row r="393" spans="1:44" s="7" customFormat="1" x14ac:dyDescent="0.2">
      <c r="A393" s="1357"/>
      <c r="B393" s="157"/>
      <c r="C393" s="124"/>
      <c r="D393" s="1527"/>
      <c r="E393" s="19"/>
      <c r="F393" s="19"/>
      <c r="G393" s="19"/>
      <c r="H393" s="19"/>
      <c r="I393" s="19"/>
      <c r="J393" s="19"/>
      <c r="K393" s="19"/>
      <c r="L393" s="19"/>
      <c r="M393" s="19"/>
      <c r="N393" s="19"/>
      <c r="O393" s="19"/>
      <c r="P393" s="24"/>
      <c r="Q393" s="25"/>
      <c r="R393" s="298"/>
      <c r="V393"/>
      <c r="X393" s="8"/>
      <c r="Y393" s="8"/>
      <c r="Z393" s="8"/>
      <c r="AA393" s="8"/>
      <c r="AB393" s="8"/>
      <c r="AC393" s="8"/>
      <c r="AE393" s="512"/>
      <c r="AF393" s="52"/>
      <c r="AG393" s="52"/>
      <c r="AH393" s="92"/>
      <c r="AI393" s="92"/>
      <c r="AJ393" s="92"/>
      <c r="AK393" s="743"/>
      <c r="AL393" s="743"/>
      <c r="AM393" s="743"/>
      <c r="AN393" s="743"/>
      <c r="AO393" s="743"/>
      <c r="AP393" s="743"/>
      <c r="AQ393" s="743"/>
      <c r="AR393" s="743"/>
    </row>
    <row r="394" spans="1:44" s="7" customFormat="1" ht="60" customHeight="1" x14ac:dyDescent="0.2">
      <c r="A394" s="1357" t="str">
        <f>BIBLE!E214</f>
        <v>PCR21</v>
      </c>
      <c r="B394" s="157" t="str">
        <f>IF(OR($P$269&gt;=4,$P$325&gt;=4),BIBLE!F214,"")</f>
        <v/>
      </c>
      <c r="C394" s="124"/>
      <c r="D394" s="1527"/>
      <c r="E394" s="8"/>
      <c r="F394" s="19"/>
      <c r="G394" s="19"/>
      <c r="H394" s="19"/>
      <c r="I394" s="19"/>
      <c r="J394" s="19"/>
      <c r="K394" s="19"/>
      <c r="L394" s="19"/>
      <c r="M394" s="19"/>
      <c r="N394" s="19"/>
      <c r="O394" s="19"/>
      <c r="P394" s="1778">
        <f>'TEST_pour PROTOTYPE'!D340</f>
        <v>0</v>
      </c>
      <c r="Q394" s="25">
        <f>P394*D394</f>
        <v>0</v>
      </c>
      <c r="R394" s="298"/>
      <c r="V394" s="8"/>
      <c r="W394"/>
      <c r="X394" s="8"/>
      <c r="Y394" s="8"/>
      <c r="Z394" s="8"/>
      <c r="AA394" s="8"/>
      <c r="AB394" s="8"/>
      <c r="AC394" s="8"/>
      <c r="AE394" s="512"/>
      <c r="AF394" s="52"/>
      <c r="AG394" s="52"/>
      <c r="AH394" s="92"/>
      <c r="AI394" s="92"/>
      <c r="AJ394" s="92"/>
      <c r="AK394" s="743"/>
      <c r="AL394" s="743"/>
      <c r="AM394" s="743"/>
      <c r="AN394" s="743"/>
      <c r="AO394" s="743"/>
      <c r="AP394" s="743"/>
      <c r="AQ394" s="743"/>
      <c r="AR394" s="743"/>
    </row>
    <row r="395" spans="1:44" s="7" customFormat="1" ht="37" customHeight="1" x14ac:dyDescent="0.2">
      <c r="A395" s="1357"/>
      <c r="B395" s="157" t="s">
        <v>1841</v>
      </c>
      <c r="C395" s="124"/>
      <c r="D395" s="1976">
        <v>1</v>
      </c>
      <c r="E395" s="51" t="str">
        <f>IF(P$394=D395,1,"x")</f>
        <v>x</v>
      </c>
      <c r="F395" s="8"/>
      <c r="G395" s="8"/>
      <c r="H395" s="8"/>
      <c r="I395" s="8"/>
      <c r="J395" s="8"/>
      <c r="K395" s="8"/>
      <c r="L395" s="8"/>
      <c r="M395" s="8"/>
      <c r="N395" s="8"/>
      <c r="O395" s="8"/>
      <c r="P395" s="24"/>
      <c r="Q395" s="25"/>
      <c r="R395" s="298"/>
      <c r="V395" s="85"/>
      <c r="W395"/>
      <c r="X395" s="8"/>
      <c r="Y395" s="8"/>
      <c r="Z395" s="8"/>
      <c r="AA395" s="8"/>
      <c r="AB395" s="8"/>
      <c r="AC395" s="8"/>
      <c r="AE395" s="512"/>
      <c r="AF395" s="52"/>
      <c r="AG395" s="52"/>
      <c r="AH395" s="92"/>
      <c r="AI395" s="92"/>
      <c r="AJ395" s="92"/>
      <c r="AK395" s="743"/>
      <c r="AL395" s="743"/>
      <c r="AM395" s="743"/>
      <c r="AN395" s="743"/>
      <c r="AO395" s="743"/>
      <c r="AP395" s="743"/>
      <c r="AQ395" s="743"/>
      <c r="AR395" s="743"/>
    </row>
    <row r="396" spans="1:44" s="7" customFormat="1" ht="37" customHeight="1" x14ac:dyDescent="0.2">
      <c r="A396" s="1357"/>
      <c r="B396" s="157" t="s">
        <v>1842</v>
      </c>
      <c r="C396" s="124"/>
      <c r="D396" s="1976">
        <v>2</v>
      </c>
      <c r="E396" s="51" t="str">
        <f t="shared" ref="E396:E398" si="154">IF(P$394=D396,1,"x")</f>
        <v>x</v>
      </c>
      <c r="F396" s="8"/>
      <c r="G396" s="8"/>
      <c r="H396" s="8"/>
      <c r="I396" s="8"/>
      <c r="J396" s="8"/>
      <c r="K396" s="8"/>
      <c r="L396" s="8"/>
      <c r="M396" s="8"/>
      <c r="N396" s="8"/>
      <c r="O396" s="8"/>
      <c r="P396" s="24"/>
      <c r="Q396" s="25"/>
      <c r="R396" s="298"/>
      <c r="V396" s="8"/>
      <c r="W396"/>
      <c r="X396" s="8"/>
      <c r="Y396" s="8"/>
      <c r="Z396" s="8"/>
      <c r="AA396" s="8"/>
      <c r="AB396" s="8"/>
      <c r="AC396" s="8"/>
      <c r="AE396" s="512"/>
      <c r="AF396" s="52"/>
      <c r="AG396" s="52"/>
      <c r="AH396" s="92"/>
      <c r="AI396" s="92"/>
      <c r="AJ396" s="92"/>
      <c r="AK396" s="743"/>
      <c r="AL396" s="743"/>
      <c r="AM396" s="743"/>
      <c r="AN396" s="743"/>
      <c r="AO396" s="743"/>
      <c r="AP396" s="743"/>
      <c r="AQ396" s="743"/>
      <c r="AR396" s="743"/>
    </row>
    <row r="397" spans="1:44" s="7" customFormat="1" ht="37" customHeight="1" x14ac:dyDescent="0.2">
      <c r="A397" s="1357"/>
      <c r="B397" s="157" t="s">
        <v>1843</v>
      </c>
      <c r="C397" s="124"/>
      <c r="D397" s="1976">
        <v>3</v>
      </c>
      <c r="E397" s="51" t="str">
        <f t="shared" si="154"/>
        <v>x</v>
      </c>
      <c r="F397" s="8"/>
      <c r="G397" s="8"/>
      <c r="H397" s="8"/>
      <c r="I397" s="8"/>
      <c r="J397" s="8"/>
      <c r="K397" s="8"/>
      <c r="L397" s="8"/>
      <c r="M397" s="8"/>
      <c r="N397" s="8"/>
      <c r="O397" s="8"/>
      <c r="P397" s="24"/>
      <c r="Q397" s="25"/>
      <c r="R397" s="298"/>
      <c r="V397" s="8"/>
      <c r="W397"/>
      <c r="X397" s="8"/>
      <c r="Y397" s="8"/>
      <c r="Z397" s="8"/>
      <c r="AA397" s="8"/>
      <c r="AB397" s="8"/>
      <c r="AC397" s="8"/>
      <c r="AE397" s="512"/>
      <c r="AF397" s="52"/>
      <c r="AG397" s="52"/>
      <c r="AH397" s="92"/>
      <c r="AI397" s="92"/>
      <c r="AJ397" s="92"/>
      <c r="AK397" s="743"/>
      <c r="AL397" s="743"/>
      <c r="AM397" s="743"/>
      <c r="AN397" s="743"/>
      <c r="AO397" s="743"/>
      <c r="AP397" s="743"/>
      <c r="AQ397" s="743"/>
      <c r="AR397" s="743"/>
    </row>
    <row r="398" spans="1:44" s="7" customFormat="1" ht="37" customHeight="1" x14ac:dyDescent="0.2">
      <c r="A398" s="1357"/>
      <c r="B398" s="157" t="str">
        <f>IF(OR($P$269&gt;=4,$P$288&gt;=4),"Aucune de ces réponses","")</f>
        <v>Aucune de ces réponses</v>
      </c>
      <c r="C398" s="124"/>
      <c r="D398" s="1976">
        <v>4</v>
      </c>
      <c r="E398" s="51" t="str">
        <f t="shared" si="154"/>
        <v>x</v>
      </c>
      <c r="V398" s="8"/>
      <c r="X398" s="8"/>
      <c r="Y398" s="8"/>
      <c r="Z398" s="8"/>
      <c r="AA398" s="8"/>
      <c r="AB398" s="8"/>
      <c r="AC398" s="8"/>
      <c r="AE398" s="512"/>
      <c r="AF398" s="52"/>
      <c r="AG398" s="52"/>
      <c r="AH398" s="92"/>
      <c r="AI398" s="92"/>
      <c r="AJ398" s="92"/>
      <c r="AK398" s="743"/>
      <c r="AL398" s="743"/>
      <c r="AM398" s="743"/>
      <c r="AN398" s="743"/>
      <c r="AO398" s="743"/>
      <c r="AP398" s="743"/>
      <c r="AQ398" s="743"/>
      <c r="AR398" s="743"/>
    </row>
    <row r="399" spans="1:44" s="7" customFormat="1" x14ac:dyDescent="0.2">
      <c r="A399" s="1357"/>
      <c r="B399" s="157"/>
      <c r="D399" s="292"/>
      <c r="V399" s="8"/>
      <c r="X399" s="2199" t="s">
        <v>405</v>
      </c>
      <c r="Y399" s="2199"/>
      <c r="Z399" s="2199"/>
      <c r="AA399" s="2199"/>
      <c r="AB399" s="2199"/>
      <c r="AC399" s="2199"/>
      <c r="AE399" s="512"/>
      <c r="AF399" s="52"/>
      <c r="AG399" s="52"/>
      <c r="AH399" s="92"/>
      <c r="AI399" s="92"/>
      <c r="AJ399" s="92"/>
      <c r="AK399" s="743"/>
      <c r="AL399" s="743"/>
      <c r="AM399" s="743"/>
      <c r="AN399" s="743"/>
      <c r="AO399" s="743"/>
      <c r="AP399" s="743"/>
      <c r="AQ399" s="743"/>
      <c r="AR399" s="743"/>
    </row>
    <row r="400" spans="1:44" s="7" customFormat="1" x14ac:dyDescent="0.2">
      <c r="A400" s="129"/>
      <c r="B400" s="26"/>
      <c r="C400" s="133"/>
      <c r="D400" s="292"/>
      <c r="G400" s="8"/>
      <c r="H400" s="8"/>
      <c r="I400" s="8"/>
      <c r="J400" s="8"/>
      <c r="P400" s="89"/>
      <c r="Q400" s="6"/>
      <c r="V400" s="8"/>
      <c r="X400" s="483">
        <f>X$109</f>
        <v>0</v>
      </c>
      <c r="Y400" s="483">
        <f t="shared" ref="Y400:AC400" si="155">Y$109</f>
        <v>1</v>
      </c>
      <c r="Z400" s="483">
        <f t="shared" si="155"/>
        <v>2</v>
      </c>
      <c r="AA400" s="483">
        <f t="shared" si="155"/>
        <v>4</v>
      </c>
      <c r="AB400" s="483">
        <f t="shared" si="155"/>
        <v>7</v>
      </c>
      <c r="AC400" s="483">
        <f t="shared" si="155"/>
        <v>10</v>
      </c>
      <c r="AE400" s="512"/>
      <c r="AF400" s="52"/>
      <c r="AG400" s="52"/>
      <c r="AH400" s="92"/>
      <c r="AI400" s="92"/>
      <c r="AJ400" s="92"/>
      <c r="AK400" s="743"/>
      <c r="AL400" s="743"/>
      <c r="AM400" s="743"/>
      <c r="AN400" s="743"/>
      <c r="AO400" s="743"/>
      <c r="AP400" s="743"/>
      <c r="AQ400" s="743"/>
      <c r="AR400" s="743"/>
    </row>
    <row r="401" spans="1:71" s="7" customFormat="1" ht="37" thickBot="1" x14ac:dyDescent="0.25">
      <c r="A401" s="558" t="s">
        <v>490</v>
      </c>
      <c r="B401" s="26"/>
      <c r="C401" s="23"/>
      <c r="D401" s="596" t="s">
        <v>244</v>
      </c>
      <c r="E401" s="300">
        <f>$E$97</f>
        <v>0</v>
      </c>
      <c r="F401" s="300">
        <f>$F$97</f>
        <v>1</v>
      </c>
      <c r="G401" s="300">
        <f>$G$97</f>
        <v>2</v>
      </c>
      <c r="H401" s="300">
        <f>$H$97</f>
        <v>3</v>
      </c>
      <c r="I401" s="300">
        <f>$I$97</f>
        <v>4</v>
      </c>
      <c r="J401" s="300">
        <f>$J$97</f>
        <v>5</v>
      </c>
      <c r="K401" s="300">
        <f>$K$97</f>
        <v>6</v>
      </c>
      <c r="L401" s="300">
        <f>$L$97</f>
        <v>7</v>
      </c>
      <c r="M401" s="300">
        <f>$M$97</f>
        <v>8</v>
      </c>
      <c r="N401" s="300">
        <f>$N$97</f>
        <v>9</v>
      </c>
      <c r="O401" s="300">
        <f>$O$97</f>
        <v>10</v>
      </c>
      <c r="P401" s="77" t="s">
        <v>232</v>
      </c>
      <c r="Q401" s="77" t="s">
        <v>233</v>
      </c>
      <c r="R401" s="77" t="s">
        <v>242</v>
      </c>
      <c r="S401" s="54"/>
      <c r="T401" s="54"/>
      <c r="U401" s="54"/>
      <c r="V401" s="298"/>
      <c r="W401" s="54"/>
      <c r="AE401" s="512"/>
      <c r="AF401" s="52"/>
      <c r="AG401" s="52"/>
      <c r="AH401" s="92"/>
      <c r="AI401" s="92"/>
      <c r="AJ401" s="92"/>
      <c r="AK401" s="743"/>
      <c r="AL401" s="743"/>
      <c r="AM401" s="743"/>
      <c r="AN401" s="743"/>
      <c r="AO401" s="743"/>
      <c r="AP401" s="743"/>
      <c r="AQ401" s="743"/>
      <c r="AR401" s="743"/>
    </row>
    <row r="402" spans="1:71" s="7" customFormat="1" ht="53" customHeight="1" thickTop="1" x14ac:dyDescent="0.2">
      <c r="A402" s="1927" t="str">
        <f>BIBLE!E216</f>
        <v>NC00</v>
      </c>
      <c r="B402" s="157" t="str">
        <f>IF(P46&lt;&gt;1,BIBLE!F216,"")</f>
        <v>Comment qualifieriez-vous la relation de l'enfant avec le nouveau ou nouvelle conjoint.e du coparent?</v>
      </c>
      <c r="C402" s="8" t="str">
        <f>BIBLE!O216</f>
        <v>Aucune (1) à Excellente (10)</v>
      </c>
      <c r="D402" s="596">
        <f>BIBLE!L216</f>
        <v>1</v>
      </c>
      <c r="E402" s="19"/>
      <c r="F402" s="19"/>
      <c r="G402" s="19"/>
      <c r="H402" s="19"/>
      <c r="I402" s="19"/>
      <c r="J402" s="19"/>
      <c r="K402" s="19"/>
      <c r="L402" s="19"/>
      <c r="M402" s="19"/>
      <c r="N402" s="19"/>
      <c r="O402" s="19"/>
      <c r="P402" s="1877">
        <f>'TEST_pour PROTOTYPE'!D361</f>
        <v>7</v>
      </c>
      <c r="Q402" s="6">
        <f>P402*D402</f>
        <v>7</v>
      </c>
      <c r="R402" s="534">
        <f>BIBLE!K216</f>
        <v>5</v>
      </c>
      <c r="S402" s="54"/>
      <c r="T402" s="297"/>
      <c r="U402" s="297"/>
      <c r="V402" s="6"/>
      <c r="W402" s="8"/>
      <c r="AE402" s="512"/>
      <c r="AF402" s="52"/>
      <c r="AG402" s="52"/>
      <c r="AH402" s="92"/>
      <c r="AI402" s="92"/>
      <c r="AJ402" s="92"/>
      <c r="AK402" s="743"/>
      <c r="AL402" s="743"/>
      <c r="AM402" s="743"/>
      <c r="AN402" s="743"/>
      <c r="AO402" s="743"/>
      <c r="AP402" s="743"/>
      <c r="AQ402" s="743"/>
      <c r="AR402" s="743"/>
    </row>
    <row r="403" spans="1:71" s="7" customFormat="1" ht="35" customHeight="1" thickBot="1" x14ac:dyDescent="0.25">
      <c r="A403" s="566"/>
      <c r="B403" s="26"/>
      <c r="C403" s="8"/>
      <c r="D403" s="596" t="s">
        <v>244</v>
      </c>
      <c r="E403" s="507">
        <f>$E$52</f>
        <v>0</v>
      </c>
      <c r="F403" s="300">
        <f>$F$52</f>
        <v>0</v>
      </c>
      <c r="G403" s="300">
        <f>$G$52</f>
        <v>1</v>
      </c>
      <c r="H403" s="300">
        <v>2</v>
      </c>
      <c r="I403" s="300">
        <v>4</v>
      </c>
      <c r="J403" s="300">
        <v>7</v>
      </c>
      <c r="K403" s="300">
        <v>10</v>
      </c>
      <c r="N403" s="54"/>
      <c r="O403" s="54"/>
      <c r="P403" s="77" t="s">
        <v>232</v>
      </c>
      <c r="Q403" s="77" t="s">
        <v>233</v>
      </c>
      <c r="R403" s="77" t="s">
        <v>242</v>
      </c>
      <c r="S403" s="54"/>
      <c r="T403" s="297"/>
      <c r="U403" s="297"/>
      <c r="V403" s="6"/>
      <c r="W403" s="8"/>
      <c r="X403" s="6"/>
      <c r="Y403" s="6"/>
      <c r="Z403" s="6"/>
      <c r="AA403" s="6"/>
      <c r="AB403" s="6"/>
      <c r="AC403" s="6"/>
      <c r="AF403" s="52"/>
      <c r="AG403" s="52"/>
    </row>
    <row r="404" spans="1:71" s="7" customFormat="1" ht="75" customHeight="1" thickTop="1" x14ac:dyDescent="0.2">
      <c r="A404" s="1927" t="str">
        <f>BIBLE!E217</f>
        <v>NC01</v>
      </c>
      <c r="B404" s="157" t="str">
        <f>IF(AND(P46&lt;&gt;1,P402&gt;=R402),BIBLE!F217,"")</f>
        <v>Le nouveau ou nouvelle conjoint·e joue un rôle de confident·e auprès de votre enfant.</v>
      </c>
      <c r="C404" s="498" t="str">
        <f>BIBLE!O217</f>
        <v>Nulle / Très faible / Faible / Moyenne / Élevée / Très élevée / S.O.</v>
      </c>
      <c r="D404" s="1527">
        <f>IF(P404&lt;=2,BIBLE!M217,BIBLE!L217)</f>
        <v>0</v>
      </c>
      <c r="E404" s="19"/>
      <c r="F404" s="19"/>
      <c r="G404" s="19"/>
      <c r="H404" s="19"/>
      <c r="I404" s="19">
        <v>1</v>
      </c>
      <c r="J404" s="19"/>
      <c r="K404" s="19"/>
      <c r="L404" s="19"/>
      <c r="M404" s="19"/>
      <c r="N404" s="19"/>
      <c r="O404" s="19"/>
      <c r="P404" s="1877">
        <f>'TEST_pour PROTOTYPE'!D362</f>
        <v>2</v>
      </c>
      <c r="Q404" s="25">
        <f>P404*D404</f>
        <v>0</v>
      </c>
      <c r="R404" s="534">
        <f>BIBLE!K217</f>
        <v>4</v>
      </c>
      <c r="S404" s="54"/>
      <c r="T404" s="297"/>
      <c r="U404" s="297"/>
      <c r="V404" s="6">
        <f>IF(P404&gt;=R404,IF(Q404&gt;Q405,Q404,Q405),Q404)</f>
        <v>0</v>
      </c>
      <c r="W404" s="8"/>
      <c r="X404" s="6">
        <f t="shared" ref="X404:AC404" si="156">IF(($P404&gt;=$R404),IF($Q404&gt;$Q405,X$109*$D404,X$109*$D405),X$109*$D404)</f>
        <v>0</v>
      </c>
      <c r="Y404" s="6">
        <f t="shared" si="156"/>
        <v>0</v>
      </c>
      <c r="Z404" s="6">
        <f t="shared" si="156"/>
        <v>0</v>
      </c>
      <c r="AA404" s="6">
        <f t="shared" si="156"/>
        <v>0</v>
      </c>
      <c r="AB404" s="6">
        <f t="shared" si="156"/>
        <v>0</v>
      </c>
      <c r="AC404" s="6">
        <f t="shared" si="156"/>
        <v>0</v>
      </c>
      <c r="AE404" s="512"/>
      <c r="AF404" s="52"/>
      <c r="AG404" s="52"/>
      <c r="AH404" s="23">
        <f>IF($Q404=$V404,$Q404*BIBLE!S217,$Q405*BIBLE!S218)</f>
        <v>0</v>
      </c>
      <c r="AI404" s="23">
        <f>IF($Q404=$V404,$Q404*BIBLE!T217,$Q405*BIBLE!T218)</f>
        <v>0</v>
      </c>
      <c r="AJ404" s="23">
        <f>IF($Q404=$V404,$Q404*BIBLE!U217,$Q405*BIBLE!U218)</f>
        <v>0</v>
      </c>
      <c r="AK404" s="1458">
        <f>IF($Q404=$V404,$Q404*BIBLE!W217,$Q405*BIBLE!W218)</f>
        <v>0</v>
      </c>
      <c r="AL404" s="1458">
        <f>IF($Q404=$V404,$Q404*BIBLE!X217,$Q405*BIBLE!X218)</f>
        <v>0</v>
      </c>
      <c r="AM404" s="1458">
        <f>IF($Q404=$V404,$Q404*BIBLE!Y217,$Q405*BIBLE!Y218)</f>
        <v>0</v>
      </c>
      <c r="AN404" s="1458">
        <f>IF($Q404=$V404,$Q404*BIBLE!Z217,$Q405*BIBLE!Z218)</f>
        <v>0</v>
      </c>
      <c r="AO404" s="1458">
        <f>IF($Q404=$V404,$Q404*BIBLE!AA217,$Q405*BIBLE!AA218)</f>
        <v>0</v>
      </c>
      <c r="AP404" s="1458">
        <f>IF($Q404=$V404,$Q404*BIBLE!AB217,$Q405*BIBLE!AB218)</f>
        <v>0</v>
      </c>
      <c r="AQ404" s="1458">
        <f>IF($Q404=$V404,$Q404*BIBLE!AC217,$Q405*BIBLE!AC218)</f>
        <v>0</v>
      </c>
      <c r="AR404" s="1458">
        <f>IF($Q404=$V404,$Q404*BIBLE!AD217,$Q405*BIBLE!AD218)</f>
        <v>0</v>
      </c>
    </row>
    <row r="405" spans="1:71" s="7" customFormat="1" ht="75" customHeight="1" x14ac:dyDescent="0.2">
      <c r="A405" s="1927" t="str">
        <f>BIBLE!E218</f>
        <v>NC01a</v>
      </c>
      <c r="B405" s="157" t="str">
        <f>IF(AND(P46&lt;&gt;1,P404&gt;=R404),BIBLE!F218,"")</f>
        <v/>
      </c>
      <c r="C405" s="498" t="str">
        <f>BIBLE!O218</f>
        <v>Totalement / Grandement / Moyennement / Un peu / Très peu / Pas du tout / S.O.</v>
      </c>
      <c r="D405" s="1527">
        <f>BIBLE!L218</f>
        <v>2</v>
      </c>
      <c r="E405" s="19"/>
      <c r="F405" s="19"/>
      <c r="G405" s="19"/>
      <c r="H405" s="19"/>
      <c r="I405" s="19"/>
      <c r="J405" s="19">
        <v>1</v>
      </c>
      <c r="K405" s="19"/>
      <c r="L405" s="19"/>
      <c r="M405" s="19"/>
      <c r="N405" s="19"/>
      <c r="O405" s="19"/>
      <c r="P405" s="1877">
        <f>'TEST_pour PROTOTYPE'!D363</f>
        <v>0</v>
      </c>
      <c r="Q405" s="25">
        <f t="shared" ref="Q405:Q425" si="157">P405*D405</f>
        <v>0</v>
      </c>
      <c r="R405" s="298"/>
      <c r="S405" s="54"/>
      <c r="T405" s="297"/>
      <c r="U405" s="297"/>
      <c r="V405" s="16"/>
      <c r="W405" s="297"/>
      <c r="X405" s="6"/>
      <c r="Y405" s="6"/>
      <c r="Z405" s="6"/>
      <c r="AA405" s="6"/>
      <c r="AB405" s="6"/>
      <c r="AC405" s="6"/>
      <c r="AE405" s="512"/>
      <c r="AF405" s="52"/>
      <c r="AG405" s="52"/>
      <c r="AH405" s="92"/>
      <c r="AI405" s="92"/>
      <c r="AJ405" s="92"/>
      <c r="AK405" s="743"/>
      <c r="AL405" s="743"/>
      <c r="AM405" s="743"/>
      <c r="AN405" s="743"/>
      <c r="AO405" s="743"/>
      <c r="AP405" s="743"/>
      <c r="AQ405" s="743"/>
      <c r="AR405" s="743"/>
    </row>
    <row r="406" spans="1:71" s="7" customFormat="1" ht="75" customHeight="1" x14ac:dyDescent="0.2">
      <c r="A406" s="1359" t="str">
        <f>BIBLE!E219</f>
        <v>NC02</v>
      </c>
      <c r="B406" s="157" t="str">
        <f>IF(AND(P46&lt;&gt;1,P59&gt;=3),BIBLE!F219,"")</f>
        <v>Le nouveau ou nouvelle conjoint·e laisse entendre à votre enfant qu’il ou elle n’est pas en sécurité avec vous.</v>
      </c>
      <c r="C406" s="498" t="str">
        <f>BIBLE!O219</f>
        <v>Nulle / Très faible / Faible / Moyenne / Élevée / Très élevée / S.O.</v>
      </c>
      <c r="D406" s="1527">
        <f>BIBLE!L219</f>
        <v>2</v>
      </c>
      <c r="E406" s="19"/>
      <c r="F406" s="19"/>
      <c r="G406" s="19"/>
      <c r="H406" s="19"/>
      <c r="I406" s="19"/>
      <c r="J406" s="19">
        <v>1</v>
      </c>
      <c r="K406" s="19"/>
      <c r="L406" s="19"/>
      <c r="M406" s="19"/>
      <c r="N406" s="19"/>
      <c r="O406" s="19"/>
      <c r="P406" s="1877">
        <f>'TEST_pour PROTOTYPE'!D364</f>
        <v>0</v>
      </c>
      <c r="Q406" s="25">
        <f>P406*D406</f>
        <v>0</v>
      </c>
      <c r="R406" s="298"/>
      <c r="S406" s="54"/>
      <c r="T406" s="54"/>
      <c r="U406" s="54"/>
      <c r="V406" s="6">
        <f t="shared" ref="V406:V426" si="158">Q406</f>
        <v>0</v>
      </c>
      <c r="W406" s="298"/>
      <c r="X406" s="6">
        <f t="shared" ref="X406:AC426" si="159">IF($Q406&gt;0,X$109*$D406,0)</f>
        <v>0</v>
      </c>
      <c r="Y406" s="6">
        <f t="shared" si="159"/>
        <v>0</v>
      </c>
      <c r="Z406" s="6">
        <f t="shared" si="159"/>
        <v>0</v>
      </c>
      <c r="AA406" s="6">
        <f t="shared" si="159"/>
        <v>0</v>
      </c>
      <c r="AB406" s="6">
        <f t="shared" si="159"/>
        <v>0</v>
      </c>
      <c r="AC406" s="6">
        <f t="shared" si="159"/>
        <v>0</v>
      </c>
      <c r="AE406" s="512"/>
      <c r="AF406" s="52"/>
      <c r="AG406" s="52"/>
      <c r="AH406" s="23">
        <f>$V406*BIBLE!S219</f>
        <v>0</v>
      </c>
      <c r="AI406" s="23">
        <f>$V406*BIBLE!T219</f>
        <v>0</v>
      </c>
      <c r="AJ406" s="23">
        <f>$V406*BIBLE!U219</f>
        <v>0</v>
      </c>
      <c r="AK406" s="1458">
        <f>$V406*BIBLE!W219</f>
        <v>0</v>
      </c>
      <c r="AL406" s="1458">
        <f>$V406*BIBLE!X219</f>
        <v>0</v>
      </c>
      <c r="AM406" s="1458">
        <f>$V406*BIBLE!Y219</f>
        <v>0</v>
      </c>
      <c r="AN406" s="1458">
        <f>$V406*BIBLE!Z219</f>
        <v>0</v>
      </c>
      <c r="AO406" s="1458">
        <f>$V406*BIBLE!AA219</f>
        <v>0</v>
      </c>
      <c r="AP406" s="1458">
        <f>$V406*BIBLE!AB219</f>
        <v>0</v>
      </c>
      <c r="AQ406" s="1458">
        <f>$V406*BIBLE!AC219</f>
        <v>0</v>
      </c>
      <c r="AR406" s="1458">
        <f>$V406*BIBLE!AD219</f>
        <v>0</v>
      </c>
    </row>
    <row r="407" spans="1:71" s="7" customFormat="1" ht="75" customHeight="1" x14ac:dyDescent="0.2">
      <c r="A407" s="1359" t="str">
        <f>BIBLE!E220</f>
        <v>NC03</v>
      </c>
      <c r="B407" s="157" t="str">
        <f>IF(P46&lt;&gt;1,BIBLE!F220,"")</f>
        <v>Le nouveau ou nouvelle conjoint·e vous salue lors de changements de garde, à l'école ou lors d'événements culturels ou sportifs.</v>
      </c>
      <c r="C407" s="498" t="str">
        <f>BIBLE!O220</f>
        <v>Toujours / Souvent / Régulièrement / Occasionnellement / Rarement / Jamais / S.O.</v>
      </c>
      <c r="D407" s="1527">
        <f>BIBLE!L220</f>
        <v>1</v>
      </c>
      <c r="E407" s="19"/>
      <c r="F407" s="19"/>
      <c r="G407" s="19"/>
      <c r="H407" s="19"/>
      <c r="I407" s="19"/>
      <c r="J407" s="19">
        <v>1</v>
      </c>
      <c r="K407" s="19"/>
      <c r="L407" s="19"/>
      <c r="M407" s="19"/>
      <c r="N407" s="19"/>
      <c r="O407" s="19"/>
      <c r="P407" s="1877">
        <f>'TEST_pour PROTOTYPE'!D365</f>
        <v>7</v>
      </c>
      <c r="Q407" s="25">
        <f>P407*D407</f>
        <v>7</v>
      </c>
      <c r="R407" s="118"/>
      <c r="S407" s="492"/>
      <c r="T407" s="492"/>
      <c r="U407" s="492"/>
      <c r="V407" s="6">
        <f t="shared" si="158"/>
        <v>7</v>
      </c>
      <c r="W407" s="298"/>
      <c r="X407" s="6">
        <f t="shared" si="159"/>
        <v>0</v>
      </c>
      <c r="Y407" s="6">
        <f t="shared" si="159"/>
        <v>1</v>
      </c>
      <c r="Z407" s="6">
        <f t="shared" si="159"/>
        <v>2</v>
      </c>
      <c r="AA407" s="6">
        <f t="shared" si="159"/>
        <v>4</v>
      </c>
      <c r="AB407" s="6">
        <f t="shared" si="159"/>
        <v>7</v>
      </c>
      <c r="AC407" s="6">
        <f t="shared" si="159"/>
        <v>10</v>
      </c>
      <c r="AE407" s="512"/>
      <c r="AF407" s="52"/>
      <c r="AG407" s="52"/>
      <c r="AH407" s="23">
        <f>$V407*BIBLE!S220</f>
        <v>7</v>
      </c>
      <c r="AI407" s="23">
        <f>$V407*BIBLE!T220</f>
        <v>0</v>
      </c>
      <c r="AJ407" s="23">
        <f>$V407*BIBLE!U220</f>
        <v>0</v>
      </c>
      <c r="AK407" s="1458">
        <f>$V407*BIBLE!W220</f>
        <v>0</v>
      </c>
      <c r="AL407" s="1458">
        <f>$V407*BIBLE!X220</f>
        <v>0</v>
      </c>
      <c r="AM407" s="1458">
        <f>$V407*BIBLE!Y220</f>
        <v>7</v>
      </c>
      <c r="AN407" s="1458">
        <f>$V407*BIBLE!Z220</f>
        <v>0</v>
      </c>
      <c r="AO407" s="1458">
        <f>$V407*BIBLE!AA220</f>
        <v>0</v>
      </c>
      <c r="AP407" s="1458">
        <f>$V407*BIBLE!AB220</f>
        <v>0</v>
      </c>
      <c r="AQ407" s="1458">
        <f>$V407*BIBLE!AC220</f>
        <v>0</v>
      </c>
      <c r="AR407" s="1458">
        <f>$V407*BIBLE!AD220</f>
        <v>0</v>
      </c>
    </row>
    <row r="408" spans="1:71" s="7" customFormat="1" ht="23" customHeight="1" x14ac:dyDescent="0.2">
      <c r="A408" s="1359" t="str">
        <f>BIBLE!E221</f>
        <v>NC04</v>
      </c>
      <c r="B408" s="2231" t="str">
        <f>IF(P46&lt;&gt;1,BIBLE!F221,"")</f>
        <v>Comment qualifieriez-vous votre relation avec le nouveau ou nouvelle conjoint·e de l'autre parent ?</v>
      </c>
      <c r="C408" s="92"/>
      <c r="D408" s="91"/>
      <c r="E408" s="19"/>
      <c r="F408" s="19"/>
      <c r="G408" s="19"/>
      <c r="H408" s="19"/>
      <c r="I408" s="19"/>
      <c r="J408" s="19"/>
      <c r="K408" s="19"/>
      <c r="L408" s="19"/>
      <c r="M408" s="19"/>
      <c r="N408" s="19"/>
      <c r="O408" s="19"/>
      <c r="P408" s="1877">
        <f>'TEST_pour PROTOTYPE'!D366</f>
        <v>3</v>
      </c>
      <c r="Q408" s="25"/>
      <c r="R408" s="118"/>
      <c r="S408" s="492"/>
      <c r="T408" s="492"/>
      <c r="U408" s="492"/>
      <c r="V408" s="6">
        <f>BL414</f>
        <v>18</v>
      </c>
      <c r="W408" s="298"/>
      <c r="X408" s="6">
        <f t="shared" ref="X408:AC408" si="160">BN414</f>
        <v>0</v>
      </c>
      <c r="Y408" s="6">
        <f t="shared" si="160"/>
        <v>6</v>
      </c>
      <c r="Z408" s="6">
        <f t="shared" si="160"/>
        <v>12</v>
      </c>
      <c r="AA408" s="6">
        <f t="shared" si="160"/>
        <v>24</v>
      </c>
      <c r="AB408" s="6">
        <f t="shared" si="160"/>
        <v>42</v>
      </c>
      <c r="AC408" s="6">
        <f t="shared" si="160"/>
        <v>60</v>
      </c>
      <c r="AE408" s="512"/>
      <c r="AF408" s="52"/>
      <c r="AG408" s="52"/>
      <c r="AH408" s="23">
        <f>$V408*BIBLE!S221</f>
        <v>0</v>
      </c>
      <c r="AI408" s="23">
        <f>$V408*BIBLE!T221</f>
        <v>0</v>
      </c>
      <c r="AJ408" s="23">
        <f>$V408*BIBLE!U221</f>
        <v>18</v>
      </c>
      <c r="AK408" s="1458">
        <f>$V408*BIBLE!W221</f>
        <v>0</v>
      </c>
      <c r="AL408" s="1458">
        <f>$V408*BIBLE!X221</f>
        <v>0</v>
      </c>
      <c r="AM408" s="1458">
        <f>$V408*BIBLE!Y221</f>
        <v>0</v>
      </c>
      <c r="AN408" s="1458">
        <f>$V408*BIBLE!Z221</f>
        <v>18</v>
      </c>
      <c r="AO408" s="1458">
        <f>$V408*BIBLE!AA221</f>
        <v>0</v>
      </c>
      <c r="AP408" s="1458">
        <f>$V408*BIBLE!AB221</f>
        <v>0</v>
      </c>
      <c r="AQ408" s="1458">
        <f>$V408*BIBLE!AC221</f>
        <v>0</v>
      </c>
      <c r="AR408" s="1458">
        <f>$V408*BIBLE!AD221</f>
        <v>0</v>
      </c>
    </row>
    <row r="409" spans="1:71" s="7" customFormat="1" ht="24" customHeight="1" x14ac:dyDescent="0.2">
      <c r="A409" s="1359"/>
      <c r="B409" s="2232"/>
      <c r="C409" s="1002" t="s">
        <v>1414</v>
      </c>
      <c r="D409" s="1976">
        <v>1</v>
      </c>
      <c r="E409" s="51" t="str">
        <f>IF(P$408=D409,1,"x")</f>
        <v>x</v>
      </c>
      <c r="F409" s="19"/>
      <c r="G409" s="19"/>
      <c r="H409" s="19"/>
      <c r="I409" s="19"/>
      <c r="J409" s="19"/>
      <c r="K409" s="19"/>
      <c r="L409" s="19"/>
      <c r="M409" s="19"/>
      <c r="N409" s="19"/>
      <c r="O409" s="19"/>
      <c r="P409" s="1787"/>
      <c r="Q409" s="25"/>
      <c r="R409" s="118"/>
      <c r="S409" s="492"/>
      <c r="T409" s="492"/>
      <c r="U409" s="492"/>
      <c r="V409" s="6"/>
      <c r="W409" s="298"/>
      <c r="X409" s="6"/>
      <c r="Y409" s="6"/>
      <c r="Z409" s="6"/>
      <c r="AA409" s="6"/>
      <c r="AB409" s="6"/>
      <c r="AC409" s="6"/>
      <c r="AE409" s="512"/>
      <c r="AF409" s="52"/>
      <c r="AG409" s="52"/>
      <c r="AH409" s="23"/>
      <c r="AI409" s="23"/>
      <c r="AJ409" s="23"/>
      <c r="AK409" s="1458"/>
      <c r="AL409" s="1458"/>
      <c r="AM409" s="1458"/>
      <c r="AN409" s="1458"/>
      <c r="AO409" s="1458"/>
      <c r="AP409" s="1458"/>
      <c r="AQ409" s="1458"/>
      <c r="AR409" s="1458"/>
    </row>
    <row r="410" spans="1:71" s="7" customFormat="1" ht="24" customHeight="1" x14ac:dyDescent="0.2">
      <c r="A410" s="1359"/>
      <c r="B410" s="157"/>
      <c r="C410" s="1002" t="s">
        <v>1415</v>
      </c>
      <c r="D410" s="1976">
        <v>2</v>
      </c>
      <c r="E410" s="51" t="str">
        <f t="shared" ref="E410:E413" si="161">IF(P$408=D410,1,"x")</f>
        <v>x</v>
      </c>
      <c r="F410" s="19"/>
      <c r="G410" s="19"/>
      <c r="H410" s="19"/>
      <c r="I410" s="19"/>
      <c r="J410" s="19"/>
      <c r="K410" s="19"/>
      <c r="L410" s="19"/>
      <c r="M410" s="19"/>
      <c r="N410" s="19"/>
      <c r="O410" s="19"/>
      <c r="P410" s="1787"/>
      <c r="Q410" s="25"/>
      <c r="R410" s="118"/>
      <c r="S410" s="492"/>
      <c r="T410" s="492"/>
      <c r="U410" s="492"/>
      <c r="V410" s="6"/>
      <c r="W410" s="298"/>
      <c r="X410" s="6"/>
      <c r="Y410" s="6"/>
      <c r="Z410" s="6"/>
      <c r="AA410" s="6"/>
      <c r="AB410" s="6"/>
      <c r="AC410" s="6"/>
      <c r="AE410" s="512"/>
      <c r="AF410" s="52"/>
      <c r="AG410" s="52"/>
      <c r="AH410" s="23"/>
      <c r="AI410" s="23"/>
      <c r="AJ410" s="23"/>
      <c r="AK410" s="1458"/>
      <c r="AL410" s="1458"/>
      <c r="AM410" s="1458"/>
      <c r="AN410" s="1458"/>
      <c r="AO410" s="1458"/>
      <c r="AP410" s="1458"/>
      <c r="AQ410" s="1458"/>
      <c r="AR410" s="1458"/>
    </row>
    <row r="411" spans="1:71" s="7" customFormat="1" ht="24" customHeight="1" x14ac:dyDescent="0.2">
      <c r="A411" s="1359"/>
      <c r="B411" s="157"/>
      <c r="C411" s="1002" t="s">
        <v>272</v>
      </c>
      <c r="D411" s="1976">
        <v>3</v>
      </c>
      <c r="E411" s="51">
        <f t="shared" si="161"/>
        <v>1</v>
      </c>
      <c r="F411" s="19"/>
      <c r="G411" s="19"/>
      <c r="H411" s="19"/>
      <c r="I411" s="19"/>
      <c r="J411" s="19"/>
      <c r="K411" s="19"/>
      <c r="L411" s="19"/>
      <c r="M411" s="19"/>
      <c r="N411" s="19"/>
      <c r="O411" s="19"/>
      <c r="P411" s="1787"/>
      <c r="Q411" s="25"/>
      <c r="R411" s="118"/>
      <c r="S411" s="492"/>
      <c r="T411" s="492"/>
      <c r="U411" s="492"/>
      <c r="V411" s="6"/>
      <c r="W411" s="298"/>
      <c r="X411" s="6"/>
      <c r="Y411" s="6"/>
      <c r="Z411" s="6"/>
      <c r="AA411" s="6"/>
      <c r="AB411" s="6"/>
      <c r="AC411" s="6"/>
      <c r="AE411" s="512"/>
      <c r="AF411" s="52"/>
      <c r="AG411" s="52"/>
      <c r="AH411" s="23"/>
      <c r="AI411" s="23"/>
      <c r="AJ411" s="23"/>
      <c r="AK411" s="1458"/>
      <c r="AL411" s="1458"/>
      <c r="AM411" s="1458"/>
      <c r="AN411" s="1458"/>
      <c r="AO411" s="1458"/>
      <c r="AP411" s="1458"/>
      <c r="AQ411" s="1458"/>
      <c r="AR411" s="1458"/>
    </row>
    <row r="412" spans="1:71" s="7" customFormat="1" ht="24" customHeight="1" x14ac:dyDescent="0.2">
      <c r="A412" s="1359"/>
      <c r="B412" s="157"/>
      <c r="C412" s="1002" t="s">
        <v>1416</v>
      </c>
      <c r="D412" s="1976">
        <v>4</v>
      </c>
      <c r="E412" s="51" t="str">
        <f t="shared" si="161"/>
        <v>x</v>
      </c>
      <c r="F412" s="19"/>
      <c r="G412" s="19"/>
      <c r="H412" s="19"/>
      <c r="I412" s="19"/>
      <c r="J412" s="19"/>
      <c r="K412" s="19"/>
      <c r="L412" s="19"/>
      <c r="M412" s="19"/>
      <c r="N412" s="19"/>
      <c r="O412" s="19"/>
      <c r="P412" s="1787"/>
      <c r="Q412" s="25"/>
      <c r="R412" s="118"/>
      <c r="S412" s="492"/>
      <c r="T412" s="492"/>
      <c r="U412" s="492"/>
      <c r="V412" s="6"/>
      <c r="W412" s="298"/>
      <c r="X412" s="6"/>
      <c r="Y412" s="6"/>
      <c r="Z412" s="6"/>
      <c r="AA412" s="6"/>
      <c r="AB412" s="6"/>
      <c r="AC412" s="6"/>
      <c r="AE412" s="512"/>
      <c r="AF412" s="52"/>
      <c r="AG412" s="52"/>
      <c r="AH412" s="23"/>
      <c r="AI412" s="23"/>
      <c r="AJ412" s="23"/>
      <c r="AK412" s="1458"/>
      <c r="AL412" s="1458"/>
      <c r="AM412" s="1458"/>
      <c r="AN412" s="1458"/>
      <c r="AO412" s="1458"/>
      <c r="AP412" s="1458"/>
      <c r="AQ412" s="1458"/>
      <c r="AR412" s="1458"/>
    </row>
    <row r="413" spans="1:71" s="7" customFormat="1" ht="24" customHeight="1" x14ac:dyDescent="0.2">
      <c r="A413" s="1359"/>
      <c r="B413" s="157"/>
      <c r="C413" s="1002" t="s">
        <v>1417</v>
      </c>
      <c r="D413" s="1976">
        <v>5</v>
      </c>
      <c r="E413" s="51" t="str">
        <f t="shared" si="161"/>
        <v>x</v>
      </c>
      <c r="F413" s="19"/>
      <c r="G413" s="19"/>
      <c r="H413" s="19"/>
      <c r="I413" s="19"/>
      <c r="J413" s="19"/>
      <c r="K413" s="19"/>
      <c r="L413" s="19"/>
      <c r="M413" s="19"/>
      <c r="N413" s="19"/>
      <c r="O413" s="19"/>
      <c r="P413" s="1787"/>
      <c r="Q413" s="25"/>
      <c r="R413" s="118"/>
      <c r="S413" s="492"/>
      <c r="T413" s="492"/>
      <c r="U413" s="492"/>
      <c r="V413" s="6"/>
      <c r="W413" s="298"/>
      <c r="X413" s="6"/>
      <c r="Y413" s="6"/>
      <c r="Z413" s="6"/>
      <c r="AA413" s="6"/>
      <c r="AB413" s="6"/>
      <c r="AC413" s="6"/>
      <c r="AE413" s="512"/>
      <c r="AF413" s="52"/>
      <c r="AG413" s="52"/>
      <c r="AH413" s="23"/>
      <c r="AI413" s="23"/>
      <c r="AJ413" s="23"/>
      <c r="AK413" s="1458"/>
      <c r="AL413" s="1458"/>
      <c r="AM413" s="1458"/>
      <c r="AN413" s="1458"/>
      <c r="AO413" s="1458"/>
      <c r="AP413" s="1458"/>
      <c r="AQ413" s="1458"/>
      <c r="AR413" s="1458"/>
      <c r="BB413" s="17" t="s">
        <v>1487</v>
      </c>
      <c r="BL413" s="17" t="s">
        <v>1488</v>
      </c>
    </row>
    <row r="414" spans="1:71" s="7" customFormat="1" ht="44" customHeight="1" x14ac:dyDescent="0.2">
      <c r="A414" s="1359" t="str">
        <f>BIBLE!E222</f>
        <v>NC04a</v>
      </c>
      <c r="B414" s="157" t="str">
        <f>IF(P408&gt;=3,BIBLE!F222,"")</f>
        <v>Le nouveau ou nouvelle conjoint·e dénigre vos compétences parentales par texto, courriel ou autres?</v>
      </c>
      <c r="C414" s="498" t="str">
        <f>BIBLE!O223</f>
        <v xml:space="preserve">Jamais / Rarement / Occasionnellement / Régulièrement / Souvent / Toujours / S.O. </v>
      </c>
      <c r="D414" s="1527">
        <f>BIBLE!L223</f>
        <v>3</v>
      </c>
      <c r="E414" s="19"/>
      <c r="F414" s="19"/>
      <c r="G414" s="19"/>
      <c r="H414" s="19"/>
      <c r="I414" s="19">
        <v>1</v>
      </c>
      <c r="J414" s="19"/>
      <c r="K414" s="19"/>
      <c r="L414" s="19"/>
      <c r="M414" s="19"/>
      <c r="N414" s="19"/>
      <c r="O414" s="19"/>
      <c r="P414" s="1877">
        <f>'TEST_pour PROTOTYPE'!D367</f>
        <v>4</v>
      </c>
      <c r="Q414" s="25">
        <f>P414*D414</f>
        <v>12</v>
      </c>
      <c r="R414" s="298">
        <f>BIBLE!K222</f>
        <v>2</v>
      </c>
      <c r="S414" s="54"/>
      <c r="T414" s="54"/>
      <c r="U414" s="54"/>
      <c r="V414" s="6"/>
      <c r="W414" s="298"/>
      <c r="X414" s="6"/>
      <c r="Y414" s="6"/>
      <c r="Z414" s="6"/>
      <c r="AA414" s="6"/>
      <c r="AB414" s="6"/>
      <c r="AC414" s="6"/>
      <c r="AE414" s="512"/>
      <c r="AF414" s="52"/>
      <c r="AG414" s="52"/>
      <c r="AH414" s="23"/>
      <c r="AI414" s="23"/>
      <c r="AJ414" s="23"/>
      <c r="AK414" s="1458"/>
      <c r="AL414" s="1458"/>
      <c r="AM414" s="1458"/>
      <c r="AN414" s="1458"/>
      <c r="AO414" s="1458"/>
      <c r="AP414" s="1458"/>
      <c r="AQ414" s="1458"/>
      <c r="AR414" s="1458"/>
      <c r="AS414" s="6">
        <f>Q414</f>
        <v>12</v>
      </c>
      <c r="AT414" s="16"/>
      <c r="AU414" s="6">
        <f>IF($Q414&gt;0,X$109*$D414,0)</f>
        <v>0</v>
      </c>
      <c r="AV414" s="6">
        <f t="shared" ref="AV414" si="162">IF($Q414&gt;0,Y$109*$D414,0)</f>
        <v>3</v>
      </c>
      <c r="AW414" s="6">
        <f t="shared" ref="AW414" si="163">IF($Q414&gt;0,Z$109*$D414,0)</f>
        <v>6</v>
      </c>
      <c r="AX414" s="6">
        <f t="shared" ref="AX414" si="164">IF($Q414&gt;0,AA$109*$D414,0)</f>
        <v>12</v>
      </c>
      <c r="AY414" s="6">
        <f t="shared" ref="AY414" si="165">IF($Q414&gt;0,AB$109*$D414,0)</f>
        <v>21</v>
      </c>
      <c r="AZ414" s="6">
        <f t="shared" ref="AZ414" si="166">IF($Q414&gt;0,AC$109*$D414,0)</f>
        <v>30</v>
      </c>
      <c r="BB414" s="562">
        <f>MAX(AS414:AS415)</f>
        <v>12</v>
      </c>
      <c r="BD414" s="562">
        <f t="shared" ref="BD414:BI414" si="167">MAX(AU414:AU415)</f>
        <v>0</v>
      </c>
      <c r="BE414" s="562">
        <f t="shared" si="167"/>
        <v>3</v>
      </c>
      <c r="BF414" s="562">
        <f t="shared" si="167"/>
        <v>6</v>
      </c>
      <c r="BG414" s="562">
        <f t="shared" si="167"/>
        <v>12</v>
      </c>
      <c r="BH414" s="562">
        <f t="shared" si="167"/>
        <v>21</v>
      </c>
      <c r="BI414" s="562">
        <f t="shared" si="167"/>
        <v>30</v>
      </c>
      <c r="BL414" s="562">
        <f>BB414+AS416</f>
        <v>18</v>
      </c>
      <c r="BN414" s="562">
        <f t="shared" ref="BN414:BS414" si="168">BD414+AU416</f>
        <v>0</v>
      </c>
      <c r="BO414" s="562">
        <f t="shared" si="168"/>
        <v>6</v>
      </c>
      <c r="BP414" s="562">
        <f t="shared" si="168"/>
        <v>12</v>
      </c>
      <c r="BQ414" s="562">
        <f t="shared" si="168"/>
        <v>24</v>
      </c>
      <c r="BR414" s="562">
        <f t="shared" si="168"/>
        <v>42</v>
      </c>
      <c r="BS414" s="562">
        <f t="shared" si="168"/>
        <v>60</v>
      </c>
    </row>
    <row r="415" spans="1:71" s="7" customFormat="1" ht="44" customHeight="1" x14ac:dyDescent="0.2">
      <c r="A415" s="1359" t="str">
        <f>BIBLE!E223</f>
        <v>NC04a1</v>
      </c>
      <c r="B415" s="157" t="str">
        <f>IF(P414&gt;=R414,BIBLE!F223,"")</f>
        <v>Arrive-t-il que le nouveau ou nouvelle conjoint·e vous critique ou dénigre vos compétences parentales devant votre enfant ?</v>
      </c>
      <c r="C415" s="498" t="str">
        <f>BIBLE!O222</f>
        <v xml:space="preserve">Jamais / Rarement / Occasionnellement / Régulièrement / Souvent / Toujours / S.O. </v>
      </c>
      <c r="D415" s="1527">
        <f>BIBLE!L222</f>
        <v>3</v>
      </c>
      <c r="E415" s="19"/>
      <c r="F415" s="19"/>
      <c r="G415" s="19">
        <v>1</v>
      </c>
      <c r="H415" s="19"/>
      <c r="I415" s="19"/>
      <c r="J415" s="19"/>
      <c r="K415" s="19"/>
      <c r="L415" s="19"/>
      <c r="M415" s="19"/>
      <c r="N415" s="19"/>
      <c r="O415" s="19"/>
      <c r="P415" s="1877">
        <f>'TEST_pour PROTOTYPE'!D368</f>
        <v>2</v>
      </c>
      <c r="Q415" s="25">
        <f>P415*D415</f>
        <v>6</v>
      </c>
      <c r="R415" s="298"/>
      <c r="S415" s="54"/>
      <c r="T415" s="54"/>
      <c r="U415" s="54"/>
      <c r="V415" s="6"/>
      <c r="W415" s="298"/>
      <c r="X415" s="6"/>
      <c r="Y415" s="6"/>
      <c r="Z415" s="6"/>
      <c r="AA415" s="6"/>
      <c r="AB415" s="6"/>
      <c r="AC415" s="6"/>
      <c r="AE415" s="512"/>
      <c r="AF415" s="52"/>
      <c r="AG415" s="52"/>
      <c r="AH415" s="23"/>
      <c r="AI415" s="23"/>
      <c r="AJ415" s="23"/>
      <c r="AK415" s="1458"/>
      <c r="AL415" s="1458"/>
      <c r="AM415" s="1458"/>
      <c r="AN415" s="1458"/>
      <c r="AO415" s="1458"/>
      <c r="AP415" s="1458"/>
      <c r="AQ415" s="1458"/>
      <c r="AR415" s="1458"/>
      <c r="AS415" s="6">
        <f t="shared" ref="AS415:AS416" si="169">Q415</f>
        <v>6</v>
      </c>
      <c r="AT415" s="16"/>
      <c r="AU415" s="6">
        <f t="shared" ref="AU415:AU416" si="170">IF($Q415&gt;0,X$109*$D415,0)</f>
        <v>0</v>
      </c>
      <c r="AV415" s="6">
        <f t="shared" ref="AV415:AV416" si="171">IF($Q415&gt;0,Y$109*$D415,0)</f>
        <v>3</v>
      </c>
      <c r="AW415" s="6">
        <f t="shared" ref="AW415:AW416" si="172">IF($Q415&gt;0,Z$109*$D415,0)</f>
        <v>6</v>
      </c>
      <c r="AX415" s="6">
        <f t="shared" ref="AX415:AX416" si="173">IF($Q415&gt;0,AA$109*$D415,0)</f>
        <v>12</v>
      </c>
      <c r="AY415" s="6">
        <f t="shared" ref="AY415:AY416" si="174">IF($Q415&gt;0,AB$109*$D415,0)</f>
        <v>21</v>
      </c>
      <c r="AZ415" s="6">
        <f t="shared" ref="AZ415:AZ416" si="175">IF($Q415&gt;0,AC$109*$D415,0)</f>
        <v>30</v>
      </c>
      <c r="BB415" s="562"/>
      <c r="BD415" s="562"/>
      <c r="BE415" s="562"/>
      <c r="BF415" s="562"/>
      <c r="BG415" s="562"/>
      <c r="BH415" s="562"/>
      <c r="BI415" s="562"/>
    </row>
    <row r="416" spans="1:71" s="7" customFormat="1" ht="53" customHeight="1" x14ac:dyDescent="0.2">
      <c r="A416" s="1359" t="str">
        <f>BIBLE!E224</f>
        <v>NC04b</v>
      </c>
      <c r="B416" s="157" t="str">
        <f>IF(AND(P42&lt;&gt;1,P408&gt;=3),BIBLE!F224,"")</f>
        <v xml:space="preserve">Arrive-t-il que le nouveau ou nouvelle conjoint·e dénigre votre famille devant votre enfant ? </v>
      </c>
      <c r="C416" s="498" t="str">
        <f>BIBLE!O224</f>
        <v xml:space="preserve">Jamais / Rarement / Occasionnellement / Régulièrement / Souvent / Toujours / S.O. </v>
      </c>
      <c r="D416" s="1527">
        <f>BIBLE!L224</f>
        <v>3</v>
      </c>
      <c r="E416" s="19"/>
      <c r="F416" s="19"/>
      <c r="G416" s="19"/>
      <c r="H416" s="19"/>
      <c r="I416" s="19"/>
      <c r="J416" s="19"/>
      <c r="K416" s="19"/>
      <c r="L416" s="19"/>
      <c r="M416" s="19"/>
      <c r="N416" s="19"/>
      <c r="O416" s="19"/>
      <c r="P416" s="1877">
        <f>'TEST_pour PROTOTYPE'!D369</f>
        <v>2</v>
      </c>
      <c r="Q416" s="25">
        <f t="shared" si="157"/>
        <v>6</v>
      </c>
      <c r="R416" s="298"/>
      <c r="S416" s="54"/>
      <c r="T416" s="54"/>
      <c r="U416" s="54"/>
      <c r="V416" s="6"/>
      <c r="W416" s="298"/>
      <c r="X416" s="6"/>
      <c r="Y416" s="6"/>
      <c r="Z416" s="6"/>
      <c r="AA416" s="6"/>
      <c r="AB416" s="6"/>
      <c r="AC416" s="6"/>
      <c r="AE416" s="512"/>
      <c r="AF416" s="52"/>
      <c r="AG416" s="52"/>
      <c r="AH416" s="23"/>
      <c r="AI416" s="23"/>
      <c r="AJ416" s="23"/>
      <c r="AK416" s="1458"/>
      <c r="AL416" s="1458"/>
      <c r="AM416" s="1458"/>
      <c r="AN416" s="1458"/>
      <c r="AO416" s="1458"/>
      <c r="AP416" s="1458"/>
      <c r="AQ416" s="1458"/>
      <c r="AR416" s="1458"/>
      <c r="AS416" s="6">
        <f t="shared" si="169"/>
        <v>6</v>
      </c>
      <c r="AT416" s="16"/>
      <c r="AU416" s="6">
        <f t="shared" si="170"/>
        <v>0</v>
      </c>
      <c r="AV416" s="6">
        <f t="shared" si="171"/>
        <v>3</v>
      </c>
      <c r="AW416" s="6">
        <f t="shared" si="172"/>
        <v>6</v>
      </c>
      <c r="AX416" s="6">
        <f t="shared" si="173"/>
        <v>12</v>
      </c>
      <c r="AY416" s="6">
        <f t="shared" si="174"/>
        <v>21</v>
      </c>
      <c r="AZ416" s="6">
        <f t="shared" si="175"/>
        <v>30</v>
      </c>
    </row>
    <row r="417" spans="1:44" s="7" customFormat="1" ht="75" customHeight="1" x14ac:dyDescent="0.2">
      <c r="A417" s="1359" t="str">
        <f>BIBLE!E225</f>
        <v>NC07</v>
      </c>
      <c r="B417" s="157" t="str">
        <f>IF(P46&lt;&gt;1,BIBLE!F225,"")</f>
        <v xml:space="preserve">Le nouveau ou nouvelle conjoint·e apporte des changements à l’horaire de garde sans vous consulter au préalable ou sans votre autorisation. </v>
      </c>
      <c r="C417" s="498" t="str">
        <f>BIBLE!O225</f>
        <v xml:space="preserve">Jamais / Rarement / Occasionnellement / Régulièrement / Souvent / Toujours / S.O. </v>
      </c>
      <c r="D417" s="1527">
        <f>BIBLE!L225</f>
        <v>2</v>
      </c>
      <c r="E417" s="19"/>
      <c r="F417" s="19"/>
      <c r="G417" s="19"/>
      <c r="H417" s="19"/>
      <c r="I417" s="19">
        <v>1</v>
      </c>
      <c r="J417" s="19"/>
      <c r="K417" s="19"/>
      <c r="L417" s="19"/>
      <c r="M417" s="19"/>
      <c r="N417" s="19"/>
      <c r="O417" s="19"/>
      <c r="P417" s="1877">
        <f>'TEST_pour PROTOTYPE'!D370</f>
        <v>7</v>
      </c>
      <c r="Q417" s="25">
        <f t="shared" si="157"/>
        <v>14</v>
      </c>
      <c r="R417" s="8">
        <f>BIBLE!K225</f>
        <v>4</v>
      </c>
      <c r="S417" s="55"/>
      <c r="T417" s="55"/>
      <c r="U417" s="55"/>
      <c r="V417" s="6">
        <f>IF(P417&gt;=R417,IF(Q417&gt;Q418,Q417,Q418),Q417)</f>
        <v>14</v>
      </c>
      <c r="W417" s="8"/>
      <c r="X417" s="6">
        <f t="shared" ref="X417:AC417" si="176">IF(($P417&gt;=$R417),IF($Q417&gt;$Q418,X$109*$D417,X$109*$D418),X$109*$D417)</f>
        <v>0</v>
      </c>
      <c r="Y417" s="6">
        <f t="shared" si="176"/>
        <v>2</v>
      </c>
      <c r="Z417" s="6">
        <f t="shared" si="176"/>
        <v>4</v>
      </c>
      <c r="AA417" s="6">
        <f t="shared" si="176"/>
        <v>8</v>
      </c>
      <c r="AB417" s="6">
        <f t="shared" si="176"/>
        <v>14</v>
      </c>
      <c r="AC417" s="6">
        <f t="shared" si="176"/>
        <v>20</v>
      </c>
      <c r="AE417" s="512"/>
      <c r="AF417" s="52"/>
      <c r="AG417" s="52"/>
      <c r="AH417" s="23">
        <f>IF($Q417=$V417,$Q417*BIBLE!S275,$Q418*BIBLE!S276)</f>
        <v>0</v>
      </c>
      <c r="AI417" s="23">
        <f>IF($Q417=$V417,$Q417*BIBLE!T275,$Q418*BIBLE!T276)</f>
        <v>0</v>
      </c>
      <c r="AJ417" s="23">
        <f>IF($Q417=$V417,$Q417*BIBLE!U275,$Q418*BIBLE!U276)</f>
        <v>0</v>
      </c>
      <c r="AK417" s="1458">
        <f>IF($Q417=$V417,$Q417*BIBLE!W275,$Q418*BIBLE!W276)</f>
        <v>0</v>
      </c>
      <c r="AL417" s="1458">
        <f>IF($Q417=$V417,$Q417*BIBLE!X275,$Q418*BIBLE!X276)</f>
        <v>0</v>
      </c>
      <c r="AM417" s="1458">
        <f>IF($Q417=$V417,$Q417*BIBLE!Y275,$Q418*BIBLE!Y276)</f>
        <v>0</v>
      </c>
      <c r="AN417" s="1458">
        <f>IF($Q417=$V417,$Q417*BIBLE!Z275,$Q418*BIBLE!Z276)</f>
        <v>0</v>
      </c>
      <c r="AO417" s="1458">
        <f>IF($Q417=$V417,$Q417*BIBLE!AA275,$Q418*BIBLE!AA276)</f>
        <v>0</v>
      </c>
      <c r="AP417" s="1458">
        <f>IF($Q417=$V417,$Q417*BIBLE!AB275,$Q418*BIBLE!AB276)</f>
        <v>0</v>
      </c>
      <c r="AQ417" s="1458">
        <f>IF($Q417=$V417,$Q417*BIBLE!AC275,$Q418*BIBLE!AC276)</f>
        <v>0</v>
      </c>
      <c r="AR417" s="1458">
        <f>IF($Q417=$V417,$Q417*BIBLE!AD275,$Q418*BIBLE!AD276)</f>
        <v>0</v>
      </c>
    </row>
    <row r="418" spans="1:44" s="7" customFormat="1" ht="75" customHeight="1" x14ac:dyDescent="0.2">
      <c r="A418" s="1359" t="str">
        <f>BIBLE!E226</f>
        <v>NC07a</v>
      </c>
      <c r="B418" s="158" t="str">
        <f>IF(P417&gt;=R417,BIBLE!F226,"")</f>
        <v xml:space="preserve">Arrive-t-il que le nouveau ou nouvelle conjoint·e organise des activités sur votre temps de garde ? </v>
      </c>
      <c r="C418" s="498" t="str">
        <f>BIBLE!O226</f>
        <v xml:space="preserve">Jamais / Rarement / Occasionnellement / Régulièrement / Souvent / Toujours / S.O. </v>
      </c>
      <c r="D418" s="1527">
        <f>BIBLE!L226</f>
        <v>2</v>
      </c>
      <c r="E418" s="19"/>
      <c r="F418" s="19"/>
      <c r="G418" s="19"/>
      <c r="H418" s="19"/>
      <c r="I418" s="19">
        <v>1</v>
      </c>
      <c r="J418" s="19"/>
      <c r="K418" s="19"/>
      <c r="L418" s="19"/>
      <c r="M418" s="19"/>
      <c r="N418" s="19"/>
      <c r="O418" s="19"/>
      <c r="P418" s="1877">
        <f>'TEST_pour PROTOTYPE'!D371</f>
        <v>7</v>
      </c>
      <c r="Q418" s="25">
        <f>P418*D418</f>
        <v>14</v>
      </c>
      <c r="R418" s="8" t="str">
        <f>IF(BIBLE!K276=0,"",BIBLE!K276)</f>
        <v/>
      </c>
      <c r="S418" s="55"/>
      <c r="T418" s="55"/>
      <c r="U418" s="55"/>
      <c r="V418" s="6"/>
      <c r="W418" s="298"/>
      <c r="X418" s="6"/>
      <c r="Y418" s="6"/>
      <c r="Z418" s="6"/>
      <c r="AA418" s="6"/>
      <c r="AB418" s="6"/>
      <c r="AC418" s="6"/>
      <c r="AE418" s="512"/>
      <c r="AF418" s="52"/>
      <c r="AG418" s="52"/>
      <c r="AH418" s="92"/>
      <c r="AI418" s="92"/>
      <c r="AJ418" s="92"/>
      <c r="AK418" s="743"/>
      <c r="AL418" s="743"/>
      <c r="AM418" s="743"/>
      <c r="AN418" s="743"/>
      <c r="AO418" s="743"/>
      <c r="AP418" s="743"/>
      <c r="AQ418" s="743"/>
      <c r="AR418" s="743"/>
    </row>
    <row r="419" spans="1:44" s="7" customFormat="1" ht="75" customHeight="1" x14ac:dyDescent="0.2">
      <c r="A419" s="1359" t="str">
        <f>BIBLE!E227</f>
        <v>NC09</v>
      </c>
      <c r="B419" s="157" t="str">
        <f>IF(P46&lt;&gt;1,BIBLE!F227,"")</f>
        <v xml:space="preserve">Le nouveau ou nouvelle conjoint·e se présente à la sortie des classes, au service de garde ou à la garderie sur votre temps de garde. </v>
      </c>
      <c r="C419" s="498" t="str">
        <f>BIBLE!O227</f>
        <v xml:space="preserve">Jamais / Rarement / Occasionnellement / Régulièrement / Souvent / Toujours / S.O. </v>
      </c>
      <c r="D419" s="1527">
        <f>BIBLE!L227</f>
        <v>2</v>
      </c>
      <c r="E419" s="19"/>
      <c r="F419" s="19"/>
      <c r="G419" s="19"/>
      <c r="H419" s="19">
        <v>1</v>
      </c>
      <c r="I419" s="19"/>
      <c r="J419" s="19"/>
      <c r="K419" s="19"/>
      <c r="L419" s="19"/>
      <c r="M419" s="19"/>
      <c r="N419" s="19"/>
      <c r="O419" s="19"/>
      <c r="P419" s="1877">
        <f>'TEST_pour PROTOTYPE'!D372</f>
        <v>4</v>
      </c>
      <c r="Q419" s="25">
        <f t="shared" si="157"/>
        <v>8</v>
      </c>
      <c r="R419" s="298"/>
      <c r="S419" s="54"/>
      <c r="T419" s="54"/>
      <c r="U419" s="54"/>
      <c r="V419" s="6">
        <f t="shared" si="158"/>
        <v>8</v>
      </c>
      <c r="W419" s="298"/>
      <c r="X419" s="6">
        <f t="shared" si="159"/>
        <v>0</v>
      </c>
      <c r="Y419" s="6">
        <f t="shared" si="159"/>
        <v>2</v>
      </c>
      <c r="Z419" s="6">
        <f t="shared" si="159"/>
        <v>4</v>
      </c>
      <c r="AA419" s="6">
        <f t="shared" si="159"/>
        <v>8</v>
      </c>
      <c r="AB419" s="6">
        <f t="shared" si="159"/>
        <v>14</v>
      </c>
      <c r="AC419" s="6">
        <f t="shared" si="159"/>
        <v>20</v>
      </c>
      <c r="AE419" s="512"/>
      <c r="AF419" s="52"/>
      <c r="AG419" s="52"/>
      <c r="AH419" s="23">
        <f>$V419*BIBLE!S227</f>
        <v>8</v>
      </c>
      <c r="AI419" s="23">
        <f>$V419*BIBLE!T227</f>
        <v>0</v>
      </c>
      <c r="AJ419" s="23">
        <f>$V419*BIBLE!U227</f>
        <v>0</v>
      </c>
      <c r="AK419" s="1458">
        <f>$V419*BIBLE!W227</f>
        <v>0</v>
      </c>
      <c r="AL419" s="1458">
        <f>$V419*BIBLE!X227</f>
        <v>0</v>
      </c>
      <c r="AM419" s="1458">
        <f>$V419*BIBLE!Y227</f>
        <v>0</v>
      </c>
      <c r="AN419" s="1458">
        <f>$V419*BIBLE!Z227</f>
        <v>0</v>
      </c>
      <c r="AO419" s="1458">
        <f>$V419*BIBLE!AA227</f>
        <v>8</v>
      </c>
      <c r="AP419" s="1458">
        <f>$V419*BIBLE!AB227</f>
        <v>0</v>
      </c>
      <c r="AQ419" s="1458">
        <f>$V419*BIBLE!AC227</f>
        <v>0</v>
      </c>
      <c r="AR419" s="1458">
        <f>$V419*BIBLE!AD227</f>
        <v>0</v>
      </c>
    </row>
    <row r="420" spans="1:44" s="7" customFormat="1" ht="75" customHeight="1" x14ac:dyDescent="0.2">
      <c r="A420" s="1359" t="str">
        <f>BIBLE!E228</f>
        <v>NC10</v>
      </c>
      <c r="B420" s="157" t="str">
        <f>IF(P46&lt;&gt;1,BIBLE!F228,"")</f>
        <v>Arrive-t-il que le nouveau ou nouvelle conjoint·e interfère, écoute ou écourte vos conversations téléphoniques avec votre enfant ?</v>
      </c>
      <c r="C420" s="498" t="str">
        <f>BIBLE!O228</f>
        <v xml:space="preserve">Jamais / Rarement / Occasionnellement / Régulièrement / Souvent / Toujours / S.O. </v>
      </c>
      <c r="D420" s="1527">
        <f>BIBLE!L228</f>
        <v>2</v>
      </c>
      <c r="E420" s="19"/>
      <c r="F420" s="19"/>
      <c r="G420" s="19"/>
      <c r="H420" s="19"/>
      <c r="I420" s="19"/>
      <c r="J420" s="19">
        <v>1</v>
      </c>
      <c r="K420" s="19"/>
      <c r="L420" s="19"/>
      <c r="M420" s="19"/>
      <c r="N420" s="19"/>
      <c r="O420" s="19"/>
      <c r="P420" s="1877">
        <f>'TEST_pour PROTOTYPE'!D373</f>
        <v>4</v>
      </c>
      <c r="Q420" s="25">
        <f t="shared" si="157"/>
        <v>8</v>
      </c>
      <c r="R420" s="8"/>
      <c r="V420" s="6">
        <f t="shared" si="158"/>
        <v>8</v>
      </c>
      <c r="W420" s="298"/>
      <c r="X420" s="6">
        <f t="shared" si="159"/>
        <v>0</v>
      </c>
      <c r="Y420" s="6">
        <f t="shared" si="159"/>
        <v>2</v>
      </c>
      <c r="Z420" s="6">
        <f t="shared" si="159"/>
        <v>4</v>
      </c>
      <c r="AA420" s="6">
        <f t="shared" si="159"/>
        <v>8</v>
      </c>
      <c r="AB420" s="6">
        <f t="shared" si="159"/>
        <v>14</v>
      </c>
      <c r="AC420" s="6">
        <f t="shared" si="159"/>
        <v>20</v>
      </c>
      <c r="AE420" s="512"/>
      <c r="AF420" s="52"/>
      <c r="AG420" s="52"/>
      <c r="AH420" s="23">
        <f>$V420*BIBLE!S228</f>
        <v>8</v>
      </c>
      <c r="AI420" s="23">
        <f>$V420*BIBLE!T228</f>
        <v>0</v>
      </c>
      <c r="AJ420" s="23">
        <f>$V420*BIBLE!U228</f>
        <v>0</v>
      </c>
      <c r="AK420" s="1458">
        <f>$V420*BIBLE!W228</f>
        <v>0</v>
      </c>
      <c r="AL420" s="1458">
        <f>$V420*BIBLE!X228</f>
        <v>0</v>
      </c>
      <c r="AM420" s="1458">
        <f>$V420*BIBLE!Y228</f>
        <v>0</v>
      </c>
      <c r="AN420" s="1458">
        <f>$V420*BIBLE!Z228</f>
        <v>0</v>
      </c>
      <c r="AO420" s="1458">
        <f>$V420*BIBLE!AA228</f>
        <v>8</v>
      </c>
      <c r="AP420" s="1458">
        <f>$V420*BIBLE!AB228</f>
        <v>0</v>
      </c>
      <c r="AQ420" s="1458">
        <f>$V420*BIBLE!AC228</f>
        <v>0</v>
      </c>
      <c r="AR420" s="1458">
        <f>$V420*BIBLE!AD228</f>
        <v>0</v>
      </c>
    </row>
    <row r="421" spans="1:44" s="7" customFormat="1" ht="75" customHeight="1" x14ac:dyDescent="0.2">
      <c r="A421" s="1359" t="str">
        <f>BIBLE!E229</f>
        <v>NC11</v>
      </c>
      <c r="B421" s="157" t="str">
        <f>IF(P46&lt;&gt;1,BIBLE!F229,"")</f>
        <v xml:space="preserve">Le nouveau ou nouvelle conjoint·e est responsable de la logistique familiale (communications scolaires, rendez-vous médicaux, etc.). </v>
      </c>
      <c r="C421" s="498" t="str">
        <f>BIBLE!O229</f>
        <v xml:space="preserve">Jamais / Rarement / Occasionnellement / Régulièrement / Souvent / Toujours / S.O. </v>
      </c>
      <c r="D421" s="1527">
        <f>BIBLE!L229</f>
        <v>2</v>
      </c>
      <c r="E421" s="19"/>
      <c r="F421" s="19"/>
      <c r="G421" s="19"/>
      <c r="H421" s="19"/>
      <c r="I421" s="19"/>
      <c r="J421" s="19">
        <v>1</v>
      </c>
      <c r="K421" s="19"/>
      <c r="L421" s="19"/>
      <c r="M421" s="19"/>
      <c r="N421" s="19"/>
      <c r="O421" s="19"/>
      <c r="P421" s="1877">
        <f>'TEST_pour PROTOTYPE'!D374</f>
        <v>10</v>
      </c>
      <c r="Q421" s="25">
        <f t="shared" si="157"/>
        <v>20</v>
      </c>
      <c r="R421" s="8"/>
      <c r="V421" s="6">
        <f t="shared" si="158"/>
        <v>20</v>
      </c>
      <c r="W421" s="298"/>
      <c r="X421" s="6">
        <f t="shared" si="159"/>
        <v>0</v>
      </c>
      <c r="Y421" s="6">
        <f t="shared" si="159"/>
        <v>2</v>
      </c>
      <c r="Z421" s="6">
        <f t="shared" si="159"/>
        <v>4</v>
      </c>
      <c r="AA421" s="6">
        <f t="shared" si="159"/>
        <v>8</v>
      </c>
      <c r="AB421" s="6">
        <f t="shared" si="159"/>
        <v>14</v>
      </c>
      <c r="AC421" s="6">
        <f t="shared" si="159"/>
        <v>20</v>
      </c>
      <c r="AE421" s="512"/>
      <c r="AF421" s="52"/>
      <c r="AG421" s="52"/>
      <c r="AH421" s="23">
        <f>$V421*BIBLE!S229</f>
        <v>20</v>
      </c>
      <c r="AI421" s="23">
        <f>$V421*BIBLE!T229</f>
        <v>0</v>
      </c>
      <c r="AJ421" s="23">
        <f>$V421*BIBLE!U229</f>
        <v>0</v>
      </c>
      <c r="AK421" s="1458">
        <f>$V421*BIBLE!W229</f>
        <v>0</v>
      </c>
      <c r="AL421" s="1458">
        <f>$V421*BIBLE!X229</f>
        <v>0</v>
      </c>
      <c r="AM421" s="1458">
        <f>$V421*BIBLE!Y229</f>
        <v>0</v>
      </c>
      <c r="AN421" s="1458">
        <f>$V421*BIBLE!Z229</f>
        <v>0</v>
      </c>
      <c r="AO421" s="1458">
        <f>$V421*BIBLE!AA229</f>
        <v>20</v>
      </c>
      <c r="AP421" s="1458">
        <f>$V421*BIBLE!AB229</f>
        <v>0</v>
      </c>
      <c r="AQ421" s="1458">
        <f>$V421*BIBLE!AC229</f>
        <v>0</v>
      </c>
      <c r="AR421" s="1458">
        <f>$V421*BIBLE!AD229</f>
        <v>0</v>
      </c>
    </row>
    <row r="422" spans="1:44" s="7" customFormat="1" ht="75" customHeight="1" x14ac:dyDescent="0.2">
      <c r="A422" s="1359" t="str">
        <f>BIBLE!E230</f>
        <v>NC12</v>
      </c>
      <c r="B422" s="157" t="str">
        <f>IF(AND(P46&lt;&gt;1,P59&gt;=3),BIBLE!F230,"")</f>
        <v>À quelle fréquence le nouveau ou nouvelle conjoint·e communique-t-il ou elle avec votre enfant durant votre temps de garde ?</v>
      </c>
      <c r="C422" s="498" t="str">
        <f>BIBLE!O230</f>
        <v xml:space="preserve">Jamais / Rarement, au besoin / 1 à 2 fois semaine / 3 à 5 fois semaine / Presque tous les jours / Plusieurs fois par jour / S.O. </v>
      </c>
      <c r="D422" s="1527">
        <f>BIBLE!L230</f>
        <v>3</v>
      </c>
      <c r="E422" s="19"/>
      <c r="F422" s="19"/>
      <c r="G422" s="19"/>
      <c r="H422" s="19"/>
      <c r="I422" s="19"/>
      <c r="J422" s="19">
        <v>1</v>
      </c>
      <c r="K422" s="19"/>
      <c r="L422" s="19"/>
      <c r="M422" s="19"/>
      <c r="N422" s="19"/>
      <c r="O422" s="19"/>
      <c r="P422" s="1877">
        <f>'TEST_pour PROTOTYPE'!D375</f>
        <v>0</v>
      </c>
      <c r="Q422" s="25">
        <f>P422*D422</f>
        <v>0</v>
      </c>
      <c r="R422" s="8"/>
      <c r="V422" s="6">
        <f t="shared" si="158"/>
        <v>0</v>
      </c>
      <c r="W422" s="298"/>
      <c r="X422" s="6">
        <f t="shared" si="159"/>
        <v>0</v>
      </c>
      <c r="Y422" s="6">
        <f t="shared" si="159"/>
        <v>0</v>
      </c>
      <c r="Z422" s="6">
        <f t="shared" si="159"/>
        <v>0</v>
      </c>
      <c r="AA422" s="6">
        <f t="shared" si="159"/>
        <v>0</v>
      </c>
      <c r="AB422" s="6">
        <f t="shared" si="159"/>
        <v>0</v>
      </c>
      <c r="AC422" s="6">
        <f t="shared" si="159"/>
        <v>0</v>
      </c>
      <c r="AE422" s="512"/>
      <c r="AF422" s="52"/>
      <c r="AG422" s="52"/>
      <c r="AH422" s="23">
        <f>$V422*BIBLE!S230</f>
        <v>0</v>
      </c>
      <c r="AI422" s="23">
        <f>$V422*BIBLE!T230</f>
        <v>0</v>
      </c>
      <c r="AJ422" s="23">
        <f>$V422*BIBLE!U230</f>
        <v>0</v>
      </c>
      <c r="AK422" s="1458">
        <f>$V422*BIBLE!W230</f>
        <v>0</v>
      </c>
      <c r="AL422" s="1458">
        <f>$V422*BIBLE!X230</f>
        <v>0</v>
      </c>
      <c r="AM422" s="1458">
        <f>$V422*BIBLE!Y230</f>
        <v>0</v>
      </c>
      <c r="AN422" s="1458">
        <f>$V422*BIBLE!Z230</f>
        <v>0</v>
      </c>
      <c r="AO422" s="1458">
        <f>$V422*BIBLE!AA230</f>
        <v>0</v>
      </c>
      <c r="AP422" s="1458">
        <f>$V422*BIBLE!AB230</f>
        <v>0</v>
      </c>
      <c r="AQ422" s="1458">
        <f>$V422*BIBLE!AC230</f>
        <v>0</v>
      </c>
      <c r="AR422" s="1458">
        <f>$V422*BIBLE!AD230</f>
        <v>0</v>
      </c>
    </row>
    <row r="423" spans="1:44" s="17" customFormat="1" ht="75" customHeight="1" x14ac:dyDescent="0.2">
      <c r="A423" s="1359" t="str">
        <f>BIBLE!E231</f>
        <v>NC13</v>
      </c>
      <c r="B423" s="157" t="str">
        <f>IF(P46&lt;&gt;1,BIBLE!F231,"")</f>
        <v>Le nouveau ou nouvelle conjoint·e demande aux personnes gravitant autour de votre enfant de ne PAS vous communiquer de l'information à son sujet.</v>
      </c>
      <c r="C423" s="498" t="str">
        <f>BIBLE!O231</f>
        <v>Nulle / Très faible / Faible / Moyenne / Élevée / Très élevée / S.O.</v>
      </c>
      <c r="D423" s="1527">
        <f>BIBLE!L231</f>
        <v>3</v>
      </c>
      <c r="E423" s="19"/>
      <c r="F423" s="19"/>
      <c r="G423" s="19"/>
      <c r="H423" s="19"/>
      <c r="I423" s="19"/>
      <c r="J423" s="19">
        <v>1</v>
      </c>
      <c r="K423" s="19"/>
      <c r="L423" s="19"/>
      <c r="M423" s="19"/>
      <c r="N423" s="19"/>
      <c r="O423" s="19"/>
      <c r="P423" s="1877">
        <f>'TEST_pour PROTOTYPE'!D376</f>
        <v>2</v>
      </c>
      <c r="Q423" s="25">
        <f>P423*D423</f>
        <v>6</v>
      </c>
      <c r="R423" s="8"/>
      <c r="V423" s="6">
        <f t="shared" si="158"/>
        <v>6</v>
      </c>
      <c r="W423" s="298"/>
      <c r="X423" s="6">
        <f t="shared" si="159"/>
        <v>0</v>
      </c>
      <c r="Y423" s="6">
        <f t="shared" si="159"/>
        <v>3</v>
      </c>
      <c r="Z423" s="6">
        <f t="shared" si="159"/>
        <v>6</v>
      </c>
      <c r="AA423" s="6">
        <f t="shared" si="159"/>
        <v>12</v>
      </c>
      <c r="AB423" s="6">
        <f t="shared" si="159"/>
        <v>21</v>
      </c>
      <c r="AC423" s="6">
        <f t="shared" si="159"/>
        <v>30</v>
      </c>
      <c r="AE423" s="512"/>
      <c r="AF423" s="52"/>
      <c r="AG423" s="52"/>
      <c r="AH423" s="23">
        <f>$V423*BIBLE!S231</f>
        <v>6</v>
      </c>
      <c r="AI423" s="23">
        <f>$V423*BIBLE!T231</f>
        <v>0</v>
      </c>
      <c r="AJ423" s="23">
        <f>$V423*BIBLE!U231</f>
        <v>0</v>
      </c>
      <c r="AK423" s="1458">
        <f>$V423*BIBLE!W231</f>
        <v>0</v>
      </c>
      <c r="AL423" s="1458">
        <f>$V423*BIBLE!X231</f>
        <v>0</v>
      </c>
      <c r="AM423" s="1458">
        <f>$V423*BIBLE!Y231</f>
        <v>0</v>
      </c>
      <c r="AN423" s="1458">
        <f>$V423*BIBLE!Z231</f>
        <v>0</v>
      </c>
      <c r="AO423" s="1458">
        <f>$V423*BIBLE!AA231</f>
        <v>6</v>
      </c>
      <c r="AP423" s="1458">
        <f>$V423*BIBLE!AB231</f>
        <v>0</v>
      </c>
      <c r="AQ423" s="1458">
        <f>$V423*BIBLE!AC231</f>
        <v>0</v>
      </c>
      <c r="AR423" s="1458">
        <f>$V423*BIBLE!AD231</f>
        <v>0</v>
      </c>
    </row>
    <row r="424" spans="1:44" s="17" customFormat="1" ht="75" customHeight="1" x14ac:dyDescent="0.2">
      <c r="A424" s="1359" t="str">
        <f>BIBLE!E232</f>
        <v>NC14</v>
      </c>
      <c r="B424" s="157" t="str">
        <f>IF(P46&lt;&gt;1,BIBLE!F232,"")</f>
        <v>Le nouveau ou nouvelle conjoint·e demande à votre enfant de l'appeler maman ou papa.</v>
      </c>
      <c r="C424" s="501" t="str">
        <f>BIBLE!O232</f>
        <v>Nulle / Très faible / Faible / Moyenne / Élevée / Très élevée / S.O.</v>
      </c>
      <c r="D424" s="1527">
        <f>BIBLE!L232</f>
        <v>2</v>
      </c>
      <c r="E424" s="19"/>
      <c r="F424" s="19"/>
      <c r="G424" s="19"/>
      <c r="H424" s="19">
        <v>1</v>
      </c>
      <c r="I424" s="19"/>
      <c r="J424" s="19"/>
      <c r="K424" s="19"/>
      <c r="L424" s="19"/>
      <c r="M424" s="19"/>
      <c r="N424" s="19"/>
      <c r="O424" s="19"/>
      <c r="P424" s="1877">
        <f>'TEST_pour PROTOTYPE'!D377</f>
        <v>1</v>
      </c>
      <c r="Q424" s="25">
        <f t="shared" si="157"/>
        <v>2</v>
      </c>
      <c r="R424" s="15"/>
      <c r="S424" s="493"/>
      <c r="T424" s="493"/>
      <c r="U424" s="493"/>
      <c r="V424" s="6">
        <f t="shared" si="158"/>
        <v>2</v>
      </c>
      <c r="W424" s="298"/>
      <c r="X424" s="6">
        <f t="shared" si="159"/>
        <v>0</v>
      </c>
      <c r="Y424" s="6">
        <f t="shared" si="159"/>
        <v>2</v>
      </c>
      <c r="Z424" s="6">
        <f t="shared" si="159"/>
        <v>4</v>
      </c>
      <c r="AA424" s="6">
        <f t="shared" si="159"/>
        <v>8</v>
      </c>
      <c r="AB424" s="6">
        <f t="shared" si="159"/>
        <v>14</v>
      </c>
      <c r="AC424" s="6">
        <f t="shared" si="159"/>
        <v>20</v>
      </c>
      <c r="AE424" s="512"/>
      <c r="AF424" s="52"/>
      <c r="AG424" s="52"/>
      <c r="AH424" s="23">
        <f>$V424*BIBLE!S232</f>
        <v>0</v>
      </c>
      <c r="AI424" s="23">
        <f>$V424*BIBLE!T232</f>
        <v>0</v>
      </c>
      <c r="AJ424" s="23">
        <f>$V424*BIBLE!U232</f>
        <v>2</v>
      </c>
      <c r="AK424" s="1458">
        <f>$V424*BIBLE!W232</f>
        <v>0</v>
      </c>
      <c r="AL424" s="1458">
        <f>$V424*BIBLE!X232</f>
        <v>0</v>
      </c>
      <c r="AM424" s="1458">
        <f>$V424*BIBLE!Y232</f>
        <v>0</v>
      </c>
      <c r="AN424" s="1458">
        <f>$V424*BIBLE!Z232</f>
        <v>0</v>
      </c>
      <c r="AO424" s="1458">
        <f>$V424*BIBLE!AA232</f>
        <v>0</v>
      </c>
      <c r="AP424" s="1458">
        <f>$V424*BIBLE!AB232</f>
        <v>2</v>
      </c>
      <c r="AQ424" s="1458">
        <f>$V424*BIBLE!AC232</f>
        <v>0</v>
      </c>
      <c r="AR424" s="1458">
        <f>$V424*BIBLE!AD232</f>
        <v>0</v>
      </c>
    </row>
    <row r="425" spans="1:44" s="17" customFormat="1" ht="75" customHeight="1" x14ac:dyDescent="0.2">
      <c r="A425" s="1359" t="str">
        <f>BIBLE!E233</f>
        <v>NC15</v>
      </c>
      <c r="B425" s="157" t="str">
        <f>IF(AND(P46&lt;&gt;1,P59&gt;=3),BIBLE!F233,"")</f>
        <v>Dans quelle mesure diriez-vous que votre relation avec votre enfant est fragilisée depuis l'arrivée du nouveau ou nouvelle conjoint·e ?</v>
      </c>
      <c r="C425" s="498" t="str">
        <f>BIBLE!O233</f>
        <v>Pas du tout / Très peu / Un peu / Moyennement / Grandement / Totalement / S.O.</v>
      </c>
      <c r="D425" s="1527">
        <f>BIBLE!L233</f>
        <v>2</v>
      </c>
      <c r="E425" s="19"/>
      <c r="F425" s="19"/>
      <c r="G425" s="19"/>
      <c r="H425" s="19"/>
      <c r="I425" s="19"/>
      <c r="J425" s="19"/>
      <c r="K425" s="19">
        <v>1</v>
      </c>
      <c r="L425" s="19"/>
      <c r="M425" s="19"/>
      <c r="N425" s="19"/>
      <c r="O425" s="19"/>
      <c r="P425" s="1877">
        <f>'TEST_pour PROTOTYPE'!D378</f>
        <v>0</v>
      </c>
      <c r="Q425" s="25">
        <f t="shared" si="157"/>
        <v>0</v>
      </c>
      <c r="R425" s="8"/>
      <c r="S425" s="7"/>
      <c r="T425" s="7"/>
      <c r="U425" s="7"/>
      <c r="V425" s="6">
        <f t="shared" si="158"/>
        <v>0</v>
      </c>
      <c r="W425" s="298"/>
      <c r="X425" s="6">
        <f t="shared" si="159"/>
        <v>0</v>
      </c>
      <c r="Y425" s="6">
        <f t="shared" si="159"/>
        <v>0</v>
      </c>
      <c r="Z425" s="6">
        <f t="shared" si="159"/>
        <v>0</v>
      </c>
      <c r="AA425" s="6">
        <f t="shared" si="159"/>
        <v>0</v>
      </c>
      <c r="AB425" s="6">
        <f t="shared" si="159"/>
        <v>0</v>
      </c>
      <c r="AC425" s="6">
        <f t="shared" si="159"/>
        <v>0</v>
      </c>
      <c r="AE425" s="512"/>
      <c r="AF425" s="52"/>
      <c r="AG425" s="52"/>
      <c r="AH425" s="23">
        <f>$V425*BIBLE!S233</f>
        <v>0</v>
      </c>
      <c r="AI425" s="23">
        <f>$V425*BIBLE!T233</f>
        <v>0</v>
      </c>
      <c r="AJ425" s="23">
        <f>$V425*BIBLE!U233</f>
        <v>0</v>
      </c>
      <c r="AK425" s="1458">
        <f>$V425*BIBLE!W233</f>
        <v>0</v>
      </c>
      <c r="AL425" s="1458">
        <f>$V425*BIBLE!X233</f>
        <v>0</v>
      </c>
      <c r="AM425" s="1458">
        <f>$V425*BIBLE!Y233</f>
        <v>0</v>
      </c>
      <c r="AN425" s="1458">
        <f>$V425*BIBLE!Z233</f>
        <v>0</v>
      </c>
      <c r="AO425" s="1458">
        <f>$V425*BIBLE!AA233</f>
        <v>0</v>
      </c>
      <c r="AP425" s="1458">
        <f>$V425*BIBLE!AB233</f>
        <v>0</v>
      </c>
      <c r="AQ425" s="1458">
        <f>$V425*BIBLE!AC233</f>
        <v>0</v>
      </c>
      <c r="AR425" s="1458">
        <f>$V425*BIBLE!AD233</f>
        <v>0</v>
      </c>
    </row>
    <row r="426" spans="1:44" s="17" customFormat="1" ht="75" customHeight="1" x14ac:dyDescent="0.2">
      <c r="A426" s="1359" t="str">
        <f>BIBLE!E234</f>
        <v>NC16</v>
      </c>
      <c r="B426" s="157" t="str">
        <f>IF(AND(P46&lt;&gt;1,P183&gt;=R183),BIBLE!F234,"")</f>
        <v/>
      </c>
      <c r="C426" s="498" t="str">
        <f>BIBLE!O234</f>
        <v xml:space="preserve">Jamais / Rarement / Occasionnellement / Régulièrement / Souvent / Toujours / S.O. </v>
      </c>
      <c r="D426" s="1527">
        <f>IF(E40&gt;=11,BIBLE!L234,BIBLE!M234)</f>
        <v>3</v>
      </c>
      <c r="E426" s="19"/>
      <c r="F426" s="19"/>
      <c r="G426" s="19"/>
      <c r="H426" s="19"/>
      <c r="I426" s="19"/>
      <c r="J426" s="19">
        <v>1</v>
      </c>
      <c r="K426" s="19"/>
      <c r="L426" s="19"/>
      <c r="M426" s="19"/>
      <c r="N426" s="19"/>
      <c r="O426" s="19"/>
      <c r="P426" s="1877">
        <f>'TEST_pour PROTOTYPE'!D379</f>
        <v>0</v>
      </c>
      <c r="Q426" s="25">
        <f>P426*D426</f>
        <v>0</v>
      </c>
      <c r="R426" s="8"/>
      <c r="V426" s="6">
        <f t="shared" si="158"/>
        <v>0</v>
      </c>
      <c r="W426" s="298"/>
      <c r="X426" s="6">
        <f t="shared" si="159"/>
        <v>0</v>
      </c>
      <c r="Y426" s="6">
        <f t="shared" si="159"/>
        <v>0</v>
      </c>
      <c r="Z426" s="6">
        <f t="shared" si="159"/>
        <v>0</v>
      </c>
      <c r="AA426" s="6">
        <f t="shared" si="159"/>
        <v>0</v>
      </c>
      <c r="AB426" s="6">
        <f t="shared" si="159"/>
        <v>0</v>
      </c>
      <c r="AC426" s="6">
        <f t="shared" si="159"/>
        <v>0</v>
      </c>
      <c r="AE426" s="512"/>
      <c r="AF426" s="52"/>
      <c r="AG426" s="52"/>
      <c r="AH426" s="23">
        <f>$V426*BIBLE!S234</f>
        <v>0</v>
      </c>
      <c r="AI426" s="23">
        <f>$V426*BIBLE!T234</f>
        <v>0</v>
      </c>
      <c r="AJ426" s="23">
        <f>$V426*BIBLE!U234</f>
        <v>0</v>
      </c>
      <c r="AK426" s="1458">
        <f>$V426*BIBLE!W234</f>
        <v>0</v>
      </c>
      <c r="AL426" s="1458">
        <f>$V426*BIBLE!X234</f>
        <v>0</v>
      </c>
      <c r="AM426" s="1458">
        <f>$V426*BIBLE!Y234</f>
        <v>0</v>
      </c>
      <c r="AN426" s="1458">
        <f>$V426*BIBLE!Z234</f>
        <v>0</v>
      </c>
      <c r="AO426" s="1458">
        <f>$V426*BIBLE!AA234</f>
        <v>0</v>
      </c>
      <c r="AP426" s="1458">
        <f>$V426*BIBLE!AB234</f>
        <v>0</v>
      </c>
      <c r="AQ426" s="1458">
        <f>$V426*BIBLE!AC234</f>
        <v>0</v>
      </c>
      <c r="AR426" s="1458">
        <f>$V426*BIBLE!AD234</f>
        <v>0</v>
      </c>
    </row>
    <row r="427" spans="1:44" s="7" customFormat="1" x14ac:dyDescent="0.2">
      <c r="A427" s="55"/>
      <c r="C427" s="55"/>
      <c r="D427" s="288"/>
      <c r="E427" s="55"/>
      <c r="F427" s="55"/>
      <c r="G427" s="55"/>
      <c r="H427" s="55"/>
      <c r="I427" s="55"/>
      <c r="J427" s="55"/>
      <c r="K427" s="55"/>
      <c r="L427" s="55"/>
      <c r="M427" s="55"/>
      <c r="N427" s="55"/>
      <c r="O427" s="55"/>
      <c r="P427" s="55"/>
      <c r="R427" s="55"/>
      <c r="S427" s="55"/>
      <c r="T427" s="55"/>
      <c r="U427" s="55"/>
      <c r="V427" s="486">
        <f>SUM(V404:V426)</f>
        <v>83</v>
      </c>
      <c r="W427" s="55"/>
      <c r="X427" s="485">
        <f t="shared" ref="X427:AC427" si="177">SUM(X404:X426)</f>
        <v>0</v>
      </c>
      <c r="Y427" s="485">
        <f t="shared" si="177"/>
        <v>20</v>
      </c>
      <c r="Z427" s="485">
        <f t="shared" si="177"/>
        <v>40</v>
      </c>
      <c r="AA427" s="485">
        <f t="shared" si="177"/>
        <v>80</v>
      </c>
      <c r="AB427" s="485">
        <f t="shared" si="177"/>
        <v>140</v>
      </c>
      <c r="AC427" s="485">
        <f t="shared" si="177"/>
        <v>200</v>
      </c>
      <c r="AD427" s="540">
        <f>V427/AC427</f>
        <v>0.41499999999999998</v>
      </c>
      <c r="AE427" s="511">
        <f>SUM(AE404:AE426)</f>
        <v>0</v>
      </c>
      <c r="AF427" s="2050"/>
      <c r="AG427" s="2050"/>
      <c r="AH427" s="1464">
        <f>SUM(AH404:AH426)</f>
        <v>49</v>
      </c>
      <c r="AI427" s="1464">
        <f t="shared" ref="AI427:AR427" si="178">SUM(AI404:AI426)</f>
        <v>0</v>
      </c>
      <c r="AJ427" s="1464">
        <f t="shared" si="178"/>
        <v>20</v>
      </c>
      <c r="AK427" s="1465">
        <f t="shared" si="178"/>
        <v>0</v>
      </c>
      <c r="AL427" s="1465">
        <f t="shared" si="178"/>
        <v>0</v>
      </c>
      <c r="AM427" s="1465">
        <f t="shared" si="178"/>
        <v>7</v>
      </c>
      <c r="AN427" s="1465">
        <f t="shared" si="178"/>
        <v>18</v>
      </c>
      <c r="AO427" s="1465">
        <f t="shared" si="178"/>
        <v>42</v>
      </c>
      <c r="AP427" s="1465">
        <f t="shared" si="178"/>
        <v>2</v>
      </c>
      <c r="AQ427" s="1465">
        <f t="shared" si="178"/>
        <v>0</v>
      </c>
      <c r="AR427" s="1465">
        <f t="shared" si="178"/>
        <v>0</v>
      </c>
    </row>
    <row r="428" spans="1:44" s="7" customFormat="1" x14ac:dyDescent="0.2">
      <c r="A428" s="1360"/>
      <c r="C428" s="55"/>
      <c r="D428" s="288"/>
      <c r="E428" s="55"/>
      <c r="F428" s="55"/>
      <c r="G428" s="55"/>
      <c r="H428" s="55"/>
      <c r="I428" s="55"/>
      <c r="J428" s="55"/>
      <c r="K428" s="55"/>
      <c r="L428" s="55"/>
      <c r="M428" s="55"/>
      <c r="N428" s="55"/>
      <c r="O428" s="55"/>
      <c r="P428" s="55"/>
      <c r="Q428" s="55"/>
      <c r="R428" s="55"/>
      <c r="S428" s="55"/>
      <c r="T428" s="55"/>
      <c r="U428" s="55"/>
      <c r="V428" s="534"/>
      <c r="W428" s="55"/>
      <c r="X428" s="8"/>
      <c r="Y428" s="7" t="s">
        <v>407</v>
      </c>
      <c r="Z428" s="8" t="s">
        <v>408</v>
      </c>
      <c r="AA428" s="8" t="s">
        <v>26</v>
      </c>
      <c r="AB428" s="8" t="s">
        <v>409</v>
      </c>
      <c r="AC428" s="8" t="s">
        <v>27</v>
      </c>
      <c r="AE428" s="512"/>
      <c r="AF428" s="52"/>
      <c r="AG428" s="52"/>
      <c r="AH428" s="1462">
        <f>AH427/SUM($AH$427:$AJ$427)</f>
        <v>0.71014492753623193</v>
      </c>
      <c r="AI428" s="1462">
        <f>AI427/SUM($AH$427:$AJ$427)</f>
        <v>0</v>
      </c>
      <c r="AJ428" s="1462">
        <f>AJ427/SUM($AH$427:$AJ$427)</f>
        <v>0.28985507246376813</v>
      </c>
      <c r="AK428" s="1463">
        <f>AK427/SUM($AK$427:$AR$427)</f>
        <v>0</v>
      </c>
      <c r="AL428" s="1463">
        <f t="shared" ref="AL428:AR428" si="179">AL427/SUM($AK$427:$AR$427)</f>
        <v>0</v>
      </c>
      <c r="AM428" s="1463">
        <f t="shared" si="179"/>
        <v>0.10144927536231885</v>
      </c>
      <c r="AN428" s="1463">
        <f t="shared" si="179"/>
        <v>0.2608695652173913</v>
      </c>
      <c r="AO428" s="1463">
        <f t="shared" si="179"/>
        <v>0.60869565217391308</v>
      </c>
      <c r="AP428" s="1463">
        <f t="shared" si="179"/>
        <v>2.8985507246376812E-2</v>
      </c>
      <c r="AQ428" s="1463">
        <f t="shared" si="179"/>
        <v>0</v>
      </c>
      <c r="AR428" s="1463">
        <f t="shared" si="179"/>
        <v>0</v>
      </c>
    </row>
    <row r="429" spans="1:44" s="7" customFormat="1" ht="18" customHeight="1" x14ac:dyDescent="0.2">
      <c r="A429" s="1371" t="str">
        <f>BIBLE!E240</f>
        <v>S01</v>
      </c>
      <c r="B429" t="str">
        <f>BIBLE!F240</f>
        <v xml:space="preserve">À quel groupe d'âge appartenez-vous? </v>
      </c>
      <c r="C429"/>
      <c r="D429" s="288"/>
      <c r="E429" s="55"/>
      <c r="F429" s="55"/>
      <c r="G429" s="55"/>
      <c r="H429" s="55"/>
      <c r="I429" s="55"/>
      <c r="J429" s="55"/>
      <c r="K429" s="55"/>
      <c r="L429" s="55"/>
      <c r="M429" s="55"/>
      <c r="N429" s="55"/>
      <c r="O429" s="55"/>
      <c r="P429" s="1777">
        <f>'TEST_pour PROTOTYPE'!D398</f>
        <v>3</v>
      </c>
      <c r="Q429" s="55"/>
      <c r="R429" s="55"/>
      <c r="S429" s="55"/>
      <c r="T429" s="55"/>
      <c r="U429" s="55"/>
      <c r="V429" s="534"/>
      <c r="W429" s="55"/>
      <c r="X429" s="8"/>
      <c r="Y429" s="8"/>
      <c r="Z429" s="8"/>
      <c r="AA429" s="8"/>
      <c r="AB429" s="8"/>
      <c r="AC429" s="8"/>
    </row>
    <row r="430" spans="1:44" s="7" customFormat="1" ht="18" customHeight="1" x14ac:dyDescent="0.2">
      <c r="A430" s="1370"/>
      <c r="B430" s="2" t="s">
        <v>217</v>
      </c>
      <c r="D430" s="1981">
        <v>1</v>
      </c>
      <c r="E430" s="51" t="str">
        <f>IF(P$429=D430,1,"x")</f>
        <v>x</v>
      </c>
      <c r="F430" s="288"/>
      <c r="G430" s="55"/>
      <c r="H430" s="55"/>
      <c r="I430" s="55"/>
      <c r="J430" s="55"/>
      <c r="K430" s="55"/>
      <c r="L430" s="55"/>
      <c r="M430" s="55"/>
      <c r="N430" s="55"/>
      <c r="O430" s="55"/>
      <c r="P430" s="55"/>
      <c r="Q430" s="55"/>
      <c r="R430" s="55"/>
      <c r="S430" s="55"/>
      <c r="T430" s="55"/>
      <c r="U430" s="55"/>
      <c r="V430" s="534"/>
      <c r="W430" s="55"/>
      <c r="X430" s="8"/>
      <c r="Y430" s="8"/>
      <c r="Z430" s="8"/>
      <c r="AA430" s="8"/>
      <c r="AB430" s="8"/>
      <c r="AC430" s="8"/>
      <c r="AH430" s="2201" t="s">
        <v>1288</v>
      </c>
      <c r="AI430" s="2201"/>
      <c r="AJ430" s="2201"/>
      <c r="AK430" s="2201"/>
      <c r="AL430" s="2201"/>
      <c r="AM430" s="2201"/>
      <c r="AN430" s="2201"/>
      <c r="AO430" s="2201"/>
      <c r="AP430" s="2201"/>
      <c r="AQ430" s="2201"/>
      <c r="AR430" s="2201"/>
    </row>
    <row r="431" spans="1:44" s="7" customFormat="1" ht="18" customHeight="1" x14ac:dyDescent="0.2">
      <c r="A431" s="1370"/>
      <c r="B431" s="2" t="s">
        <v>218</v>
      </c>
      <c r="D431" s="1981">
        <v>2</v>
      </c>
      <c r="E431" s="51" t="str">
        <f t="shared" ref="E431:E435" si="180">IF(P$429=D431,1,"x")</f>
        <v>x</v>
      </c>
      <c r="F431" s="288"/>
      <c r="G431" s="55"/>
      <c r="H431" s="55"/>
      <c r="I431" s="55"/>
      <c r="J431" s="55"/>
      <c r="K431" s="55"/>
      <c r="L431" s="55"/>
      <c r="M431" s="55"/>
      <c r="N431" s="55"/>
      <c r="O431" s="55"/>
      <c r="P431" s="55"/>
      <c r="Q431" s="55"/>
      <c r="R431" s="55"/>
      <c r="S431" s="55"/>
      <c r="T431" s="55"/>
      <c r="U431" s="55"/>
      <c r="V431" s="534"/>
      <c r="W431" s="55"/>
      <c r="X431" s="8"/>
      <c r="Y431" s="8"/>
      <c r="Z431" s="8"/>
      <c r="AA431" s="8"/>
      <c r="AB431" s="8"/>
      <c r="AC431" s="8"/>
      <c r="AD431" s="70"/>
      <c r="AH431" s="2200" t="s">
        <v>1290</v>
      </c>
      <c r="AI431" s="2200"/>
      <c r="AJ431" s="2200"/>
      <c r="AK431" s="2200" t="s">
        <v>853</v>
      </c>
      <c r="AL431" s="2200"/>
      <c r="AM431" s="2200"/>
      <c r="AN431" s="2200"/>
      <c r="AO431" s="2200"/>
      <c r="AP431" s="2200"/>
      <c r="AQ431" s="2200"/>
      <c r="AR431" s="2200"/>
    </row>
    <row r="432" spans="1:44" s="7" customFormat="1" ht="18" customHeight="1" x14ac:dyDescent="0.2">
      <c r="A432" s="1370"/>
      <c r="B432" s="2" t="s">
        <v>219</v>
      </c>
      <c r="D432" s="1981">
        <v>3</v>
      </c>
      <c r="E432" s="51">
        <f t="shared" si="180"/>
        <v>1</v>
      </c>
      <c r="F432" s="288"/>
      <c r="G432" s="55"/>
      <c r="H432" s="55"/>
      <c r="I432" s="55"/>
      <c r="J432" s="55"/>
      <c r="K432" s="55"/>
      <c r="L432" s="55"/>
      <c r="M432" s="55"/>
      <c r="N432" s="55"/>
      <c r="O432" s="55"/>
      <c r="P432" s="55"/>
      <c r="Q432" s="55"/>
      <c r="R432" s="55"/>
      <c r="S432" s="55"/>
      <c r="T432" s="55"/>
      <c r="U432" s="55"/>
      <c r="V432" s="534"/>
      <c r="W432" s="55"/>
      <c r="X432" s="8"/>
      <c r="Y432" s="8"/>
      <c r="Z432" s="8"/>
      <c r="AA432" s="8"/>
      <c r="AB432" s="8"/>
      <c r="AC432" s="8"/>
      <c r="AD432" s="70"/>
      <c r="AH432" s="1491">
        <f t="shared" ref="AH432:AR432" si="181">AH159+AH259+AH427</f>
        <v>210.14</v>
      </c>
      <c r="AI432" s="1491">
        <f t="shared" si="181"/>
        <v>90.72</v>
      </c>
      <c r="AJ432" s="1491">
        <f t="shared" si="181"/>
        <v>84.14</v>
      </c>
      <c r="AK432" s="1490">
        <f t="shared" si="181"/>
        <v>14</v>
      </c>
      <c r="AL432" s="1490">
        <f t="shared" si="181"/>
        <v>33</v>
      </c>
      <c r="AM432" s="1490">
        <f t="shared" si="181"/>
        <v>39</v>
      </c>
      <c r="AN432" s="1490">
        <f t="shared" si="181"/>
        <v>59</v>
      </c>
      <c r="AO432" s="1490">
        <f t="shared" si="181"/>
        <v>79</v>
      </c>
      <c r="AP432" s="1490">
        <f t="shared" si="181"/>
        <v>81</v>
      </c>
      <c r="AQ432" s="1490">
        <f t="shared" si="181"/>
        <v>40</v>
      </c>
      <c r="AR432" s="1490">
        <f t="shared" si="181"/>
        <v>32</v>
      </c>
    </row>
    <row r="433" spans="1:44" s="7" customFormat="1" ht="18" customHeight="1" x14ac:dyDescent="0.2">
      <c r="A433" s="1370"/>
      <c r="B433" s="2" t="s">
        <v>220</v>
      </c>
      <c r="D433" s="1981">
        <v>4</v>
      </c>
      <c r="E433" s="51" t="str">
        <f t="shared" si="180"/>
        <v>x</v>
      </c>
      <c r="F433" s="288"/>
      <c r="G433" s="55"/>
      <c r="H433" s="55"/>
      <c r="I433" s="55"/>
      <c r="J433" s="55"/>
      <c r="K433" s="55"/>
      <c r="L433" s="55"/>
      <c r="M433" s="55"/>
      <c r="N433" s="55"/>
      <c r="O433" s="55"/>
      <c r="P433" s="55"/>
      <c r="Q433" s="55"/>
      <c r="R433" s="55"/>
      <c r="S433" s="55"/>
      <c r="T433" s="55"/>
      <c r="U433" s="55"/>
      <c r="V433" s="534"/>
      <c r="W433" s="55"/>
      <c r="X433" s="8"/>
      <c r="Y433" s="8"/>
      <c r="Z433" s="8"/>
      <c r="AA433" s="8"/>
      <c r="AB433" s="8"/>
      <c r="AC433" s="8"/>
      <c r="AD433" s="70"/>
      <c r="AH433" s="1462">
        <f>AH432/SUM($AH$432:$AJ$432)</f>
        <v>0.54581818181818176</v>
      </c>
      <c r="AI433" s="1462">
        <f>AI432/SUM($AH$432:$AJ$432)</f>
        <v>0.23563636363636364</v>
      </c>
      <c r="AJ433" s="1462">
        <f>AJ432/SUM($AH$432:$AJ$432)</f>
        <v>0.21854545454545454</v>
      </c>
      <c r="AK433" s="1463">
        <f t="shared" ref="AK433:AR433" si="182">AK432/SUM($AK$432:$AR$432)</f>
        <v>3.7135278514588858E-2</v>
      </c>
      <c r="AL433" s="1463">
        <f t="shared" si="182"/>
        <v>8.7533156498673742E-2</v>
      </c>
      <c r="AM433" s="1463">
        <f t="shared" si="182"/>
        <v>0.10344827586206896</v>
      </c>
      <c r="AN433" s="1463">
        <f t="shared" si="182"/>
        <v>0.15649867374005305</v>
      </c>
      <c r="AO433" s="1463">
        <f t="shared" si="182"/>
        <v>0.20954907161803712</v>
      </c>
      <c r="AP433" s="1463">
        <f t="shared" si="182"/>
        <v>0.21485411140583555</v>
      </c>
      <c r="AQ433" s="1463">
        <f t="shared" si="182"/>
        <v>0.10610079575596817</v>
      </c>
      <c r="AR433" s="1463">
        <f t="shared" si="182"/>
        <v>8.4880636604774531E-2</v>
      </c>
    </row>
    <row r="434" spans="1:44" s="7" customFormat="1" ht="18" customHeight="1" x14ac:dyDescent="0.2">
      <c r="A434" s="1370"/>
      <c r="B434" s="2" t="s">
        <v>221</v>
      </c>
      <c r="D434" s="1981">
        <v>5</v>
      </c>
      <c r="E434" s="51" t="str">
        <f>IF(P$429=D434,1,"x")</f>
        <v>x</v>
      </c>
      <c r="F434" s="288"/>
      <c r="G434" s="55"/>
      <c r="H434" s="55"/>
      <c r="I434" s="55"/>
      <c r="J434" s="55"/>
      <c r="K434" s="55"/>
      <c r="L434" s="55"/>
      <c r="M434" s="55"/>
      <c r="N434" s="55"/>
      <c r="O434" s="55"/>
      <c r="P434" s="55"/>
      <c r="Q434" s="55"/>
      <c r="R434" s="55"/>
      <c r="S434" s="55"/>
      <c r="T434" s="55"/>
      <c r="U434" s="55"/>
      <c r="V434" s="534"/>
      <c r="W434" s="55"/>
      <c r="X434" s="8"/>
      <c r="Y434" s="8"/>
      <c r="Z434" s="8"/>
      <c r="AA434" s="8"/>
      <c r="AB434" s="8"/>
      <c r="AC434" s="8"/>
    </row>
    <row r="435" spans="1:44" s="7" customFormat="1" ht="18" customHeight="1" x14ac:dyDescent="0.2">
      <c r="A435" s="1370"/>
      <c r="B435" s="2" t="s">
        <v>222</v>
      </c>
      <c r="D435" s="1981">
        <v>6</v>
      </c>
      <c r="E435" s="51" t="str">
        <f t="shared" si="180"/>
        <v>x</v>
      </c>
      <c r="F435" s="288"/>
      <c r="G435" s="55"/>
      <c r="H435" s="55"/>
      <c r="I435" s="55"/>
      <c r="J435" s="55"/>
      <c r="K435" s="55"/>
      <c r="L435" s="55"/>
      <c r="M435" s="55"/>
      <c r="N435" s="55"/>
      <c r="O435" s="55"/>
      <c r="P435" s="55"/>
      <c r="Q435" s="55"/>
      <c r="R435" s="55"/>
      <c r="S435" s="55"/>
      <c r="T435" s="55"/>
      <c r="U435" s="55"/>
      <c r="V435" s="534"/>
      <c r="W435" s="55"/>
      <c r="X435" s="8"/>
      <c r="Y435" s="8"/>
      <c r="Z435" s="8"/>
      <c r="AA435" s="8"/>
      <c r="AB435" s="8"/>
      <c r="AC435" s="8"/>
    </row>
    <row r="436" spans="1:44" s="7" customFormat="1" ht="24" customHeight="1" x14ac:dyDescent="0.2">
      <c r="A436" s="1361" t="str">
        <f>BIBLE!E241</f>
        <v>S02</v>
      </c>
      <c r="B436" s="7" t="str">
        <f>BIBLE!F241</f>
        <v xml:space="preserve">Êtes-vous en processus juridique actuellement? 
</v>
      </c>
      <c r="D436" s="1981"/>
      <c r="F436" s="292"/>
      <c r="H436" s="55"/>
      <c r="I436" s="55"/>
      <c r="J436" s="55"/>
      <c r="K436" s="55"/>
      <c r="L436" s="55"/>
      <c r="M436" s="55"/>
      <c r="N436" s="55"/>
      <c r="O436" s="55"/>
      <c r="P436" s="1777">
        <f>'TEST_pour PROTOTYPE'!D399</f>
        <v>4</v>
      </c>
      <c r="Q436" s="55"/>
      <c r="R436" s="55"/>
      <c r="S436" s="55"/>
      <c r="T436" s="55"/>
      <c r="U436" s="55"/>
      <c r="V436" s="534"/>
      <c r="W436" s="55"/>
      <c r="X436" s="8"/>
      <c r="Z436" s="8"/>
      <c r="AA436" s="8"/>
      <c r="AB436" s="8"/>
      <c r="AC436" s="8"/>
    </row>
    <row r="437" spans="1:44" s="7" customFormat="1" x14ac:dyDescent="0.2">
      <c r="A437" s="1361"/>
      <c r="B437" s="70" t="s">
        <v>248</v>
      </c>
      <c r="D437" s="1981">
        <v>1</v>
      </c>
      <c r="E437" s="51" t="str">
        <f>IF(P$436=D437,1,"x")</f>
        <v>x</v>
      </c>
      <c r="F437" s="292"/>
      <c r="H437" s="55"/>
      <c r="I437" s="55"/>
      <c r="J437" s="55"/>
      <c r="K437" s="55"/>
      <c r="L437" s="55"/>
      <c r="M437" s="55"/>
      <c r="N437" s="55"/>
      <c r="O437" s="55"/>
      <c r="P437" s="55"/>
      <c r="Q437" s="55"/>
      <c r="R437" s="55"/>
      <c r="S437" s="55"/>
      <c r="T437" s="55"/>
      <c r="U437" s="55"/>
      <c r="V437" s="534"/>
      <c r="W437" s="55"/>
      <c r="X437" s="8"/>
      <c r="Y437" s="8"/>
      <c r="Z437" s="8"/>
      <c r="AA437" s="8"/>
      <c r="AB437" s="8"/>
      <c r="AC437" s="8"/>
    </row>
    <row r="438" spans="1:44" s="7" customFormat="1" x14ac:dyDescent="0.2">
      <c r="A438" s="1361"/>
      <c r="B438" s="70" t="s">
        <v>249</v>
      </c>
      <c r="D438" s="1981">
        <v>2</v>
      </c>
      <c r="E438" s="51" t="str">
        <f>IF(P$436=D438,1,"x")</f>
        <v>x</v>
      </c>
      <c r="F438" s="292"/>
      <c r="H438" s="55"/>
      <c r="I438" s="55"/>
      <c r="J438" s="55"/>
      <c r="K438" s="55"/>
      <c r="L438" s="55"/>
      <c r="M438" s="55"/>
      <c r="N438" s="55"/>
      <c r="O438" s="55"/>
      <c r="P438" s="55"/>
      <c r="Q438" s="55"/>
      <c r="R438" s="55"/>
      <c r="S438" s="55"/>
      <c r="T438" s="55"/>
      <c r="U438" s="55"/>
      <c r="V438" s="534"/>
      <c r="W438" s="55"/>
      <c r="X438" s="8"/>
      <c r="Y438" s="8"/>
      <c r="Z438" s="8"/>
      <c r="AA438" s="8"/>
      <c r="AB438" s="8"/>
      <c r="AC438" s="8"/>
    </row>
    <row r="439" spans="1:44" s="7" customFormat="1" x14ac:dyDescent="0.2">
      <c r="A439" s="1361"/>
      <c r="B439" s="70" t="s">
        <v>250</v>
      </c>
      <c r="D439" s="1981">
        <v>3</v>
      </c>
      <c r="E439" s="51" t="str">
        <f t="shared" ref="E439:E440" si="183">IF(P$436=D439,1,"x")</f>
        <v>x</v>
      </c>
      <c r="F439" s="292"/>
      <c r="H439" s="55"/>
      <c r="I439" s="55"/>
      <c r="J439" s="55"/>
      <c r="K439" s="55"/>
      <c r="L439" s="55"/>
      <c r="M439" s="55"/>
      <c r="N439" s="55"/>
      <c r="O439" s="55"/>
      <c r="P439" s="55"/>
      <c r="Q439" s="55"/>
      <c r="R439" s="55"/>
      <c r="S439" s="55"/>
      <c r="T439" s="55"/>
      <c r="U439" s="55"/>
      <c r="V439" s="534"/>
      <c r="W439" s="55"/>
      <c r="X439" s="8"/>
      <c r="Y439" s="8"/>
      <c r="Z439" s="8"/>
      <c r="AA439" s="8"/>
      <c r="AB439" s="8"/>
      <c r="AC439" s="8"/>
    </row>
    <row r="440" spans="1:44" s="7" customFormat="1" x14ac:dyDescent="0.2">
      <c r="A440" s="1361"/>
      <c r="B440" s="70" t="s">
        <v>251</v>
      </c>
      <c r="D440" s="1981">
        <v>4</v>
      </c>
      <c r="E440" s="51">
        <f t="shared" si="183"/>
        <v>1</v>
      </c>
      <c r="F440" s="292"/>
      <c r="H440" s="55"/>
      <c r="I440" s="55"/>
      <c r="J440" s="55"/>
      <c r="K440" s="55"/>
      <c r="L440" s="55"/>
      <c r="M440" s="55"/>
      <c r="N440" s="55"/>
      <c r="O440" s="55"/>
      <c r="P440" s="55"/>
      <c r="Q440" s="55"/>
      <c r="R440" s="55"/>
      <c r="S440" s="55"/>
      <c r="T440" s="55"/>
      <c r="U440" s="55"/>
      <c r="V440" s="534"/>
      <c r="W440" s="55"/>
      <c r="X440" s="8"/>
      <c r="Y440" s="8"/>
      <c r="Z440" s="8"/>
      <c r="AA440" s="8"/>
      <c r="AB440" s="8"/>
      <c r="AC440" s="8"/>
    </row>
    <row r="441" spans="1:44" s="7" customFormat="1" x14ac:dyDescent="0.2">
      <c r="A441" s="1361"/>
      <c r="B441" s="70" t="s">
        <v>252</v>
      </c>
      <c r="D441" s="1981">
        <v>5</v>
      </c>
      <c r="E441" s="1872" t="s">
        <v>1492</v>
      </c>
      <c r="F441" s="292"/>
      <c r="H441" s="55"/>
      <c r="I441" s="55"/>
      <c r="J441" s="55"/>
      <c r="K441" s="55"/>
      <c r="L441" s="55"/>
      <c r="M441" s="55"/>
      <c r="N441" s="55"/>
      <c r="O441" s="55"/>
      <c r="P441" s="55"/>
      <c r="Q441" s="55"/>
      <c r="R441" s="55"/>
      <c r="S441" s="55"/>
      <c r="T441" s="55"/>
      <c r="U441" s="55"/>
      <c r="V441" s="534"/>
      <c r="W441" s="55"/>
      <c r="X441" s="8"/>
      <c r="Y441" s="8"/>
      <c r="Z441" s="8"/>
      <c r="AA441" s="8"/>
      <c r="AB441" s="8"/>
      <c r="AC441" s="8"/>
    </row>
    <row r="442" spans="1:44" s="7" customFormat="1" x14ac:dyDescent="0.2">
      <c r="A442" s="1361" t="str">
        <f>BIBLE!E242</f>
        <v>S03</v>
      </c>
      <c r="B442" s="7" t="str">
        <f>BIBLE!F242</f>
        <v xml:space="preserve">Quelles sont les modalités de garde des enfants aujourd'hui?
</v>
      </c>
      <c r="D442" s="1981"/>
      <c r="F442" s="292"/>
      <c r="H442" s="55"/>
      <c r="I442" s="55"/>
      <c r="J442" s="55"/>
      <c r="K442" s="55"/>
      <c r="L442" s="55"/>
      <c r="M442" s="55"/>
      <c r="N442" s="55"/>
      <c r="O442" s="55"/>
      <c r="P442" s="1777">
        <f>'TEST_pour PROTOTYPE'!D400</f>
        <v>2</v>
      </c>
      <c r="Q442" s="55"/>
      <c r="R442" s="55"/>
      <c r="S442" s="55"/>
      <c r="T442" s="55"/>
      <c r="U442" s="55"/>
      <c r="V442" s="534"/>
      <c r="W442" s="55"/>
      <c r="X442" s="8"/>
      <c r="Y442" s="8"/>
      <c r="Z442" s="8"/>
      <c r="AA442" s="8"/>
      <c r="AB442" s="8"/>
      <c r="AC442" s="8"/>
    </row>
    <row r="443" spans="1:44" s="7" customFormat="1" x14ac:dyDescent="0.2">
      <c r="A443" s="1361"/>
      <c r="B443" s="70" t="s">
        <v>253</v>
      </c>
      <c r="D443" s="1981">
        <v>1</v>
      </c>
      <c r="E443" s="51" t="str">
        <f>IF(P$442=D443,1,"x")</f>
        <v>x</v>
      </c>
      <c r="F443" s="292"/>
      <c r="H443" s="55"/>
      <c r="I443" s="55"/>
      <c r="J443" s="55"/>
      <c r="K443" s="55"/>
      <c r="L443" s="55"/>
      <c r="M443" s="55"/>
      <c r="N443" s="55"/>
      <c r="O443" s="55"/>
      <c r="P443" s="55"/>
      <c r="Q443" s="55"/>
      <c r="R443" s="55"/>
      <c r="S443" s="55"/>
      <c r="T443" s="55"/>
      <c r="U443" s="55"/>
      <c r="V443" s="534"/>
      <c r="W443" s="55"/>
      <c r="X443" s="8"/>
      <c r="Y443" s="8"/>
      <c r="Z443" s="8"/>
      <c r="AA443" s="8"/>
      <c r="AB443" s="8"/>
      <c r="AC443" s="8"/>
    </row>
    <row r="444" spans="1:44" s="7" customFormat="1" x14ac:dyDescent="0.2">
      <c r="A444" s="1361"/>
      <c r="B444" s="70" t="s">
        <v>254</v>
      </c>
      <c r="D444" s="1981">
        <v>2</v>
      </c>
      <c r="E444" s="51">
        <f t="shared" ref="E444:E449" si="184">IF(P$442=D444,1,"x")</f>
        <v>1</v>
      </c>
      <c r="F444" s="292"/>
      <c r="H444" s="55"/>
      <c r="I444" s="55"/>
      <c r="J444" s="55"/>
      <c r="K444" s="55"/>
      <c r="L444" s="55"/>
      <c r="M444" s="55"/>
      <c r="N444" s="55"/>
      <c r="O444" s="55"/>
      <c r="P444" s="55"/>
      <c r="Q444" s="55"/>
      <c r="R444" s="55"/>
      <c r="S444" s="55"/>
      <c r="T444" s="55"/>
      <c r="U444" s="55"/>
      <c r="V444" s="534"/>
      <c r="W444" s="55"/>
      <c r="X444" s="8"/>
      <c r="Y444" s="8"/>
      <c r="Z444" s="8"/>
      <c r="AA444" s="8"/>
      <c r="AB444" s="8"/>
      <c r="AC444" s="8"/>
    </row>
    <row r="445" spans="1:44" s="7" customFormat="1" x14ac:dyDescent="0.2">
      <c r="A445" s="1361"/>
      <c r="B445" s="70" t="s">
        <v>255</v>
      </c>
      <c r="D445" s="1981">
        <v>3</v>
      </c>
      <c r="E445" s="51" t="str">
        <f t="shared" si="184"/>
        <v>x</v>
      </c>
      <c r="F445" s="292"/>
      <c r="H445" s="26"/>
      <c r="I445" s="26"/>
      <c r="J445" s="26"/>
      <c r="K445" s="26"/>
      <c r="L445" s="26"/>
      <c r="M445" s="26"/>
      <c r="N445" s="26"/>
      <c r="O445" s="26"/>
      <c r="P445" s="26"/>
      <c r="Q445" s="26"/>
      <c r="R445" s="26"/>
      <c r="S445" s="26"/>
      <c r="T445" s="26"/>
      <c r="U445" s="26"/>
      <c r="V445" s="16"/>
      <c r="W445" s="26"/>
      <c r="X445" s="8"/>
      <c r="Y445" s="8"/>
      <c r="Z445" s="8"/>
      <c r="AA445" s="8"/>
      <c r="AB445" s="8"/>
      <c r="AC445" s="8"/>
    </row>
    <row r="446" spans="1:44" s="7" customFormat="1" x14ac:dyDescent="0.2">
      <c r="A446" s="1361"/>
      <c r="B446" s="70" t="s">
        <v>256</v>
      </c>
      <c r="D446" s="1981">
        <v>4</v>
      </c>
      <c r="E446" s="51" t="str">
        <f t="shared" si="184"/>
        <v>x</v>
      </c>
      <c r="F446" s="292"/>
      <c r="V446" s="8"/>
      <c r="X446" s="8"/>
      <c r="Y446" s="8"/>
      <c r="Z446" s="8"/>
      <c r="AA446" s="8"/>
      <c r="AB446" s="8"/>
      <c r="AC446" s="8"/>
    </row>
    <row r="447" spans="1:44" s="7" customFormat="1" x14ac:dyDescent="0.2">
      <c r="A447" s="1361"/>
      <c r="B447" s="70" t="s">
        <v>257</v>
      </c>
      <c r="D447" s="1981">
        <v>5</v>
      </c>
      <c r="E447" s="51" t="str">
        <f t="shared" si="184"/>
        <v>x</v>
      </c>
      <c r="F447" s="292"/>
      <c r="V447" s="8"/>
      <c r="X447" s="8"/>
      <c r="Y447" s="8"/>
      <c r="Z447" s="8"/>
      <c r="AA447" s="8"/>
      <c r="AB447" s="8"/>
      <c r="AC447" s="8"/>
    </row>
    <row r="448" spans="1:44" s="7" customFormat="1" x14ac:dyDescent="0.2">
      <c r="A448" s="1361"/>
      <c r="B448" s="70" t="s">
        <v>258</v>
      </c>
      <c r="D448" s="1981">
        <v>6</v>
      </c>
      <c r="E448" s="51" t="str">
        <f t="shared" si="184"/>
        <v>x</v>
      </c>
      <c r="F448" s="292"/>
      <c r="V448" s="8"/>
      <c r="X448" s="8"/>
      <c r="Y448" s="8"/>
      <c r="Z448" s="8"/>
      <c r="AA448" s="8"/>
      <c r="AB448" s="8"/>
      <c r="AC448" s="8"/>
    </row>
    <row r="449" spans="1:44" s="7" customFormat="1" ht="24" x14ac:dyDescent="0.2">
      <c r="A449" s="1361"/>
      <c r="B449" s="70" t="s">
        <v>471</v>
      </c>
      <c r="D449" s="1981">
        <v>7</v>
      </c>
      <c r="E449" s="51" t="str">
        <f t="shared" si="184"/>
        <v>x</v>
      </c>
      <c r="F449" s="292"/>
      <c r="V449" s="8"/>
      <c r="X449" s="8"/>
      <c r="Y449" s="8"/>
      <c r="Z449" s="8"/>
      <c r="AA449" s="8"/>
      <c r="AB449" s="8"/>
      <c r="AC449" s="8"/>
      <c r="AH449" s="2201" t="s">
        <v>1312</v>
      </c>
      <c r="AI449" s="2201"/>
      <c r="AJ449" s="2201"/>
      <c r="AK449" s="2201"/>
      <c r="AL449" s="2201"/>
      <c r="AM449" s="2201"/>
      <c r="AN449" s="2201"/>
      <c r="AO449" s="2201"/>
      <c r="AP449" s="2201"/>
      <c r="AQ449" s="2201"/>
      <c r="AR449" s="2201"/>
    </row>
    <row r="450" spans="1:44" s="7" customFormat="1" x14ac:dyDescent="0.2">
      <c r="A450" s="1361"/>
      <c r="B450" s="70" t="s">
        <v>252</v>
      </c>
      <c r="D450" s="1981">
        <v>8</v>
      </c>
      <c r="E450" s="1872" t="s">
        <v>1492</v>
      </c>
      <c r="F450" s="292"/>
      <c r="G450" s="302" t="s">
        <v>944</v>
      </c>
      <c r="V450" s="8"/>
      <c r="X450" s="8"/>
      <c r="Y450" s="8"/>
      <c r="Z450" s="8"/>
      <c r="AA450" s="8"/>
      <c r="AB450" s="8"/>
      <c r="AC450" s="8"/>
      <c r="AH450" s="2200" t="s">
        <v>1290</v>
      </c>
      <c r="AI450" s="2200"/>
      <c r="AJ450" s="2200"/>
      <c r="AK450" s="2200" t="s">
        <v>853</v>
      </c>
      <c r="AL450" s="2200"/>
      <c r="AM450" s="2200"/>
      <c r="AN450" s="2200"/>
      <c r="AO450" s="2200"/>
      <c r="AP450" s="2200"/>
      <c r="AQ450" s="2200"/>
      <c r="AR450" s="2200"/>
    </row>
    <row r="451" spans="1:44" s="7" customFormat="1" x14ac:dyDescent="0.2">
      <c r="A451" s="1361" t="str">
        <f>BIBLE!E243</f>
        <v>S03a</v>
      </c>
      <c r="B451" s="22" t="str">
        <f>IF(P442=1,BIBLE!F243," ")</f>
        <v xml:space="preserve"> </v>
      </c>
      <c r="D451" s="1981"/>
      <c r="E451" s="22"/>
      <c r="F451" s="296"/>
      <c r="G451" s="302"/>
      <c r="P451" s="1777">
        <f>'TEST_pour PROTOTYPE'!D401</f>
        <v>0</v>
      </c>
      <c r="V451" s="8"/>
      <c r="X451" s="8"/>
      <c r="Y451" s="8"/>
      <c r="Z451" s="8"/>
      <c r="AA451" s="8"/>
      <c r="AB451" s="8"/>
      <c r="AC451" s="8"/>
      <c r="AH451" s="1491">
        <f t="shared" ref="AH451:AR451" si="185">AH259+AH427</f>
        <v>151.5</v>
      </c>
      <c r="AI451" s="1491">
        <f t="shared" si="185"/>
        <v>85</v>
      </c>
      <c r="AJ451" s="1491">
        <f t="shared" si="185"/>
        <v>75.5</v>
      </c>
      <c r="AK451" s="1490">
        <f t="shared" si="185"/>
        <v>14</v>
      </c>
      <c r="AL451" s="1490">
        <f t="shared" si="185"/>
        <v>33</v>
      </c>
      <c r="AM451" s="1490">
        <f t="shared" si="185"/>
        <v>21</v>
      </c>
      <c r="AN451" s="1490">
        <f t="shared" si="185"/>
        <v>47</v>
      </c>
      <c r="AO451" s="1490">
        <f t="shared" si="185"/>
        <v>74</v>
      </c>
      <c r="AP451" s="1490">
        <f t="shared" si="185"/>
        <v>69</v>
      </c>
      <c r="AQ451" s="1490">
        <f t="shared" si="185"/>
        <v>22</v>
      </c>
      <c r="AR451" s="1490">
        <f t="shared" si="185"/>
        <v>32</v>
      </c>
    </row>
    <row r="452" spans="1:44" s="7" customFormat="1" x14ac:dyDescent="0.2">
      <c r="A452" s="1361"/>
      <c r="B452" s="126" t="str">
        <f>IF(P$442=1,"50% / 50%","")</f>
        <v/>
      </c>
      <c r="D452" s="1981">
        <v>1</v>
      </c>
      <c r="E452" s="51" t="str">
        <f>IF(P$451=D452,1,"x")</f>
        <v>x</v>
      </c>
      <c r="F452" s="296"/>
      <c r="G452" s="302"/>
      <c r="V452" s="8"/>
      <c r="X452" s="8"/>
      <c r="Y452" s="8"/>
      <c r="Z452" s="8"/>
      <c r="AA452" s="8"/>
      <c r="AB452" s="8"/>
      <c r="AC452" s="8"/>
      <c r="AH452" s="1462">
        <f>AH451/SUM($AH$451:$AJ$451)</f>
        <v>0.48557692307692307</v>
      </c>
      <c r="AI452" s="1462">
        <f>AI451/SUM($AH$451:$AJ$451)</f>
        <v>0.27243589743589741</v>
      </c>
      <c r="AJ452" s="1462">
        <f>AJ451/SUM($AH$451:$AJ$451)</f>
        <v>0.24198717948717949</v>
      </c>
      <c r="AK452" s="1463">
        <f t="shared" ref="AK452:AR452" si="186">AK451/SUM($AK$451:$AR$451)</f>
        <v>4.4871794871794872E-2</v>
      </c>
      <c r="AL452" s="1463">
        <f t="shared" si="186"/>
        <v>0.10576923076923077</v>
      </c>
      <c r="AM452" s="1463">
        <f t="shared" si="186"/>
        <v>6.7307692307692304E-2</v>
      </c>
      <c r="AN452" s="1463">
        <f t="shared" si="186"/>
        <v>0.15064102564102563</v>
      </c>
      <c r="AO452" s="1463">
        <f t="shared" si="186"/>
        <v>0.23717948717948717</v>
      </c>
      <c r="AP452" s="1463">
        <f t="shared" si="186"/>
        <v>0.22115384615384615</v>
      </c>
      <c r="AQ452" s="1463">
        <f t="shared" si="186"/>
        <v>7.0512820512820512E-2</v>
      </c>
      <c r="AR452" s="1463">
        <f t="shared" si="186"/>
        <v>0.10256410256410256</v>
      </c>
    </row>
    <row r="453" spans="1:44" s="7" customFormat="1" x14ac:dyDescent="0.2">
      <c r="A453" s="1361"/>
      <c r="B453" s="126" t="str">
        <f>IF(P$442=1,"Plus de 60% pour vous","")</f>
        <v/>
      </c>
      <c r="D453" s="1981">
        <v>2</v>
      </c>
      <c r="E453" s="51" t="str">
        <f t="shared" ref="E453:E455" si="187">IF(P$451=D453,1,"x")</f>
        <v>x</v>
      </c>
      <c r="F453" s="296"/>
      <c r="G453" s="302"/>
      <c r="H453" s="55"/>
      <c r="I453" s="55"/>
      <c r="J453" s="55"/>
      <c r="K453" s="55"/>
      <c r="L453" s="55"/>
      <c r="M453" s="55"/>
      <c r="N453" s="55"/>
      <c r="O453" s="55"/>
      <c r="P453" s="55"/>
      <c r="Q453" s="55"/>
      <c r="R453" s="55"/>
      <c r="S453" s="55"/>
      <c r="T453" s="55"/>
      <c r="U453" s="55"/>
      <c r="V453" s="534"/>
      <c r="W453" s="55"/>
      <c r="X453" s="8"/>
      <c r="Y453" s="8"/>
      <c r="Z453" s="8"/>
      <c r="AA453" s="8"/>
      <c r="AB453" s="8"/>
      <c r="AC453" s="8"/>
    </row>
    <row r="454" spans="1:44" s="7" customFormat="1" x14ac:dyDescent="0.2">
      <c r="A454" s="1361"/>
      <c r="B454" s="126" t="str">
        <f>IF(P$442=1,"Moins de 40% pour vous","")</f>
        <v/>
      </c>
      <c r="D454" s="1981">
        <v>3</v>
      </c>
      <c r="E454" s="51" t="str">
        <f t="shared" si="187"/>
        <v>x</v>
      </c>
      <c r="F454" s="296"/>
      <c r="G454" s="302"/>
      <c r="H454" s="54"/>
      <c r="I454" s="54"/>
      <c r="J454" s="54"/>
      <c r="K454" s="54"/>
      <c r="L454" s="54"/>
      <c r="M454" s="54"/>
      <c r="N454" s="54"/>
      <c r="O454" s="54"/>
      <c r="P454" s="54"/>
      <c r="Q454" s="54"/>
      <c r="R454" s="54"/>
      <c r="S454" s="54"/>
      <c r="T454" s="54"/>
      <c r="U454" s="54"/>
      <c r="V454" s="298"/>
      <c r="W454" s="54"/>
      <c r="X454" s="8"/>
      <c r="Y454" s="8"/>
      <c r="Z454" s="8"/>
      <c r="AA454" s="8"/>
      <c r="AB454" s="8"/>
      <c r="AC454" s="8"/>
    </row>
    <row r="455" spans="1:44" s="7" customFormat="1" ht="24" x14ac:dyDescent="0.2">
      <c r="A455" s="1361"/>
      <c r="B455" s="126" t="str">
        <f>IF(P$442=1,"Fin de semaine seulement pour vous","")</f>
        <v/>
      </c>
      <c r="D455" s="1981">
        <v>4</v>
      </c>
      <c r="E455" s="51" t="str">
        <f t="shared" si="187"/>
        <v>x</v>
      </c>
      <c r="F455" s="296"/>
      <c r="G455" s="302"/>
      <c r="H455" s="54"/>
      <c r="I455" s="54"/>
      <c r="J455" s="54"/>
      <c r="K455" s="54"/>
      <c r="L455" s="54"/>
      <c r="M455" s="54"/>
      <c r="N455" s="54"/>
      <c r="O455" s="54"/>
      <c r="P455" s="54"/>
      <c r="Q455" s="54"/>
      <c r="R455" s="54"/>
      <c r="S455" s="54"/>
      <c r="T455" s="54"/>
      <c r="U455" s="54"/>
      <c r="V455" s="298"/>
      <c r="W455" s="54"/>
      <c r="X455" s="8"/>
      <c r="Y455" s="8"/>
      <c r="Z455" s="8"/>
      <c r="AA455" s="8"/>
      <c r="AB455" s="8"/>
      <c r="AC455" s="8"/>
      <c r="AH455" s="2201" t="s">
        <v>1289</v>
      </c>
      <c r="AI455" s="2201"/>
      <c r="AJ455" s="2201"/>
      <c r="AK455" s="2201"/>
      <c r="AL455" s="2201"/>
      <c r="AM455" s="2201"/>
      <c r="AN455" s="2201"/>
      <c r="AO455" s="2201"/>
      <c r="AP455" s="2201"/>
      <c r="AQ455" s="2201"/>
      <c r="AR455" s="2201"/>
    </row>
    <row r="456" spans="1:44" s="7" customFormat="1" x14ac:dyDescent="0.2">
      <c r="A456" s="1361"/>
      <c r="B456" s="126" t="str">
        <f>IF(P$442=1,"Autre (veuillez préciser)","")</f>
        <v/>
      </c>
      <c r="D456" s="1981">
        <v>5</v>
      </c>
      <c r="E456" s="1872" t="s">
        <v>1492</v>
      </c>
      <c r="F456" s="296"/>
      <c r="G456" s="302" t="s">
        <v>944</v>
      </c>
      <c r="H456" s="55"/>
      <c r="I456" s="55"/>
      <c r="J456" s="55"/>
      <c r="K456" s="55"/>
      <c r="L456" s="55"/>
      <c r="M456" s="55"/>
      <c r="N456" s="55"/>
      <c r="O456" s="55"/>
      <c r="P456" s="55"/>
      <c r="Q456" s="55"/>
      <c r="R456" s="55"/>
      <c r="S456" s="55"/>
      <c r="T456" s="55"/>
      <c r="U456" s="55"/>
      <c r="V456" s="534"/>
      <c r="W456" s="55"/>
      <c r="X456" s="8"/>
      <c r="Y456" s="8"/>
      <c r="Z456" s="8"/>
      <c r="AA456" s="8"/>
      <c r="AB456" s="8"/>
      <c r="AC456" s="8"/>
      <c r="AH456" s="2200" t="s">
        <v>1290</v>
      </c>
      <c r="AI456" s="2200"/>
      <c r="AJ456" s="2200"/>
      <c r="AK456" s="2200" t="s">
        <v>853</v>
      </c>
      <c r="AL456" s="2200"/>
      <c r="AM456" s="2200"/>
      <c r="AN456" s="2200"/>
      <c r="AO456" s="2200"/>
      <c r="AP456" s="2200"/>
      <c r="AQ456" s="2200"/>
      <c r="AR456" s="2200"/>
    </row>
    <row r="457" spans="1:44" s="7" customFormat="1" ht="51" x14ac:dyDescent="0.2">
      <c r="A457" s="1362" t="str">
        <f>BIBLE!E244</f>
        <v>S04</v>
      </c>
      <c r="B457" s="26" t="str">
        <f>BIBLE!F244</f>
        <v xml:space="preserve">Durant l’enfance et avant 14 ans, est-ce que vous et/ou votre ex-conjoint·e (coparent) avez vécu l’une des situations familiales suivantes? Cochez les réponses qui s'appliquent. </v>
      </c>
      <c r="D457" s="944"/>
      <c r="E457" s="55"/>
      <c r="F457" s="288"/>
      <c r="G457" s="55"/>
      <c r="H457" s="55"/>
      <c r="I457" s="55"/>
      <c r="J457" s="55"/>
      <c r="K457" s="55"/>
      <c r="L457" s="55"/>
      <c r="M457" s="55"/>
      <c r="N457" s="55"/>
      <c r="O457" s="1886" t="s">
        <v>1621</v>
      </c>
      <c r="P457" s="5">
        <f>SUM(P458:P467)</f>
        <v>4</v>
      </c>
      <c r="Q457" s="55"/>
      <c r="R457" s="55"/>
      <c r="S457" s="55"/>
      <c r="T457" s="55"/>
      <c r="U457" s="55"/>
      <c r="V457" s="534"/>
      <c r="W457" s="55"/>
      <c r="X457" s="8"/>
      <c r="Y457" s="8"/>
      <c r="Z457" s="8"/>
      <c r="AA457" s="8"/>
      <c r="AB457" s="8"/>
      <c r="AC457" s="8"/>
      <c r="AH457" s="1491">
        <f t="shared" ref="AH457:AR457" si="188">AH380</f>
        <v>151</v>
      </c>
      <c r="AI457" s="1491">
        <f t="shared" si="188"/>
        <v>84</v>
      </c>
      <c r="AJ457" s="1491">
        <f t="shared" si="188"/>
        <v>11</v>
      </c>
      <c r="AK457" s="1490">
        <f t="shared" si="188"/>
        <v>28</v>
      </c>
      <c r="AL457" s="1490">
        <f t="shared" si="188"/>
        <v>12</v>
      </c>
      <c r="AM457" s="1490">
        <f t="shared" si="188"/>
        <v>12</v>
      </c>
      <c r="AN457" s="1490">
        <f t="shared" si="188"/>
        <v>18</v>
      </c>
      <c r="AO457" s="1490">
        <f t="shared" si="188"/>
        <v>60</v>
      </c>
      <c r="AP457" s="1490">
        <f t="shared" si="188"/>
        <v>28</v>
      </c>
      <c r="AQ457" s="1490">
        <f t="shared" si="188"/>
        <v>37</v>
      </c>
      <c r="AR457" s="1490">
        <f t="shared" si="188"/>
        <v>51</v>
      </c>
    </row>
    <row r="458" spans="1:44" ht="17" x14ac:dyDescent="0.2">
      <c r="A458" s="2225"/>
      <c r="B458" s="71" t="s">
        <v>508</v>
      </c>
      <c r="D458" s="1774">
        <v>1</v>
      </c>
      <c r="E458" s="1948">
        <f>'TEST_pour PROTOTYPE'!D402</f>
        <v>0</v>
      </c>
      <c r="F458" s="295"/>
      <c r="G458" s="54"/>
      <c r="H458" s="54"/>
      <c r="I458" s="54"/>
      <c r="J458" s="54"/>
      <c r="K458" s="54"/>
      <c r="L458" s="54"/>
      <c r="M458" s="54"/>
      <c r="N458" s="54"/>
      <c r="O458" s="54"/>
      <c r="P458" s="1975">
        <f>D458*E458</f>
        <v>0</v>
      </c>
      <c r="Q458" s="54"/>
      <c r="R458" s="54"/>
      <c r="S458" s="54"/>
      <c r="T458" s="54"/>
      <c r="U458" s="54"/>
      <c r="V458" s="298"/>
      <c r="W458" s="54"/>
      <c r="AH458" s="1462">
        <f>AH457/SUM($AH$457:$AJ$457)</f>
        <v>0.61382113821138207</v>
      </c>
      <c r="AI458" s="1462">
        <f>AI457/SUM($AH$457:$AJ$457)</f>
        <v>0.34146341463414637</v>
      </c>
      <c r="AJ458" s="1462">
        <f>AJ457/SUM($AH$457:$AJ$457)</f>
        <v>4.4715447154471545E-2</v>
      </c>
      <c r="AK458" s="1463">
        <f t="shared" ref="AK458:AR458" si="189">AK457/SUM($AK$457:$AR$457)</f>
        <v>0.11382113821138211</v>
      </c>
      <c r="AL458" s="1463">
        <f t="shared" si="189"/>
        <v>4.878048780487805E-2</v>
      </c>
      <c r="AM458" s="1463">
        <f t="shared" si="189"/>
        <v>4.878048780487805E-2</v>
      </c>
      <c r="AN458" s="1463">
        <f t="shared" si="189"/>
        <v>7.3170731707317069E-2</v>
      </c>
      <c r="AO458" s="1463">
        <f t="shared" si="189"/>
        <v>0.24390243902439024</v>
      </c>
      <c r="AP458" s="1463">
        <f t="shared" si="189"/>
        <v>0.11382113821138211</v>
      </c>
      <c r="AQ458" s="1463">
        <f t="shared" si="189"/>
        <v>0.15040650406504066</v>
      </c>
      <c r="AR458" s="1463">
        <f t="shared" si="189"/>
        <v>0.2073170731707317</v>
      </c>
    </row>
    <row r="459" spans="1:44" ht="17" x14ac:dyDescent="0.2">
      <c r="A459" s="2225"/>
      <c r="B459" s="71" t="s">
        <v>507</v>
      </c>
      <c r="D459" s="1774">
        <v>1</v>
      </c>
      <c r="E459" s="1948">
        <f>'TEST_pour PROTOTYPE'!D403</f>
        <v>0</v>
      </c>
      <c r="F459" s="295"/>
      <c r="G459" s="54"/>
      <c r="H459" s="54"/>
      <c r="I459" s="54"/>
      <c r="J459" s="54"/>
      <c r="K459" s="54"/>
      <c r="L459" s="54"/>
      <c r="M459" s="54"/>
      <c r="N459" s="54"/>
      <c r="O459" s="54"/>
      <c r="P459" s="1975">
        <f t="shared" ref="P459:P466" si="190">D459*E459</f>
        <v>0</v>
      </c>
      <c r="Q459" s="54"/>
      <c r="R459" s="54"/>
      <c r="S459" s="54"/>
      <c r="T459" s="54"/>
      <c r="U459" s="54"/>
      <c r="V459" s="298"/>
      <c r="W459" s="54"/>
    </row>
    <row r="460" spans="1:44" ht="17" x14ac:dyDescent="0.2">
      <c r="A460" s="1362"/>
      <c r="B460" s="71" t="s">
        <v>1845</v>
      </c>
      <c r="D460" s="1774">
        <v>1</v>
      </c>
      <c r="E460" s="1948">
        <f>'TEST_pour PROTOTYPE'!D404</f>
        <v>1</v>
      </c>
      <c r="F460" s="288"/>
      <c r="G460" s="55"/>
      <c r="H460" s="55"/>
      <c r="I460" s="55"/>
      <c r="J460" s="55"/>
      <c r="K460" s="55"/>
      <c r="L460" s="55"/>
      <c r="M460" s="55"/>
      <c r="N460" s="55"/>
      <c r="O460" s="55"/>
      <c r="P460" s="1975">
        <f t="shared" si="190"/>
        <v>1</v>
      </c>
      <c r="Q460" s="55"/>
      <c r="R460" s="55"/>
      <c r="S460" s="55"/>
      <c r="T460" s="55"/>
      <c r="U460" s="55"/>
      <c r="V460" s="534"/>
      <c r="W460" s="55"/>
    </row>
    <row r="461" spans="1:44" ht="34" x14ac:dyDescent="0.2">
      <c r="A461" s="1362"/>
      <c r="B461" s="71" t="s">
        <v>1846</v>
      </c>
      <c r="D461" s="1774">
        <v>1</v>
      </c>
      <c r="E461" s="1948">
        <f>'TEST_pour PROTOTYPE'!D405</f>
        <v>1</v>
      </c>
      <c r="F461" s="288"/>
      <c r="G461" s="55"/>
      <c r="H461" s="55"/>
      <c r="I461" s="55"/>
      <c r="J461" s="55"/>
      <c r="K461" s="55"/>
      <c r="L461" s="55"/>
      <c r="M461" s="55"/>
      <c r="N461" s="55"/>
      <c r="O461" s="55"/>
      <c r="P461" s="1975">
        <f t="shared" si="190"/>
        <v>1</v>
      </c>
      <c r="Q461" s="55"/>
      <c r="R461" s="55"/>
      <c r="S461" s="55"/>
      <c r="T461" s="55"/>
      <c r="U461" s="55"/>
      <c r="V461" s="534"/>
      <c r="W461" s="55"/>
    </row>
    <row r="462" spans="1:44" ht="34" x14ac:dyDescent="0.2">
      <c r="A462" s="1362"/>
      <c r="B462" s="71" t="s">
        <v>1847</v>
      </c>
      <c r="D462" s="1774">
        <v>1</v>
      </c>
      <c r="E462" s="1948">
        <f>'TEST_pour PROTOTYPE'!D406</f>
        <v>0</v>
      </c>
      <c r="F462" s="288"/>
      <c r="G462" s="55"/>
      <c r="H462" s="55"/>
      <c r="I462" s="55"/>
      <c r="J462" s="55"/>
      <c r="K462" s="55"/>
      <c r="L462" s="55"/>
      <c r="M462" s="55"/>
      <c r="N462" s="55"/>
      <c r="O462" s="55"/>
      <c r="P462" s="1975">
        <f t="shared" si="190"/>
        <v>0</v>
      </c>
      <c r="Q462" s="55"/>
      <c r="R462" s="55"/>
      <c r="S462" s="55"/>
      <c r="T462" s="55"/>
      <c r="U462" s="55"/>
      <c r="V462" s="534"/>
      <c r="W462" s="55"/>
    </row>
    <row r="463" spans="1:44" ht="17" x14ac:dyDescent="0.2">
      <c r="A463" s="1362"/>
      <c r="B463" s="71" t="s">
        <v>1848</v>
      </c>
      <c r="D463" s="1774">
        <v>1</v>
      </c>
      <c r="E463" s="1948">
        <f>'TEST_pour PROTOTYPE'!D407</f>
        <v>1</v>
      </c>
      <c r="F463" s="288"/>
      <c r="G463" s="55"/>
      <c r="H463" s="55"/>
      <c r="I463" s="55"/>
      <c r="J463" s="55"/>
      <c r="K463" s="55"/>
      <c r="L463" s="55"/>
      <c r="M463" s="55"/>
      <c r="N463" s="55"/>
      <c r="O463" s="55"/>
      <c r="P463" s="1975">
        <f t="shared" si="190"/>
        <v>1</v>
      </c>
      <c r="Q463" s="55"/>
      <c r="R463" s="55"/>
      <c r="S463" s="55"/>
      <c r="T463" s="55"/>
      <c r="U463" s="55"/>
      <c r="V463" s="534"/>
      <c r="W463" s="55"/>
    </row>
    <row r="464" spans="1:44" ht="17" x14ac:dyDescent="0.2">
      <c r="A464" s="1362"/>
      <c r="B464" s="71" t="s">
        <v>1849</v>
      </c>
      <c r="D464" s="1774">
        <v>1</v>
      </c>
      <c r="E464" s="1948">
        <f>'TEST_pour PROTOTYPE'!D408</f>
        <v>1</v>
      </c>
      <c r="F464" s="288"/>
      <c r="G464" s="55"/>
      <c r="H464" s="55"/>
      <c r="I464" s="55"/>
      <c r="J464" s="55"/>
      <c r="K464" s="55"/>
      <c r="L464" s="55"/>
      <c r="M464" s="55"/>
      <c r="N464" s="55"/>
      <c r="O464" s="55"/>
      <c r="P464" s="1975">
        <f t="shared" si="190"/>
        <v>1</v>
      </c>
      <c r="Q464" s="55"/>
      <c r="R464" s="55"/>
      <c r="S464" s="55"/>
      <c r="T464" s="55"/>
      <c r="U464" s="55"/>
      <c r="V464" s="534"/>
      <c r="W464" s="55"/>
    </row>
    <row r="465" spans="1:23" ht="34" x14ac:dyDescent="0.2">
      <c r="A465" s="1362"/>
      <c r="B465" s="71" t="s">
        <v>1850</v>
      </c>
      <c r="D465" s="1774">
        <v>1</v>
      </c>
      <c r="E465" s="1948">
        <f>'TEST_pour PROTOTYPE'!D409</f>
        <v>0</v>
      </c>
      <c r="F465" s="288"/>
      <c r="G465" s="55"/>
      <c r="H465" s="55"/>
      <c r="I465" s="55"/>
      <c r="J465" s="55"/>
      <c r="K465" s="55"/>
      <c r="L465" s="55"/>
      <c r="M465" s="55"/>
      <c r="N465" s="55"/>
      <c r="O465" s="55"/>
      <c r="P465" s="1975">
        <f t="shared" si="190"/>
        <v>0</v>
      </c>
      <c r="Q465" s="55"/>
      <c r="R465" s="55"/>
      <c r="S465" s="55"/>
      <c r="T465" s="55"/>
      <c r="U465" s="55"/>
      <c r="V465" s="534"/>
      <c r="W465" s="55"/>
    </row>
    <row r="466" spans="1:23" ht="17" x14ac:dyDescent="0.2">
      <c r="A466" s="2225"/>
      <c r="B466" s="71" t="s">
        <v>1851</v>
      </c>
      <c r="D466" s="1774">
        <v>1</v>
      </c>
      <c r="E466" s="1948">
        <f>'TEST_pour PROTOTYPE'!D410</f>
        <v>0</v>
      </c>
      <c r="F466" s="295"/>
      <c r="G466" s="54"/>
      <c r="H466" s="54"/>
      <c r="I466" s="54"/>
      <c r="J466" s="54"/>
      <c r="K466" s="54"/>
      <c r="L466" s="54"/>
      <c r="M466" s="54"/>
      <c r="N466" s="54"/>
      <c r="O466" s="54"/>
      <c r="P466" s="1975">
        <f t="shared" si="190"/>
        <v>0</v>
      </c>
      <c r="Q466" s="54"/>
      <c r="R466" s="54"/>
      <c r="S466" s="54"/>
      <c r="T466" s="54"/>
      <c r="U466" s="54"/>
      <c r="V466" s="298"/>
      <c r="W466" s="54"/>
    </row>
    <row r="467" spans="1:23" ht="17" x14ac:dyDescent="0.2">
      <c r="A467" s="2225"/>
      <c r="B467" s="71" t="s">
        <v>509</v>
      </c>
      <c r="D467" s="1669" t="s">
        <v>1492</v>
      </c>
      <c r="E467" s="295"/>
      <c r="F467" s="295"/>
      <c r="G467" s="302" t="s">
        <v>944</v>
      </c>
      <c r="H467" s="54"/>
      <c r="I467" s="54"/>
      <c r="J467" s="54"/>
      <c r="K467" s="54"/>
      <c r="L467" s="54"/>
      <c r="M467" s="54"/>
      <c r="N467" s="54"/>
      <c r="O467" s="54"/>
      <c r="P467" s="1975"/>
      <c r="Q467" s="54"/>
      <c r="R467" s="54"/>
      <c r="S467" s="54"/>
      <c r="T467" s="54"/>
      <c r="U467" s="54"/>
      <c r="V467" s="298"/>
      <c r="W467" s="54"/>
    </row>
    <row r="468" spans="1:23" x14ac:dyDescent="0.2">
      <c r="A468" s="1363"/>
      <c r="D468" s="1669"/>
      <c r="E468" s="292"/>
    </row>
    <row r="473" spans="1:23" x14ac:dyDescent="0.2">
      <c r="A473" s="55"/>
      <c r="C473" s="55"/>
      <c r="D473" s="288"/>
      <c r="E473" s="55"/>
      <c r="F473" s="55"/>
      <c r="G473" s="55"/>
      <c r="H473" s="55"/>
      <c r="I473" s="55"/>
      <c r="J473" s="55"/>
      <c r="K473" s="55"/>
      <c r="L473" s="55"/>
      <c r="M473" s="55"/>
      <c r="N473" s="55"/>
      <c r="O473" s="55"/>
      <c r="P473" s="55"/>
      <c r="Q473" s="55"/>
      <c r="R473" s="55"/>
      <c r="S473" s="55"/>
      <c r="T473" s="55"/>
      <c r="U473" s="55"/>
      <c r="V473" s="534"/>
      <c r="W473" s="55"/>
    </row>
    <row r="474" spans="1:23" x14ac:dyDescent="0.2">
      <c r="A474" s="55"/>
      <c r="C474" s="55"/>
      <c r="D474" s="288"/>
      <c r="E474" s="55"/>
      <c r="F474" s="55"/>
      <c r="G474" s="55"/>
      <c r="H474" s="55"/>
      <c r="I474" s="55"/>
      <c r="J474" s="55"/>
      <c r="K474" s="55"/>
      <c r="L474" s="55"/>
      <c r="M474" s="55"/>
      <c r="N474" s="55"/>
      <c r="O474" s="55"/>
      <c r="P474" s="55"/>
      <c r="Q474" s="55"/>
      <c r="R474" s="55"/>
      <c r="S474" s="55"/>
      <c r="T474" s="55"/>
      <c r="U474" s="55"/>
      <c r="V474" s="534"/>
      <c r="W474" s="55"/>
    </row>
    <row r="475" spans="1:23" x14ac:dyDescent="0.2">
      <c r="A475" s="55"/>
      <c r="C475" s="55"/>
      <c r="D475" s="288"/>
      <c r="E475" s="55"/>
      <c r="F475" s="55"/>
      <c r="G475" s="55"/>
      <c r="H475" s="55"/>
      <c r="I475" s="55"/>
      <c r="J475" s="55"/>
      <c r="K475" s="55"/>
      <c r="L475" s="55"/>
      <c r="M475" s="55"/>
      <c r="N475" s="55"/>
      <c r="O475" s="55"/>
      <c r="P475" s="55"/>
      <c r="Q475" s="55"/>
      <c r="R475" s="55"/>
      <c r="S475" s="55"/>
      <c r="T475" s="55"/>
      <c r="U475" s="55"/>
      <c r="V475" s="534"/>
      <c r="W475" s="55"/>
    </row>
    <row r="476" spans="1:23" x14ac:dyDescent="0.2">
      <c r="A476" s="55"/>
      <c r="C476" s="55"/>
      <c r="D476" s="288"/>
      <c r="E476" s="55"/>
      <c r="F476" s="55"/>
      <c r="G476" s="55"/>
      <c r="H476" s="55"/>
      <c r="I476" s="55"/>
      <c r="J476" s="55"/>
      <c r="K476" s="55"/>
      <c r="L476" s="55"/>
      <c r="M476" s="55"/>
      <c r="N476" s="55"/>
      <c r="O476" s="55"/>
      <c r="P476" s="55"/>
      <c r="Q476" s="55"/>
      <c r="R476" s="55"/>
      <c r="S476" s="55"/>
      <c r="T476" s="55"/>
      <c r="U476" s="55"/>
      <c r="V476" s="534"/>
      <c r="W476" s="55"/>
    </row>
    <row r="477" spans="1:23" x14ac:dyDescent="0.2">
      <c r="A477" s="55"/>
      <c r="C477" s="55"/>
      <c r="D477" s="288"/>
      <c r="E477" s="55"/>
      <c r="F477" s="55"/>
      <c r="G477" s="55"/>
      <c r="H477" s="55"/>
      <c r="I477" s="55"/>
      <c r="J477" s="55"/>
      <c r="K477" s="55"/>
      <c r="L477" s="55"/>
      <c r="M477" s="55"/>
      <c r="N477" s="55"/>
      <c r="O477" s="55"/>
      <c r="P477" s="55"/>
      <c r="Q477" s="55"/>
      <c r="R477" s="55"/>
      <c r="S477" s="55"/>
      <c r="T477" s="55"/>
      <c r="U477" s="55"/>
      <c r="V477" s="534"/>
      <c r="W477" s="55"/>
    </row>
    <row r="478" spans="1:23" x14ac:dyDescent="0.2">
      <c r="A478" s="55"/>
      <c r="C478" s="55"/>
      <c r="D478" s="288"/>
      <c r="E478" s="55"/>
      <c r="F478" s="55"/>
      <c r="G478" s="55"/>
      <c r="H478" s="55"/>
      <c r="I478" s="55"/>
      <c r="J478" s="55"/>
      <c r="K478" s="55"/>
      <c r="L478" s="55"/>
      <c r="M478" s="55"/>
      <c r="N478" s="55"/>
      <c r="O478" s="55"/>
      <c r="P478" s="55"/>
      <c r="Q478" s="55"/>
      <c r="R478" s="55"/>
      <c r="S478" s="55"/>
      <c r="T478" s="55"/>
      <c r="U478" s="55"/>
      <c r="V478" s="534"/>
      <c r="W478" s="55"/>
    </row>
    <row r="479" spans="1:23" x14ac:dyDescent="0.2">
      <c r="A479" s="55"/>
      <c r="C479" s="55"/>
      <c r="D479" s="288"/>
      <c r="E479" s="55"/>
      <c r="F479" s="55"/>
      <c r="G479" s="55"/>
      <c r="H479" s="55"/>
      <c r="I479" s="55"/>
      <c r="J479" s="55"/>
      <c r="K479" s="55"/>
      <c r="L479" s="55"/>
      <c r="M479" s="55"/>
      <c r="N479" s="55"/>
      <c r="O479" s="55"/>
      <c r="P479" s="55"/>
      <c r="Q479" s="55"/>
      <c r="R479" s="55"/>
      <c r="S479" s="55"/>
      <c r="T479" s="55"/>
      <c r="U479" s="55"/>
      <c r="V479" s="534"/>
      <c r="W479" s="55"/>
    </row>
    <row r="480" spans="1:23" x14ac:dyDescent="0.2">
      <c r="A480" s="55"/>
      <c r="C480" s="55"/>
      <c r="D480" s="288"/>
      <c r="E480" s="55"/>
      <c r="F480" s="55"/>
      <c r="G480" s="55"/>
      <c r="H480" s="55"/>
      <c r="I480" s="55"/>
      <c r="J480" s="55"/>
      <c r="K480" s="55"/>
      <c r="L480" s="55"/>
      <c r="M480" s="55"/>
      <c r="N480" s="55"/>
      <c r="O480" s="55"/>
      <c r="P480" s="55"/>
      <c r="Q480" s="55"/>
      <c r="R480" s="55"/>
      <c r="S480" s="55"/>
      <c r="T480" s="55"/>
      <c r="U480" s="55"/>
      <c r="V480" s="534"/>
      <c r="W480" s="55"/>
    </row>
    <row r="481" spans="1:23" x14ac:dyDescent="0.2">
      <c r="A481" s="55"/>
      <c r="C481" s="55"/>
      <c r="D481" s="288"/>
      <c r="E481" s="55"/>
      <c r="F481" s="55"/>
      <c r="G481" s="55"/>
      <c r="H481" s="55"/>
      <c r="I481" s="55"/>
      <c r="J481" s="55"/>
      <c r="K481" s="55"/>
      <c r="L481" s="55"/>
      <c r="M481" s="55"/>
      <c r="N481" s="55"/>
      <c r="O481" s="55"/>
      <c r="P481" s="55"/>
      <c r="Q481" s="55"/>
      <c r="R481" s="55"/>
      <c r="S481" s="55"/>
      <c r="T481" s="55"/>
      <c r="U481" s="55"/>
      <c r="V481" s="534"/>
      <c r="W481" s="55"/>
    </row>
    <row r="482" spans="1:23" x14ac:dyDescent="0.2">
      <c r="A482" s="55"/>
      <c r="C482" s="55"/>
      <c r="D482" s="288"/>
      <c r="E482" s="55"/>
      <c r="F482" s="55"/>
      <c r="G482" s="55"/>
      <c r="H482" s="55"/>
      <c r="I482" s="55"/>
      <c r="J482" s="55"/>
      <c r="K482" s="55"/>
      <c r="L482" s="55"/>
      <c r="M482" s="55"/>
      <c r="N482" s="55"/>
      <c r="O482" s="55"/>
      <c r="P482" s="55"/>
      <c r="Q482" s="55"/>
      <c r="R482" s="55"/>
      <c r="S482" s="55"/>
      <c r="T482" s="55"/>
      <c r="U482" s="55"/>
      <c r="V482" s="534"/>
      <c r="W482" s="55"/>
    </row>
    <row r="483" spans="1:23" x14ac:dyDescent="0.2">
      <c r="A483" s="55"/>
      <c r="C483" s="55"/>
      <c r="D483" s="288"/>
      <c r="E483" s="55"/>
      <c r="F483" s="55"/>
      <c r="G483" s="55"/>
      <c r="H483" s="55"/>
      <c r="I483" s="55"/>
      <c r="J483" s="55"/>
      <c r="K483" s="55"/>
      <c r="L483" s="55"/>
      <c r="M483" s="55"/>
      <c r="N483" s="55"/>
      <c r="O483" s="55"/>
      <c r="P483" s="55"/>
      <c r="Q483" s="55"/>
      <c r="R483" s="55"/>
      <c r="S483" s="55"/>
      <c r="T483" s="55"/>
      <c r="U483" s="55"/>
      <c r="V483" s="534"/>
      <c r="W483" s="55"/>
    </row>
    <row r="484" spans="1:23" x14ac:dyDescent="0.2">
      <c r="A484" s="55"/>
      <c r="C484" s="55"/>
      <c r="D484" s="288"/>
      <c r="E484" s="55"/>
      <c r="F484" s="55"/>
      <c r="G484" s="55"/>
      <c r="H484" s="55"/>
      <c r="I484" s="55"/>
      <c r="J484" s="55"/>
      <c r="K484" s="55"/>
      <c r="L484" s="55"/>
      <c r="M484" s="55"/>
      <c r="N484" s="55"/>
      <c r="O484" s="55"/>
      <c r="P484" s="55"/>
      <c r="Q484" s="55"/>
      <c r="R484" s="55"/>
      <c r="S484" s="55"/>
      <c r="T484" s="55"/>
      <c r="U484" s="55"/>
      <c r="V484" s="534"/>
      <c r="W484" s="55"/>
    </row>
    <row r="485" spans="1:23" x14ac:dyDescent="0.2">
      <c r="A485" s="55"/>
      <c r="C485" s="55"/>
      <c r="D485" s="288"/>
      <c r="E485" s="55"/>
      <c r="F485" s="55"/>
      <c r="G485" s="55"/>
      <c r="H485" s="55"/>
      <c r="I485" s="55"/>
      <c r="J485" s="55"/>
      <c r="K485" s="55"/>
      <c r="L485" s="55"/>
      <c r="M485" s="55"/>
      <c r="N485" s="55"/>
      <c r="O485" s="55"/>
      <c r="P485" s="55"/>
      <c r="Q485" s="55"/>
      <c r="R485" s="55"/>
      <c r="S485" s="55"/>
      <c r="T485" s="55"/>
      <c r="U485" s="55"/>
      <c r="V485" s="534"/>
      <c r="W485" s="55"/>
    </row>
    <row r="486" spans="1:23" x14ac:dyDescent="0.2">
      <c r="A486" s="55"/>
      <c r="C486" s="55"/>
      <c r="D486" s="288"/>
      <c r="E486" s="55"/>
      <c r="F486" s="55"/>
      <c r="G486" s="55"/>
      <c r="H486" s="55"/>
      <c r="I486" s="55"/>
      <c r="J486" s="55"/>
      <c r="K486" s="55"/>
      <c r="L486" s="55"/>
      <c r="M486" s="55"/>
      <c r="N486" s="55"/>
      <c r="O486" s="55"/>
      <c r="P486" s="55"/>
      <c r="Q486" s="55"/>
      <c r="R486" s="55"/>
      <c r="S486" s="55"/>
      <c r="T486" s="55"/>
      <c r="U486" s="55"/>
      <c r="V486" s="534"/>
      <c r="W486" s="55"/>
    </row>
  </sheetData>
  <mergeCells count="39">
    <mergeCell ref="E50:O50"/>
    <mergeCell ref="A458:A459"/>
    <mergeCell ref="A466:A467"/>
    <mergeCell ref="E96:K96"/>
    <mergeCell ref="C274:C277"/>
    <mergeCell ref="B152:B153"/>
    <mergeCell ref="B167:B168"/>
    <mergeCell ref="B408:B409"/>
    <mergeCell ref="A117:A118"/>
    <mergeCell ref="A120:A122"/>
    <mergeCell ref="E108:K108"/>
    <mergeCell ref="AE88:AE94"/>
    <mergeCell ref="AJ89:AJ94"/>
    <mergeCell ref="AH89:AH94"/>
    <mergeCell ref="AI89:AI94"/>
    <mergeCell ref="AH88:AJ88"/>
    <mergeCell ref="AF88:AF94"/>
    <mergeCell ref="AP89:AP94"/>
    <mergeCell ref="AQ89:AQ94"/>
    <mergeCell ref="AR89:AR94"/>
    <mergeCell ref="AK88:AR88"/>
    <mergeCell ref="AH430:AR430"/>
    <mergeCell ref="AK89:AK94"/>
    <mergeCell ref="AL89:AL94"/>
    <mergeCell ref="AM89:AM94"/>
    <mergeCell ref="AN89:AN94"/>
    <mergeCell ref="AO89:AO94"/>
    <mergeCell ref="AH456:AJ456"/>
    <mergeCell ref="AK456:AR456"/>
    <mergeCell ref="AH455:AR455"/>
    <mergeCell ref="AH449:AR449"/>
    <mergeCell ref="AH450:AJ450"/>
    <mergeCell ref="AK450:AR450"/>
    <mergeCell ref="X261:AC261"/>
    <mergeCell ref="X399:AC399"/>
    <mergeCell ref="AH431:AJ431"/>
    <mergeCell ref="AK431:AR431"/>
    <mergeCell ref="X108:AC108"/>
    <mergeCell ref="X161:AC161"/>
  </mergeCells>
  <phoneticPr fontId="11" type="noConversion"/>
  <pageMargins left="0.7" right="0.7" top="0.75" bottom="0.75" header="0.3" footer="0.3"/>
  <pageSetup orientation="portrait" horizontalDpi="0" verticalDpi="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4B64F-514C-2646-84D0-1F4A84E22612}">
  <dimension ref="A1:V38"/>
  <sheetViews>
    <sheetView topLeftCell="A19" workbookViewId="0">
      <selection activeCell="I37" sqref="I37"/>
    </sheetView>
    <sheetView workbookViewId="1"/>
  </sheetViews>
  <sheetFormatPr baseColWidth="10" defaultRowHeight="16" x14ac:dyDescent="0.2"/>
  <cols>
    <col min="2" max="2" width="47.83203125" customWidth="1"/>
    <col min="3" max="3" width="24.5" customWidth="1"/>
  </cols>
  <sheetData>
    <row r="1" spans="1:22" ht="19" x14ac:dyDescent="0.2">
      <c r="A1" s="979" t="s">
        <v>995</v>
      </c>
    </row>
    <row r="2" spans="1:22" ht="34" customHeight="1" x14ac:dyDescent="0.2">
      <c r="B2" s="980" t="s">
        <v>996</v>
      </c>
      <c r="C2" t="s">
        <v>977</v>
      </c>
    </row>
    <row r="3" spans="1:22" x14ac:dyDescent="0.2">
      <c r="B3" s="2176" t="s">
        <v>978</v>
      </c>
      <c r="C3" t="s">
        <v>979</v>
      </c>
    </row>
    <row r="4" spans="1:22" x14ac:dyDescent="0.2">
      <c r="B4" s="2176"/>
      <c r="C4" t="s">
        <v>980</v>
      </c>
    </row>
    <row r="5" spans="1:22" x14ac:dyDescent="0.2">
      <c r="C5" t="s">
        <v>981</v>
      </c>
    </row>
    <row r="7" spans="1:22" ht="24" customHeight="1" x14ac:dyDescent="0.25">
      <c r="A7" s="48" t="s">
        <v>982</v>
      </c>
    </row>
    <row r="8" spans="1:22" ht="39" customHeight="1" x14ac:dyDescent="0.25">
      <c r="B8" t="s">
        <v>983</v>
      </c>
      <c r="H8" t="s">
        <v>1306</v>
      </c>
      <c r="L8" s="63" t="s">
        <v>1359</v>
      </c>
      <c r="M8" s="63"/>
      <c r="N8" s="48" t="str">
        <f>Baromètre!D25</f>
        <v>Risque modéré</v>
      </c>
      <c r="O8" s="63"/>
      <c r="P8" s="63" t="s">
        <v>1360</v>
      </c>
      <c r="Q8" s="1598"/>
      <c r="R8" s="48" t="str">
        <f>Baromètre!D23</f>
        <v>Aucun signe</v>
      </c>
      <c r="S8" s="63"/>
    </row>
    <row r="9" spans="1:22" ht="24" customHeight="1" x14ac:dyDescent="0.25">
      <c r="B9" s="74" t="s">
        <v>984</v>
      </c>
      <c r="L9" s="63" t="s">
        <v>1361</v>
      </c>
    </row>
    <row r="10" spans="1:22" ht="24" customHeight="1" x14ac:dyDescent="0.2">
      <c r="B10" s="74" t="s">
        <v>985</v>
      </c>
    </row>
    <row r="11" spans="1:22" ht="24" customHeight="1" x14ac:dyDescent="0.2">
      <c r="B11" s="74" t="s">
        <v>1307</v>
      </c>
    </row>
    <row r="12" spans="1:22" ht="24" customHeight="1" x14ac:dyDescent="0.2">
      <c r="B12" s="74" t="s">
        <v>986</v>
      </c>
    </row>
    <row r="13" spans="1:22" ht="24" customHeight="1" x14ac:dyDescent="0.2"/>
    <row r="14" spans="1:22" ht="24" customHeight="1" x14ac:dyDescent="0.2"/>
    <row r="15" spans="1:22" ht="25" customHeight="1" x14ac:dyDescent="0.2">
      <c r="L15" s="1453"/>
      <c r="M15" s="1453"/>
      <c r="N15" s="1670" t="s">
        <v>1386</v>
      </c>
      <c r="O15" s="1453"/>
      <c r="P15" s="1453"/>
      <c r="T15" s="5"/>
      <c r="V15" s="166"/>
    </row>
    <row r="16" spans="1:22" ht="38" customHeight="1" x14ac:dyDescent="0.2">
      <c r="B16" s="3" t="s">
        <v>987</v>
      </c>
      <c r="F16" t="s">
        <v>988</v>
      </c>
      <c r="N16" s="1" t="s">
        <v>734</v>
      </c>
      <c r="O16" s="1" t="s">
        <v>733</v>
      </c>
      <c r="P16" s="1" t="s">
        <v>735</v>
      </c>
      <c r="S16" s="1" t="s">
        <v>734</v>
      </c>
      <c r="T16" s="1" t="s">
        <v>733</v>
      </c>
      <c r="U16" s="1" t="s">
        <v>735</v>
      </c>
      <c r="V16" s="1"/>
    </row>
    <row r="17" spans="1:21" ht="26" x14ac:dyDescent="0.3">
      <c r="A17" s="657"/>
      <c r="B17" t="s">
        <v>989</v>
      </c>
      <c r="M17" s="2" t="s">
        <v>1252</v>
      </c>
      <c r="N17">
        <f>'Modèle Calcul A-R + miroir'!AG21</f>
        <v>25</v>
      </c>
      <c r="O17">
        <f>'Modèle Calcul A-R + miroir'!AH21</f>
        <v>17</v>
      </c>
      <c r="P17">
        <f>'Modèle Calcul A-R + miroir'!AI21</f>
        <v>10</v>
      </c>
      <c r="R17" t="s">
        <v>1256</v>
      </c>
      <c r="S17" s="2">
        <f>N20</f>
        <v>26</v>
      </c>
      <c r="T17" s="2">
        <f t="shared" ref="T17:U17" si="0">O20</f>
        <v>17</v>
      </c>
      <c r="U17" s="2">
        <f t="shared" si="0"/>
        <v>12</v>
      </c>
    </row>
    <row r="18" spans="1:21" ht="26" x14ac:dyDescent="0.3">
      <c r="A18" s="981" t="s">
        <v>990</v>
      </c>
      <c r="B18" t="s">
        <v>991</v>
      </c>
      <c r="M18" s="2" t="s">
        <v>1253</v>
      </c>
      <c r="N18">
        <f>'Modèle Calcul A-R + miroir'!AG24</f>
        <v>1</v>
      </c>
      <c r="O18">
        <f>'Modèle Calcul A-R + miroir'!AH24</f>
        <v>0</v>
      </c>
      <c r="P18">
        <f>'Modèle Calcul A-R + miroir'!AI24</f>
        <v>2</v>
      </c>
      <c r="R18" t="s">
        <v>2012</v>
      </c>
      <c r="S18" s="2">
        <f>N22</f>
        <v>28</v>
      </c>
      <c r="T18" s="2">
        <f t="shared" ref="T18:U18" si="1">O22</f>
        <v>25</v>
      </c>
      <c r="U18" s="2">
        <f t="shared" si="1"/>
        <v>23</v>
      </c>
    </row>
    <row r="19" spans="1:21" ht="26" x14ac:dyDescent="0.3">
      <c r="A19" s="981" t="s">
        <v>990</v>
      </c>
      <c r="B19" t="s">
        <v>992</v>
      </c>
      <c r="M19" s="2" t="s">
        <v>1254</v>
      </c>
      <c r="S19" s="2"/>
    </row>
    <row r="20" spans="1:21" ht="26" x14ac:dyDescent="0.3">
      <c r="A20" s="657" t="s">
        <v>993</v>
      </c>
      <c r="B20" t="s">
        <v>994</v>
      </c>
      <c r="L20" s="1453"/>
      <c r="M20" s="1454" t="s">
        <v>343</v>
      </c>
      <c r="N20" s="1453">
        <f>N17+N18+N19</f>
        <v>26</v>
      </c>
      <c r="O20" s="1453">
        <f>O17+O18+O19</f>
        <v>17</v>
      </c>
      <c r="P20" s="1453">
        <f>P17+P18+P19</f>
        <v>12</v>
      </c>
      <c r="S20" s="2"/>
    </row>
    <row r="21" spans="1:21" ht="4" customHeight="1" x14ac:dyDescent="0.2">
      <c r="M21" s="2" t="s">
        <v>1255</v>
      </c>
      <c r="N21" t="e">
        <f>'Modèle Calcul A-R + miroir'!#REF!+'Modèle Calcul A-R + miroir'!#REF!+'Modèle Cpts Indépendants'!AF5</f>
        <v>#REF!</v>
      </c>
      <c r="O21" t="e">
        <f>'Modèle Calcul A-R + miroir'!#REF!+'Modèle Calcul A-R + miroir'!#REF!+'Modèle Cpts Indépendants'!AG5</f>
        <v>#REF!</v>
      </c>
      <c r="P21" t="e">
        <f>'Modèle Calcul A-R + miroir'!#REF!+'Modèle Calcul A-R + miroir'!AE25+'Modèle Cpts Indépendants'!AH5</f>
        <v>#REF!</v>
      </c>
      <c r="S21" s="2"/>
    </row>
    <row r="22" spans="1:21" x14ac:dyDescent="0.2">
      <c r="M22" s="2" t="s">
        <v>1349</v>
      </c>
      <c r="N22">
        <f>'Modèle Calcul A-R + miroir'!BA36</f>
        <v>28</v>
      </c>
      <c r="O22">
        <f>'Modèle Calcul A-R + miroir'!BB36</f>
        <v>25</v>
      </c>
      <c r="P22">
        <f>'Modèle Calcul A-R + miroir'!BC36</f>
        <v>23</v>
      </c>
      <c r="S22" s="2"/>
    </row>
    <row r="23" spans="1:21" x14ac:dyDescent="0.2">
      <c r="M23" s="2"/>
      <c r="N23" s="2007">
        <f>N20/N22</f>
        <v>0.9285714285714286</v>
      </c>
      <c r="O23" s="2007">
        <f t="shared" ref="O23:P23" si="2">O20/O22</f>
        <v>0.68</v>
      </c>
      <c r="P23" s="2007">
        <f t="shared" si="2"/>
        <v>0.52173913043478259</v>
      </c>
    </row>
    <row r="24" spans="1:21" ht="27" customHeight="1" x14ac:dyDescent="0.2"/>
    <row r="25" spans="1:21" ht="31" customHeight="1" x14ac:dyDescent="0.25">
      <c r="B25" s="1710" t="s">
        <v>1430</v>
      </c>
    </row>
    <row r="26" spans="1:21" ht="31" customHeight="1" x14ac:dyDescent="0.35">
      <c r="T26" s="989"/>
    </row>
    <row r="27" spans="1:21" ht="47" x14ac:dyDescent="0.2">
      <c r="C27" s="2198"/>
      <c r="D27" s="2198"/>
      <c r="E27" s="986"/>
      <c r="F27" s="987"/>
      <c r="G27" s="988"/>
      <c r="H27" s="988"/>
      <c r="I27" s="988"/>
      <c r="J27" s="988"/>
    </row>
    <row r="28" spans="1:21" ht="26" customHeight="1" x14ac:dyDescent="0.2"/>
    <row r="29" spans="1:21" ht="35" customHeight="1" x14ac:dyDescent="0.2">
      <c r="E29" s="5"/>
      <c r="F29" s="5"/>
      <c r="G29" s="5"/>
      <c r="H29" s="5"/>
      <c r="I29" s="5"/>
      <c r="J29" s="5"/>
    </row>
    <row r="30" spans="1:21" ht="35" customHeight="1" x14ac:dyDescent="0.2">
      <c r="E30" s="105"/>
    </row>
    <row r="32" spans="1:21" x14ac:dyDescent="0.2">
      <c r="G32" t="s">
        <v>1391</v>
      </c>
    </row>
    <row r="35" spans="5:19" x14ac:dyDescent="0.2">
      <c r="E35" s="15"/>
      <c r="F35" s="15"/>
      <c r="G35" s="15"/>
      <c r="H35" s="15"/>
      <c r="I35" s="15"/>
      <c r="J35" s="15"/>
    </row>
    <row r="36" spans="5:19" ht="45" customHeight="1" x14ac:dyDescent="0.35">
      <c r="E36" s="15"/>
      <c r="F36" s="15"/>
      <c r="G36" s="15"/>
      <c r="H36" s="15"/>
      <c r="I36" s="15"/>
      <c r="J36" s="15"/>
      <c r="K36" s="989" t="s">
        <v>733</v>
      </c>
      <c r="L36" s="989"/>
      <c r="M36" s="989"/>
      <c r="N36" s="989"/>
      <c r="O36" s="989" t="s">
        <v>735</v>
      </c>
      <c r="P36" s="989"/>
      <c r="Q36" s="989"/>
      <c r="R36" s="989"/>
      <c r="S36" s="989" t="s">
        <v>734</v>
      </c>
    </row>
    <row r="37" spans="5:19" ht="56" customHeight="1" x14ac:dyDescent="0.35">
      <c r="E37" s="7"/>
      <c r="F37" s="70"/>
      <c r="G37" s="7"/>
      <c r="H37" s="7"/>
      <c r="I37" s="987"/>
      <c r="O37" s="989"/>
    </row>
    <row r="38" spans="5:19" ht="54" customHeight="1" x14ac:dyDescent="0.2">
      <c r="E38" s="7"/>
      <c r="F38" s="70"/>
      <c r="G38" s="986"/>
      <c r="H38" s="7"/>
      <c r="I38" s="7"/>
      <c r="J38" s="7"/>
    </row>
  </sheetData>
  <mergeCells count="2">
    <mergeCell ref="B3:B4"/>
    <mergeCell ref="C27:D27"/>
  </mergeCells>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02B28-C9F4-0043-9C72-E8583F17C672}">
  <dimension ref="A1:Y114"/>
  <sheetViews>
    <sheetView topLeftCell="D49" workbookViewId="0">
      <selection activeCell="M62" sqref="M62"/>
    </sheetView>
    <sheetView workbookViewId="1"/>
  </sheetViews>
  <sheetFormatPr baseColWidth="10" defaultRowHeight="16" x14ac:dyDescent="0.2"/>
  <cols>
    <col min="1" max="1" width="58.6640625" customWidth="1"/>
    <col min="2" max="2" width="33.1640625" customWidth="1"/>
    <col min="4" max="4" width="86.83203125" customWidth="1"/>
    <col min="5" max="6" width="7.83203125" customWidth="1"/>
    <col min="7" max="7" width="20" customWidth="1"/>
    <col min="8" max="8" width="4.6640625" customWidth="1"/>
    <col min="9" max="9" width="5.5" hidden="1" customWidth="1"/>
    <col min="10" max="10" width="7.33203125" customWidth="1"/>
    <col min="13" max="13" width="13.6640625" customWidth="1"/>
    <col min="16" max="16" width="10" customWidth="1"/>
    <col min="17" max="17" width="6.33203125" customWidth="1"/>
    <col min="18" max="18" width="23" customWidth="1"/>
    <col min="19" max="19" width="4.5" customWidth="1"/>
    <col min="20" max="20" width="52" bestFit="1" customWidth="1"/>
    <col min="21" max="21" width="5" customWidth="1"/>
    <col min="22" max="22" width="86.5" customWidth="1"/>
    <col min="23" max="23" width="50.6640625" customWidth="1"/>
    <col min="24" max="24" width="41" customWidth="1"/>
    <col min="25" max="25" width="59.33203125" customWidth="1"/>
  </cols>
  <sheetData>
    <row r="1" spans="1:13" ht="24" x14ac:dyDescent="0.3">
      <c r="A1" s="315" t="s">
        <v>1637</v>
      </c>
      <c r="B1" s="315"/>
      <c r="C1" s="315"/>
      <c r="D1" s="315" t="s">
        <v>1638</v>
      </c>
    </row>
    <row r="2" spans="1:13" ht="17" x14ac:dyDescent="0.2">
      <c r="A2" s="13" t="s">
        <v>1445</v>
      </c>
      <c r="D2" s="980" t="s">
        <v>1582</v>
      </c>
    </row>
    <row r="3" spans="1:13" ht="34" x14ac:dyDescent="0.2">
      <c r="A3" s="13" t="s">
        <v>1446</v>
      </c>
      <c r="D3" s="980" t="s">
        <v>1583</v>
      </c>
    </row>
    <row r="4" spans="1:13" ht="51" x14ac:dyDescent="0.2">
      <c r="A4" s="13" t="s">
        <v>1447</v>
      </c>
      <c r="D4" s="980" t="s">
        <v>1636</v>
      </c>
    </row>
    <row r="5" spans="1:13" ht="34" x14ac:dyDescent="0.2">
      <c r="A5" s="13" t="s">
        <v>1448</v>
      </c>
      <c r="D5" s="980" t="s">
        <v>1631</v>
      </c>
    </row>
    <row r="6" spans="1:13" ht="34" x14ac:dyDescent="0.2">
      <c r="A6" s="13" t="s">
        <v>1449</v>
      </c>
      <c r="D6" s="980" t="s">
        <v>1632</v>
      </c>
    </row>
    <row r="7" spans="1:13" ht="34" x14ac:dyDescent="0.2">
      <c r="A7" s="13" t="s">
        <v>1450</v>
      </c>
      <c r="D7" s="980" t="s">
        <v>1633</v>
      </c>
    </row>
    <row r="8" spans="1:13" ht="34" x14ac:dyDescent="0.2">
      <c r="A8" s="13" t="s">
        <v>1451</v>
      </c>
      <c r="D8" s="980" t="s">
        <v>1634</v>
      </c>
    </row>
    <row r="9" spans="1:13" ht="17" x14ac:dyDescent="0.2">
      <c r="A9" s="13"/>
      <c r="D9" s="980" t="s">
        <v>1635</v>
      </c>
    </row>
    <row r="12" spans="1:13" ht="37" customHeight="1" x14ac:dyDescent="0.2">
      <c r="E12" s="2186" t="s">
        <v>22</v>
      </c>
      <c r="F12" s="2186"/>
      <c r="G12" s="2186"/>
      <c r="H12" s="5"/>
      <c r="J12" s="2186" t="s">
        <v>22</v>
      </c>
      <c r="K12" s="2186"/>
      <c r="L12" s="2186"/>
      <c r="M12" s="13" t="s">
        <v>1464</v>
      </c>
    </row>
    <row r="13" spans="1:13" ht="24" customHeight="1" x14ac:dyDescent="0.25">
      <c r="A13" s="1736" t="s">
        <v>1442</v>
      </c>
      <c r="B13" s="1736" t="s">
        <v>1443</v>
      </c>
      <c r="D13" t="s">
        <v>1639</v>
      </c>
      <c r="E13" s="5" t="s">
        <v>1357</v>
      </c>
      <c r="F13" s="5" t="s">
        <v>26</v>
      </c>
      <c r="G13" s="5" t="s">
        <v>27</v>
      </c>
      <c r="H13" s="5" t="s">
        <v>231</v>
      </c>
      <c r="I13" s="1" t="s">
        <v>1452</v>
      </c>
      <c r="J13" s="1737" t="s">
        <v>1357</v>
      </c>
      <c r="K13" s="1737" t="s">
        <v>26</v>
      </c>
      <c r="L13" s="1737" t="s">
        <v>27</v>
      </c>
    </row>
    <row r="14" spans="1:13" ht="48" customHeight="1" x14ac:dyDescent="0.2">
      <c r="A14" s="13" t="s">
        <v>1445</v>
      </c>
      <c r="C14" s="1724" t="str">
        <f>BIBLE!E154</f>
        <v>E03</v>
      </c>
      <c r="D14" s="1725" t="str">
        <f>BIBLE!F154</f>
        <v>Votre enfant garde des secrets et vous cache de l'information concernant sa relation avec l'autre parent.</v>
      </c>
      <c r="E14" s="8">
        <v>1</v>
      </c>
      <c r="F14" s="8"/>
      <c r="G14" s="8"/>
      <c r="H14" s="6">
        <f>Test_Bible!P267</f>
        <v>7</v>
      </c>
      <c r="I14" s="6">
        <f>Test_Bible!Q267</f>
        <v>7</v>
      </c>
      <c r="J14" s="293">
        <f>IF(I14&lt;&gt;0,IF(I14/H14=E14,I14,""),"")</f>
        <v>7</v>
      </c>
      <c r="K14" s="293" t="str">
        <f>IF(I14&lt;&gt;0,IF(I14/H14=F14,I14,""),"")</f>
        <v/>
      </c>
      <c r="L14" s="293" t="str">
        <f>IF(I14&lt;&gt;0,IF(I14/H14=G14,I14,""),"")</f>
        <v/>
      </c>
    </row>
    <row r="15" spans="1:13" ht="34" x14ac:dyDescent="0.2">
      <c r="A15" s="13" t="s">
        <v>1446</v>
      </c>
      <c r="C15" s="1724" t="str">
        <f>BIBLE!E164</f>
        <v>E07</v>
      </c>
      <c r="D15" s="1725" t="str">
        <f>BIBLE!F164</f>
        <v>Votre enfant se sent coupable de passer du temps avec vous car cela pourrait indisposer, contrarier ou faire de la peine à l'autre parent.</v>
      </c>
      <c r="E15" s="8">
        <v>1</v>
      </c>
      <c r="F15" s="8"/>
      <c r="G15" s="8"/>
      <c r="H15" s="6">
        <f>Test_Bible!P281</f>
        <v>2</v>
      </c>
      <c r="I15" s="6">
        <f>Test_Bible!Q281</f>
        <v>2</v>
      </c>
      <c r="J15" s="293">
        <f t="shared" ref="J15:J41" si="0">IF(I15&lt;&gt;0,IF(I15/H15=E15,I15,""),"")</f>
        <v>2</v>
      </c>
      <c r="K15" s="293" t="str">
        <f t="shared" ref="K15:K41" si="1">IF(I15&lt;&gt;0,IF(I15/H15=F15,I15,""),"")</f>
        <v/>
      </c>
      <c r="L15" s="293" t="str">
        <f t="shared" ref="L15:L41" si="2">IF(I15&lt;&gt;0,IF(I15/H15=G15,I15,""),"")</f>
        <v/>
      </c>
      <c r="M15" t="s">
        <v>1641</v>
      </c>
    </row>
    <row r="16" spans="1:13" ht="51" x14ac:dyDescent="0.2">
      <c r="A16" s="13" t="s">
        <v>1447</v>
      </c>
      <c r="C16" s="1724" t="str">
        <f>BIBLE!E165</f>
        <v>E09</v>
      </c>
      <c r="D16" s="1887" t="str">
        <f>BIBLE!F165</f>
        <v xml:space="preserve">Dans quelle mesure diriez-vous que votre enfant vous tient responsable de la peine ou de la frustration de son autre parent ? </v>
      </c>
      <c r="E16" s="8">
        <v>1</v>
      </c>
      <c r="F16" s="8"/>
      <c r="G16" s="8"/>
      <c r="H16" s="6">
        <f>Test_Bible!P282</f>
        <v>0</v>
      </c>
      <c r="I16" s="6">
        <f>Test_Bible!Q282</f>
        <v>0</v>
      </c>
      <c r="J16" s="293" t="str">
        <f t="shared" si="0"/>
        <v/>
      </c>
      <c r="K16" s="293" t="str">
        <f t="shared" si="1"/>
        <v/>
      </c>
      <c r="L16" s="293" t="str">
        <f t="shared" si="2"/>
        <v/>
      </c>
    </row>
    <row r="17" spans="1:13" ht="51" x14ac:dyDescent="0.2">
      <c r="A17" s="13" t="s">
        <v>1447</v>
      </c>
      <c r="B17" s="980" t="s">
        <v>1636</v>
      </c>
      <c r="C17" s="1726" t="str">
        <f>BIBLE!E172</f>
        <v>E15a</v>
      </c>
      <c r="D17" s="1729" t="str">
        <f>BIBLE!F172</f>
        <v>Arrive-t-il à votre enfant de vous accuser de voler de l’argent à son autre parent ou d'être responsable de son apauvrissement ?</v>
      </c>
      <c r="E17" s="8">
        <v>1</v>
      </c>
      <c r="F17" s="8"/>
      <c r="G17" s="8"/>
      <c r="H17" s="6">
        <f>Test_Bible!P289</f>
        <v>1</v>
      </c>
      <c r="I17" s="6">
        <f>Test_Bible!Q289</f>
        <v>3</v>
      </c>
      <c r="J17" s="293" t="str">
        <f t="shared" si="0"/>
        <v/>
      </c>
      <c r="K17" s="293" t="str">
        <f t="shared" si="1"/>
        <v/>
      </c>
      <c r="L17" s="293" t="str">
        <f t="shared" si="2"/>
        <v/>
      </c>
    </row>
    <row r="18" spans="1:13" ht="39" customHeight="1" x14ac:dyDescent="0.2">
      <c r="A18" s="13" t="s">
        <v>1446</v>
      </c>
      <c r="C18" s="1724" t="str">
        <f>BIBLE!E186</f>
        <v>E23</v>
      </c>
      <c r="D18" s="1887" t="str">
        <f>BIBLE!F186</f>
        <v>Votre enfant se sent responsable du bonheur de l’autre parent ou sent le besoin de le protéger.</v>
      </c>
      <c r="E18" s="8">
        <v>1</v>
      </c>
      <c r="F18" s="8"/>
      <c r="G18" s="8"/>
      <c r="H18" s="6">
        <f>Test_Bible!P307</f>
        <v>2</v>
      </c>
      <c r="I18" s="6">
        <f>Test_Bible!Q307</f>
        <v>2</v>
      </c>
      <c r="J18" s="293">
        <f t="shared" si="0"/>
        <v>2</v>
      </c>
      <c r="K18" s="293" t="str">
        <f t="shared" si="1"/>
        <v/>
      </c>
      <c r="L18" s="293" t="str">
        <f t="shared" si="2"/>
        <v/>
      </c>
      <c r="M18" t="s">
        <v>1641</v>
      </c>
    </row>
    <row r="19" spans="1:13" ht="51" x14ac:dyDescent="0.2">
      <c r="A19" s="13" t="s">
        <v>1447</v>
      </c>
      <c r="B19" s="980" t="s">
        <v>1636</v>
      </c>
      <c r="C19" s="1724" t="str">
        <f>BIBLE!E161</f>
        <v>E06</v>
      </c>
      <c r="D19" s="1919" t="str">
        <f>BIBLE!F161</f>
        <v>Votre enfant vous accuse ou vous reproche d'avoir brisé ou abandonné la famille.</v>
      </c>
      <c r="E19" s="511">
        <v>1</v>
      </c>
      <c r="F19" s="511">
        <v>2</v>
      </c>
      <c r="G19" s="511"/>
      <c r="H19" s="1738">
        <f>Test_Bible!P278</f>
        <v>4</v>
      </c>
      <c r="I19" s="1738">
        <f>Test_Bible!Q278</f>
        <v>8</v>
      </c>
      <c r="J19" s="1739" t="str">
        <f t="shared" si="0"/>
        <v/>
      </c>
      <c r="K19" s="1739">
        <f t="shared" si="1"/>
        <v>8</v>
      </c>
      <c r="L19" s="1739" t="str">
        <f t="shared" si="2"/>
        <v/>
      </c>
    </row>
    <row r="20" spans="1:13" ht="49" customHeight="1" x14ac:dyDescent="0.2">
      <c r="C20" s="1724" t="str">
        <f>BIBLE!E185</f>
        <v>E17</v>
      </c>
      <c r="D20" s="1728" t="str">
        <f>BIBLE!F185</f>
        <v xml:space="preserve">Dans quelle mesure diriez-vous que votre enfant a la responsabilité de vous communiquer les informations concernant la logistique familiale (gestion vêtements, lunch, activités, etc.) au retour d'un séjour chez l'autre parent ? </v>
      </c>
      <c r="E20" s="511">
        <v>1</v>
      </c>
      <c r="F20" s="511">
        <v>2</v>
      </c>
      <c r="G20" s="511"/>
      <c r="H20" s="1738">
        <f>Test_Bible!P306</f>
        <v>7</v>
      </c>
      <c r="I20" s="1738">
        <f>Test_Bible!Q306</f>
        <v>7</v>
      </c>
      <c r="J20" s="1739">
        <f t="shared" si="0"/>
        <v>7</v>
      </c>
      <c r="K20" s="1739" t="str">
        <f t="shared" si="1"/>
        <v/>
      </c>
      <c r="L20" s="1739" t="str">
        <f t="shared" si="2"/>
        <v/>
      </c>
    </row>
    <row r="21" spans="1:13" ht="17" x14ac:dyDescent="0.2">
      <c r="B21" s="980" t="s">
        <v>1632</v>
      </c>
      <c r="C21" s="1724" t="str">
        <f>BIBLE!E156</f>
        <v>E04</v>
      </c>
      <c r="D21" s="1725" t="str">
        <f>BIBLE!F156</f>
        <v>Votre enfant défend l'autre parent, quoi que vous fassiez, quoi que vous disiez.</v>
      </c>
      <c r="E21" s="8"/>
      <c r="F21" s="8">
        <v>2</v>
      </c>
      <c r="G21" s="8"/>
      <c r="H21" s="6">
        <f>Test_Bible!P269</f>
        <v>0</v>
      </c>
      <c r="I21" s="6">
        <f>Test_Bible!Q269</f>
        <v>0</v>
      </c>
      <c r="J21" s="293" t="str">
        <f t="shared" si="0"/>
        <v/>
      </c>
      <c r="K21" s="293" t="str">
        <f t="shared" si="1"/>
        <v/>
      </c>
      <c r="L21" s="293" t="str">
        <f t="shared" si="2"/>
        <v/>
      </c>
    </row>
    <row r="22" spans="1:13" ht="17" x14ac:dyDescent="0.2">
      <c r="B22" s="980" t="s">
        <v>1634</v>
      </c>
      <c r="C22" s="1724" t="str">
        <f>BIBLE!E159</f>
        <v>E05</v>
      </c>
      <c r="D22" s="1725" t="str">
        <f>BIBLE!F159</f>
        <v>Votre enfant s’exprime avec des expressions ou des paroles empruntées à l’autre parent.</v>
      </c>
      <c r="E22" s="8"/>
      <c r="F22" s="8">
        <v>2</v>
      </c>
      <c r="G22" s="8"/>
      <c r="H22" s="6">
        <f>Test_Bible!P272</f>
        <v>4</v>
      </c>
      <c r="I22" s="6">
        <f>Test_Bible!Q272</f>
        <v>8</v>
      </c>
      <c r="J22" s="293" t="str">
        <f t="shared" si="0"/>
        <v/>
      </c>
      <c r="K22" s="293">
        <f t="shared" si="1"/>
        <v>8</v>
      </c>
      <c r="L22" s="293" t="str">
        <f t="shared" si="2"/>
        <v/>
      </c>
    </row>
    <row r="23" spans="1:13" ht="17" x14ac:dyDescent="0.2">
      <c r="B23" s="980" t="s">
        <v>1632</v>
      </c>
      <c r="C23" s="1724" t="str">
        <f>BIBLE!E166</f>
        <v>E10</v>
      </c>
      <c r="D23" s="1728" t="str">
        <f>BIBLE!F166</f>
        <v>Votre enfant cherche à vous convaincre des qualités de l’autre parent.</v>
      </c>
      <c r="E23" s="8"/>
      <c r="F23" s="8">
        <v>2</v>
      </c>
      <c r="G23" s="8"/>
      <c r="H23" s="6">
        <f>Test_Bible!P283</f>
        <v>1</v>
      </c>
      <c r="I23" s="6">
        <f>Test_Bible!Q283</f>
        <v>2</v>
      </c>
      <c r="J23" s="293" t="str">
        <f t="shared" si="0"/>
        <v/>
      </c>
      <c r="K23" s="293">
        <f t="shared" si="1"/>
        <v>2</v>
      </c>
      <c r="L23" s="293" t="str">
        <f t="shared" si="2"/>
        <v/>
      </c>
    </row>
    <row r="24" spans="1:13" ht="34" x14ac:dyDescent="0.2">
      <c r="B24" s="980" t="s">
        <v>1582</v>
      </c>
      <c r="C24" s="1724" t="str">
        <f>BIBLE!E168</f>
        <v>E13</v>
      </c>
      <c r="D24" s="1728" t="str">
        <f>BIBLE!F168</f>
        <v>Votre enfant dénigre votre nouvelle famille (nouveau ou nouvelle conjoint·e ou enfant né·e d’une nouvelle union).</v>
      </c>
      <c r="E24" s="8"/>
      <c r="F24" s="8">
        <v>2</v>
      </c>
      <c r="G24" s="8"/>
      <c r="H24" s="6">
        <f>Test_Bible!P285</f>
        <v>1</v>
      </c>
      <c r="I24" s="6">
        <f>Test_Bible!Q285</f>
        <v>2</v>
      </c>
      <c r="J24" s="293" t="str">
        <f t="shared" si="0"/>
        <v/>
      </c>
      <c r="K24" s="293">
        <f t="shared" si="1"/>
        <v>2</v>
      </c>
      <c r="L24" s="293" t="str">
        <f t="shared" si="2"/>
        <v/>
      </c>
    </row>
    <row r="25" spans="1:13" ht="17" x14ac:dyDescent="0.2">
      <c r="B25" s="980" t="s">
        <v>1582</v>
      </c>
      <c r="C25" s="1724" t="str">
        <f>BIBLE!E169</f>
        <v>E14</v>
      </c>
      <c r="D25" s="1728" t="str">
        <f>BIBLE!F169</f>
        <v>Votre enfant laisse entendre que sa vraie famille est celle avec l’autre parent.</v>
      </c>
      <c r="E25" s="8"/>
      <c r="F25" s="8">
        <v>2</v>
      </c>
      <c r="G25" s="8"/>
      <c r="H25" s="6">
        <f>Test_Bible!P286</f>
        <v>4</v>
      </c>
      <c r="I25" s="6">
        <f>Test_Bible!Q286</f>
        <v>8</v>
      </c>
      <c r="J25" s="293" t="str">
        <f t="shared" si="0"/>
        <v/>
      </c>
      <c r="K25" s="293">
        <f t="shared" si="1"/>
        <v>8</v>
      </c>
      <c r="L25" s="293" t="str">
        <f t="shared" si="2"/>
        <v/>
      </c>
    </row>
    <row r="26" spans="1:13" ht="51" x14ac:dyDescent="0.2">
      <c r="A26" s="13" t="s">
        <v>1447</v>
      </c>
      <c r="B26" s="980" t="s">
        <v>1636</v>
      </c>
      <c r="C26" s="1724" t="str">
        <f>BIBLE!E171</f>
        <v>E15</v>
      </c>
      <c r="D26" s="1728" t="str">
        <f>BIBLE!F171</f>
        <v>Arrive-t-il à votre enfant d'être agressif envers vous au retour d'un séjour (tour de garde) chez l'autre parent ?</v>
      </c>
      <c r="E26" s="8"/>
      <c r="F26" s="8">
        <v>2</v>
      </c>
      <c r="G26" s="8"/>
      <c r="H26" s="6">
        <f>Test_Bible!P287</f>
        <v>1</v>
      </c>
      <c r="I26" s="6">
        <f>Test_Bible!Q287</f>
        <v>3</v>
      </c>
      <c r="J26" s="293" t="str">
        <f t="shared" si="0"/>
        <v/>
      </c>
      <c r="K26" s="293" t="str">
        <f t="shared" si="1"/>
        <v/>
      </c>
      <c r="L26" s="293" t="str">
        <f t="shared" si="2"/>
        <v/>
      </c>
    </row>
    <row r="27" spans="1:13" ht="35" customHeight="1" x14ac:dyDescent="0.2">
      <c r="C27" s="1724" t="str">
        <f>BIBLE!E173</f>
        <v>E16</v>
      </c>
      <c r="D27" s="769" t="str">
        <f>BIBLE!F173</f>
        <v>Votre enfant demande à modifier les horaires de garde et de visite.</v>
      </c>
      <c r="E27" s="8"/>
      <c r="F27" s="8">
        <v>2</v>
      </c>
      <c r="G27" s="8"/>
      <c r="H27" s="6">
        <f>Test_Bible!P288</f>
        <v>4</v>
      </c>
      <c r="I27" s="6">
        <f>Test_Bible!Q288</f>
        <v>8</v>
      </c>
      <c r="J27" s="293" t="str">
        <f t="shared" si="0"/>
        <v/>
      </c>
      <c r="K27" s="293">
        <f t="shared" si="1"/>
        <v>8</v>
      </c>
      <c r="L27" s="293" t="str">
        <f t="shared" si="2"/>
        <v/>
      </c>
    </row>
    <row r="28" spans="1:13" ht="38" customHeight="1" x14ac:dyDescent="0.2">
      <c r="B28" s="980" t="s">
        <v>1632</v>
      </c>
      <c r="C28" s="1724" t="str">
        <f>BIBLE!E188</f>
        <v>E25</v>
      </c>
      <c r="D28" s="1728" t="str">
        <f>BIBLE!F188</f>
        <v>Dans quelle mesure diriez-vous que votre enfant sent le besoin de protéger l’autre parent ou de défendre ses intérêts ?</v>
      </c>
      <c r="E28" s="8"/>
      <c r="F28" s="8">
        <v>2</v>
      </c>
      <c r="G28" s="8"/>
      <c r="H28" s="6">
        <f>Test_Bible!P309</f>
        <v>7</v>
      </c>
      <c r="I28" s="6">
        <f>Test_Bible!Q309</f>
        <v>14</v>
      </c>
      <c r="J28" s="293" t="str">
        <f t="shared" si="0"/>
        <v/>
      </c>
      <c r="K28" s="293">
        <f t="shared" si="1"/>
        <v>14</v>
      </c>
      <c r="L28" s="293" t="str">
        <f t="shared" si="2"/>
        <v/>
      </c>
      <c r="M28" s="17" t="s">
        <v>1641</v>
      </c>
    </row>
    <row r="29" spans="1:13" ht="32" customHeight="1" x14ac:dyDescent="0.2">
      <c r="A29" s="13" t="s">
        <v>1451</v>
      </c>
      <c r="C29" s="1724" t="str">
        <f>BIBLE!E189</f>
        <v>E26</v>
      </c>
      <c r="D29" s="1728" t="str">
        <f>BIBLE!F189</f>
        <v>Le comportement ou l'attitude de votre enfant change en présence de l’autre parent.</v>
      </c>
      <c r="E29" s="8"/>
      <c r="F29" s="8">
        <v>2</v>
      </c>
      <c r="G29" s="8"/>
      <c r="H29" s="6">
        <f>Test_Bible!P310</f>
        <v>4</v>
      </c>
      <c r="I29" s="6">
        <f>Test_Bible!Q310</f>
        <v>8</v>
      </c>
      <c r="J29" s="293" t="str">
        <f t="shared" si="0"/>
        <v/>
      </c>
      <c r="K29" s="293">
        <f t="shared" si="1"/>
        <v>8</v>
      </c>
      <c r="L29" s="293" t="str">
        <f t="shared" si="2"/>
        <v/>
      </c>
    </row>
    <row r="30" spans="1:13" ht="43" customHeight="1" x14ac:dyDescent="0.2">
      <c r="C30" s="1724" t="str">
        <f>BIBLE!E178</f>
        <v>E18</v>
      </c>
      <c r="D30" s="1728" t="str">
        <f>BIBLE!F178</f>
        <v>Votre enfant répond à vos messages lorsqu’il est chez l’autre parent (tél., textos, réseaux sociaux, etc.).</v>
      </c>
      <c r="E30" s="8"/>
      <c r="F30" s="8">
        <v>2</v>
      </c>
      <c r="G30" s="8"/>
      <c r="H30" s="6">
        <f>Test_Bible!P299</f>
        <v>10</v>
      </c>
      <c r="I30" s="6">
        <f>Test_Bible!Q299</f>
        <v>20</v>
      </c>
      <c r="J30" s="293" t="str">
        <f t="shared" si="0"/>
        <v/>
      </c>
      <c r="K30" s="293">
        <f t="shared" si="1"/>
        <v>20</v>
      </c>
      <c r="L30" s="293" t="str">
        <f t="shared" si="2"/>
        <v/>
      </c>
    </row>
    <row r="31" spans="1:13" ht="44" customHeight="1" x14ac:dyDescent="0.2">
      <c r="C31" s="1724" t="str">
        <f>BIBLE!E179</f>
        <v>E20</v>
      </c>
      <c r="D31" s="1728" t="str">
        <f>BIBLE!F179</f>
        <v>Votre enfant considère le nouveau ou nouvelle conjoint·e (de l'autre parent) comme son père ou sa mère.</v>
      </c>
      <c r="E31" s="8"/>
      <c r="F31" s="8">
        <v>2</v>
      </c>
      <c r="G31" s="8"/>
      <c r="H31" s="6">
        <f>Test_Bible!P300</f>
        <v>1</v>
      </c>
      <c r="I31" s="6">
        <f>Test_Bible!Q300</f>
        <v>2</v>
      </c>
      <c r="J31" s="293" t="str">
        <f t="shared" si="0"/>
        <v/>
      </c>
      <c r="K31" s="293">
        <f t="shared" si="1"/>
        <v>2</v>
      </c>
      <c r="L31" s="293" t="str">
        <f t="shared" si="2"/>
        <v/>
      </c>
    </row>
    <row r="32" spans="1:13" ht="46" customHeight="1" x14ac:dyDescent="0.2">
      <c r="A32" s="13" t="s">
        <v>1451</v>
      </c>
      <c r="C32" s="1724" t="str">
        <f>BIBLE!E194</f>
        <v>E28</v>
      </c>
      <c r="D32" s="1728" t="str">
        <f>BIBLE!F194</f>
        <v>Votre enfant s'isole ou se cache (ex.: chambre ou toilettes) pour appeler l'autre parent afin qu'on n'entende pas ses conversations.</v>
      </c>
      <c r="E32" s="8"/>
      <c r="F32" s="8">
        <v>2</v>
      </c>
      <c r="G32" s="8"/>
      <c r="H32" s="6">
        <f>Test_Bible!P321</f>
        <v>4</v>
      </c>
      <c r="I32" s="6">
        <f>Test_Bible!Q321</f>
        <v>8</v>
      </c>
      <c r="J32" s="293" t="str">
        <f t="shared" si="0"/>
        <v/>
      </c>
      <c r="K32" s="293">
        <f t="shared" si="1"/>
        <v>8</v>
      </c>
      <c r="L32" s="293" t="str">
        <f t="shared" si="2"/>
        <v/>
      </c>
    </row>
    <row r="33" spans="1:12" ht="42" customHeight="1" x14ac:dyDescent="0.2">
      <c r="A33" s="13" t="s">
        <v>1450</v>
      </c>
      <c r="C33" s="1724" t="str">
        <f>BIBLE!E195</f>
        <v>E29</v>
      </c>
      <c r="D33" s="1728" t="str">
        <f>BIBLE!F195</f>
        <v>Dans quelle mesure diriez-vous que votre enfant change ou adapte ses champs d’intérêts pour partager les intérêts de l’autre parent ?</v>
      </c>
      <c r="E33" s="8"/>
      <c r="F33" s="8">
        <v>2</v>
      </c>
      <c r="G33" s="8"/>
      <c r="H33" s="6">
        <f>Test_Bible!P322</f>
        <v>4</v>
      </c>
      <c r="I33" s="6">
        <f>Test_Bible!Q322</f>
        <v>8</v>
      </c>
      <c r="J33" s="293" t="str">
        <f t="shared" si="0"/>
        <v/>
      </c>
      <c r="K33" s="293">
        <f t="shared" si="1"/>
        <v>8</v>
      </c>
      <c r="L33" s="293" t="str">
        <f t="shared" si="2"/>
        <v/>
      </c>
    </row>
    <row r="34" spans="1:12" ht="45" customHeight="1" x14ac:dyDescent="0.2">
      <c r="C34" s="1724" t="str">
        <f>BIBLE!E183</f>
        <v>E22</v>
      </c>
      <c r="D34" s="1728" t="str">
        <f>BIBLE!F183</f>
        <v>Votre enfant connait des informations personnelles ou intimes sur vous dont vous n'avez jamais discuté avec lui ou avec elle.</v>
      </c>
      <c r="E34" s="8"/>
      <c r="F34" s="8">
        <v>2</v>
      </c>
      <c r="G34" s="8"/>
      <c r="H34" s="6">
        <f>Test_Bible!P304</f>
        <v>4</v>
      </c>
      <c r="I34" s="6">
        <f>Test_Bible!Q304</f>
        <v>8</v>
      </c>
      <c r="J34" s="293" t="str">
        <f t="shared" si="0"/>
        <v/>
      </c>
      <c r="K34" s="293">
        <f t="shared" si="1"/>
        <v>8</v>
      </c>
      <c r="L34" s="293" t="str">
        <f t="shared" si="2"/>
        <v/>
      </c>
    </row>
    <row r="35" spans="1:12" ht="38" customHeight="1" x14ac:dyDescent="0.2">
      <c r="A35" s="13" t="s">
        <v>1448</v>
      </c>
      <c r="B35" s="980" t="s">
        <v>1636</v>
      </c>
      <c r="C35" s="1724" t="str">
        <f>BIBLE!E198</f>
        <v>E32</v>
      </c>
      <c r="D35" s="1728" t="str">
        <f>BIBLE!F198</f>
        <v>Votre enfant vous accuse de mentir, de voler, etc.</v>
      </c>
      <c r="E35" s="8"/>
      <c r="F35" s="8">
        <v>2</v>
      </c>
      <c r="G35" s="8"/>
      <c r="H35" s="6">
        <f>Test_Bible!P325</f>
        <v>0</v>
      </c>
      <c r="I35" s="6">
        <f>Test_Bible!Q325</f>
        <v>0</v>
      </c>
      <c r="J35" s="293" t="str">
        <f t="shared" si="0"/>
        <v/>
      </c>
      <c r="K35" s="293" t="str">
        <f t="shared" si="1"/>
        <v/>
      </c>
      <c r="L35" s="293" t="str">
        <f t="shared" si="2"/>
        <v/>
      </c>
    </row>
    <row r="36" spans="1:12" ht="63" customHeight="1" x14ac:dyDescent="0.2">
      <c r="A36" s="13"/>
      <c r="C36" s="1726" t="str">
        <f>BIBLE!E200</f>
        <v>E33a</v>
      </c>
      <c r="D36" s="1729" t="str">
        <f>BIBLE!F200</f>
        <v>Votre enfant demande à changer les termes de la garde afin de passer plus de temps chez l’autre parent.</v>
      </c>
      <c r="E36" s="8"/>
      <c r="F36" s="8">
        <v>2</v>
      </c>
      <c r="G36" s="8"/>
      <c r="H36" s="6">
        <f>Test_Bible!P327</f>
        <v>0</v>
      </c>
      <c r="I36" s="6">
        <f>Test_Bible!Q327</f>
        <v>0</v>
      </c>
      <c r="J36" s="293" t="str">
        <f t="shared" si="0"/>
        <v/>
      </c>
      <c r="K36" s="293" t="str">
        <f t="shared" si="1"/>
        <v/>
      </c>
      <c r="L36" s="293" t="str">
        <f t="shared" si="2"/>
        <v/>
      </c>
    </row>
    <row r="37" spans="1:12" ht="53" customHeight="1" x14ac:dyDescent="0.2">
      <c r="A37" s="13" t="s">
        <v>1451</v>
      </c>
      <c r="C37" s="1724" t="str">
        <f>BIBLE!E167</f>
        <v>E11</v>
      </c>
      <c r="D37" s="1728" t="str">
        <f>BIBLE!F167</f>
        <v>Votre enfant va vers vous lors d'événements culturels ou sportifs lorsqu'il ou elle est en compagnie (sous la supervision) de l'autre parent ?</v>
      </c>
      <c r="E37" s="511"/>
      <c r="F37" s="511">
        <v>2</v>
      </c>
      <c r="G37" s="511">
        <v>3</v>
      </c>
      <c r="H37" s="1738">
        <f>Test_Bible!P284</f>
        <v>4</v>
      </c>
      <c r="I37" s="1738">
        <f>Test_Bible!Q284</f>
        <v>8</v>
      </c>
      <c r="J37" s="1739" t="str">
        <f t="shared" si="0"/>
        <v/>
      </c>
      <c r="K37" s="1739">
        <f t="shared" si="1"/>
        <v>8</v>
      </c>
      <c r="L37" s="1739" t="str">
        <f t="shared" si="2"/>
        <v/>
      </c>
    </row>
    <row r="38" spans="1:12" ht="32" customHeight="1" x14ac:dyDescent="0.2">
      <c r="B38" s="980" t="s">
        <v>1582</v>
      </c>
      <c r="C38" s="1724" t="str">
        <f>BIBLE!E190</f>
        <v>E12</v>
      </c>
      <c r="D38" s="1728" t="str">
        <f>BIBLE!F190</f>
        <v xml:space="preserve">Est-il déjà arrivé que votre enfant dénigre vos compétences parentales devant l’autre parent ? </v>
      </c>
      <c r="E38" s="511"/>
      <c r="F38" s="511">
        <v>2</v>
      </c>
      <c r="G38" s="511">
        <v>3</v>
      </c>
      <c r="H38" s="1738">
        <f>Test_Bible!P311</f>
        <v>0</v>
      </c>
      <c r="I38" s="1738">
        <f>Test_Bible!Q311</f>
        <v>0</v>
      </c>
      <c r="J38" s="1739" t="str">
        <f t="shared" si="0"/>
        <v/>
      </c>
      <c r="K38" s="1739" t="str">
        <f t="shared" si="1"/>
        <v/>
      </c>
      <c r="L38" s="1739" t="str">
        <f t="shared" si="2"/>
        <v/>
      </c>
    </row>
    <row r="39" spans="1:12" ht="32" customHeight="1" x14ac:dyDescent="0.2">
      <c r="B39" s="980" t="s">
        <v>1631</v>
      </c>
      <c r="C39" s="1726" t="str">
        <f>BIBLE!E175</f>
        <v>E16a1</v>
      </c>
      <c r="D39" s="1729" t="str">
        <f>BIBLE!F175</f>
        <v>Dans quelle mesure votre enfant impose-t-il ou elle des changements d’horaires et de visite à la faveur de l'autre parent sans vous consulter au préalable et sans votre autorisation ?</v>
      </c>
      <c r="E39" s="511"/>
      <c r="F39" s="511">
        <v>2</v>
      </c>
      <c r="G39" s="511">
        <v>3</v>
      </c>
      <c r="H39" s="1738">
        <f>Test_Bible!P296</f>
        <v>4</v>
      </c>
      <c r="I39" s="1738">
        <f>Test_Bible!Q296</f>
        <v>8</v>
      </c>
      <c r="J39" s="1739" t="str">
        <f t="shared" si="0"/>
        <v/>
      </c>
      <c r="K39" s="1739">
        <f t="shared" si="1"/>
        <v>8</v>
      </c>
      <c r="L39" s="1739" t="str">
        <f t="shared" si="2"/>
        <v/>
      </c>
    </row>
    <row r="40" spans="1:12" ht="42" customHeight="1" x14ac:dyDescent="0.2">
      <c r="C40" s="1724" t="str">
        <f>BIBLE!E197</f>
        <v>E30</v>
      </c>
      <c r="D40" s="1728" t="str">
        <f>BIBLE!F197</f>
        <v>Votre enfant réclame le droit de choisir les moments où il vous rend visite et la durée des visites chez vous.</v>
      </c>
      <c r="E40" s="511"/>
      <c r="F40" s="511">
        <v>2</v>
      </c>
      <c r="G40" s="511">
        <v>3</v>
      </c>
      <c r="H40" s="1738">
        <f>Test_Bible!P324</f>
        <v>0</v>
      </c>
      <c r="I40" s="1738">
        <f>Test_Bible!Q324</f>
        <v>0</v>
      </c>
      <c r="J40" s="1739" t="str">
        <f t="shared" si="0"/>
        <v/>
      </c>
      <c r="K40" s="1739" t="str">
        <f t="shared" si="1"/>
        <v/>
      </c>
      <c r="L40" s="1739" t="str">
        <f t="shared" si="2"/>
        <v/>
      </c>
    </row>
    <row r="41" spans="1:12" ht="46" customHeight="1" x14ac:dyDescent="0.2">
      <c r="B41" s="980" t="s">
        <v>1636</v>
      </c>
      <c r="C41" s="1731" t="str">
        <f>BIBLE!E202</f>
        <v>E34</v>
      </c>
      <c r="D41" s="1887" t="str">
        <f>BIBLE!F202</f>
        <v xml:space="preserve">Votre enfant bloque les communications (tél., textos, réseaux sociaux, etc.). </v>
      </c>
      <c r="E41" s="511"/>
      <c r="F41" s="511">
        <v>2</v>
      </c>
      <c r="G41" s="511">
        <v>3</v>
      </c>
      <c r="H41" s="1738">
        <f>Test_Bible!P329</f>
        <v>2</v>
      </c>
      <c r="I41" s="1738">
        <f>Test_Bible!Q329</f>
        <v>6</v>
      </c>
      <c r="J41" s="1739" t="str">
        <f t="shared" si="0"/>
        <v/>
      </c>
      <c r="K41" s="1739" t="str">
        <f t="shared" si="1"/>
        <v/>
      </c>
      <c r="L41" s="1739">
        <f t="shared" si="2"/>
        <v>6</v>
      </c>
    </row>
    <row r="42" spans="1:12" ht="44" customHeight="1" x14ac:dyDescent="0.2">
      <c r="B42" s="980" t="s">
        <v>1632</v>
      </c>
      <c r="C42" s="1726" t="str">
        <f>BIBLE!E157</f>
        <v>E04a</v>
      </c>
      <c r="D42" s="1727" t="str">
        <f>BIBLE!F157</f>
        <v>Aux yeux de votre enfant, tout ce que fait l'autre parent est bien, voire parfait, et tout ce que vous faites est mauvais ou sujet à critiques.</v>
      </c>
      <c r="E42" s="8"/>
      <c r="F42" s="8"/>
      <c r="G42" s="8">
        <v>3</v>
      </c>
      <c r="H42" s="6">
        <f>Test_Bible!P270</f>
        <v>0</v>
      </c>
      <c r="I42" s="6">
        <f>Test_Bible!Q270</f>
        <v>0</v>
      </c>
      <c r="J42" s="293" t="str">
        <f t="shared" ref="J42:J51" si="3">IF(I42&lt;&gt;0,IF(I42/H42=E42,I42,""),"")</f>
        <v/>
      </c>
      <c r="K42" s="293" t="str">
        <f t="shared" ref="K42:K51" si="4">IF(I42&lt;&gt;0,IF(I42/H42=F42,I42,""),"")</f>
        <v/>
      </c>
      <c r="L42" s="293" t="str">
        <f t="shared" ref="L42:L51" si="5">IF(I42&lt;&gt;0,IF(I42/H42=G42,I42,""),"")</f>
        <v/>
      </c>
    </row>
    <row r="43" spans="1:12" ht="61" customHeight="1" x14ac:dyDescent="0.2">
      <c r="A43" s="13" t="s">
        <v>1447</v>
      </c>
      <c r="B43" s="980" t="s">
        <v>1634</v>
      </c>
      <c r="C43" s="1726" t="str">
        <f>BIBLE!E162</f>
        <v>E06a</v>
      </c>
      <c r="D43" s="1727" t="str">
        <f>BIBLE!F162</f>
        <v>Votre enfant croit que vous souffrez d’une maladie mentale ou que vous êtes instable psychologiquement.</v>
      </c>
      <c r="E43" s="8"/>
      <c r="F43" s="8"/>
      <c r="G43" s="8">
        <v>3</v>
      </c>
      <c r="H43" s="6">
        <f>Test_Bible!P279</f>
        <v>4</v>
      </c>
      <c r="I43" s="6">
        <f>Test_Bible!Q279</f>
        <v>12</v>
      </c>
      <c r="J43" s="293" t="str">
        <f t="shared" si="3"/>
        <v/>
      </c>
      <c r="K43" s="293" t="str">
        <f t="shared" si="4"/>
        <v/>
      </c>
      <c r="L43" s="293">
        <f t="shared" si="5"/>
        <v>12</v>
      </c>
    </row>
    <row r="44" spans="1:12" ht="42" customHeight="1" x14ac:dyDescent="0.2">
      <c r="A44" s="13" t="s">
        <v>1447</v>
      </c>
      <c r="B44" s="980" t="s">
        <v>1634</v>
      </c>
      <c r="C44" s="1726" t="str">
        <f>BIBLE!E163</f>
        <v>E06a1</v>
      </c>
      <c r="D44" s="1727" t="str">
        <f>BIBLE!F163</f>
        <v>Arrive-t-il à votre enfant de vous reprocher d'être dangereux·se ou de présenter un danger pour sa sécurité ?</v>
      </c>
      <c r="E44" s="8"/>
      <c r="F44" s="8"/>
      <c r="G44" s="8">
        <v>3</v>
      </c>
      <c r="H44" s="6">
        <f>Test_Bible!P280</f>
        <v>0</v>
      </c>
      <c r="I44" s="6">
        <f>Test_Bible!Q280</f>
        <v>0</v>
      </c>
      <c r="J44" s="293" t="str">
        <f t="shared" si="3"/>
        <v/>
      </c>
      <c r="K44" s="293" t="str">
        <f t="shared" si="4"/>
        <v/>
      </c>
      <c r="L44" s="293" t="str">
        <f t="shared" si="5"/>
        <v/>
      </c>
    </row>
    <row r="45" spans="1:12" ht="58" customHeight="1" x14ac:dyDescent="0.2">
      <c r="C45" s="1726" t="str">
        <f>BIBLE!E176</f>
        <v>E16a2</v>
      </c>
      <c r="D45" s="1729" t="str">
        <f>BIBLE!F176</f>
        <v>Arrive-t-il à votre enfant de changer d’idée concernant une activité prévue à l’horaire avec vous ?  D’abord enthousiaste, votre enfant trouve subitement (dernière minute) des excuses pour ne pas participer à l’activité ?</v>
      </c>
      <c r="E45" s="8"/>
      <c r="F45" s="8"/>
      <c r="G45" s="8">
        <v>3</v>
      </c>
      <c r="H45" s="6">
        <f>Test_Bible!P297</f>
        <v>4</v>
      </c>
      <c r="I45" s="6">
        <f>Test_Bible!Q297</f>
        <v>12</v>
      </c>
      <c r="J45" s="293" t="str">
        <f t="shared" si="3"/>
        <v/>
      </c>
      <c r="K45" s="293" t="str">
        <f t="shared" si="4"/>
        <v/>
      </c>
      <c r="L45" s="293">
        <f t="shared" si="5"/>
        <v>12</v>
      </c>
    </row>
    <row r="46" spans="1:12" ht="50" customHeight="1" x14ac:dyDescent="0.2">
      <c r="B46" s="980" t="s">
        <v>1583</v>
      </c>
      <c r="C46" s="1726" t="str">
        <f>BIBLE!E184</f>
        <v>E22a</v>
      </c>
      <c r="D46" s="1729" t="str">
        <f>BIBLE!F184</f>
        <v>Dans quelle mesure les souvenirs de votre enfant vous semblent-ils être déformés ? (ex.: souvenirs de la petite enfance vus aujourd'hui différement)</v>
      </c>
      <c r="E46" s="8"/>
      <c r="F46" s="8"/>
      <c r="G46" s="8">
        <v>3</v>
      </c>
      <c r="H46" s="6">
        <f>Test_Bible!P305</f>
        <v>4</v>
      </c>
      <c r="I46" s="6">
        <f>Test_Bible!Q305</f>
        <v>12</v>
      </c>
      <c r="J46" s="293" t="str">
        <f t="shared" si="3"/>
        <v/>
      </c>
      <c r="K46" s="293" t="str">
        <f t="shared" si="4"/>
        <v/>
      </c>
      <c r="L46" s="293">
        <f t="shared" si="5"/>
        <v>12</v>
      </c>
    </row>
    <row r="47" spans="1:12" ht="42" customHeight="1" x14ac:dyDescent="0.2">
      <c r="A47" s="13" t="s">
        <v>1447</v>
      </c>
      <c r="C47" s="1726" t="str">
        <f>BIBLE!E193</f>
        <v>E27a1</v>
      </c>
      <c r="D47" s="1729" t="str">
        <f>BIBLE!F193</f>
        <v>Au retour d’un séjour chez l’autre parent, votre enfant vous questionne sur vos décisions présentes ou passsées ou vous accable de reproches.</v>
      </c>
      <c r="E47" s="8"/>
      <c r="F47" s="8"/>
      <c r="G47" s="8">
        <v>3</v>
      </c>
      <c r="H47" s="6">
        <f>Test_Bible!P320</f>
        <v>0</v>
      </c>
      <c r="I47" s="6">
        <f>Test_Bible!Q320</f>
        <v>0</v>
      </c>
      <c r="J47" s="293" t="str">
        <f t="shared" si="3"/>
        <v/>
      </c>
      <c r="K47" s="293" t="str">
        <f t="shared" si="4"/>
        <v/>
      </c>
      <c r="L47" s="293" t="str">
        <f t="shared" si="5"/>
        <v/>
      </c>
    </row>
    <row r="48" spans="1:12" ht="42" customHeight="1" x14ac:dyDescent="0.2">
      <c r="B48" s="980" t="s">
        <v>1636</v>
      </c>
      <c r="C48" s="1730" t="str">
        <f>BIBLE!E196</f>
        <v>E29a</v>
      </c>
      <c r="D48" s="1729" t="str">
        <f>BIBLE!F196</f>
        <v>Dans quelle mesure diriez-vous que votre enfant rejette vos valeurs et vos champs d’intérêts.</v>
      </c>
      <c r="E48" s="8"/>
      <c r="F48" s="8"/>
      <c r="G48" s="8">
        <v>3</v>
      </c>
      <c r="H48" s="6">
        <f>Test_Bible!P323</f>
        <v>7</v>
      </c>
      <c r="I48" s="6">
        <f>Test_Bible!Q323</f>
        <v>21</v>
      </c>
      <c r="J48" s="293" t="str">
        <f t="shared" si="3"/>
        <v/>
      </c>
      <c r="K48" s="293" t="str">
        <f t="shared" si="4"/>
        <v/>
      </c>
      <c r="L48" s="293">
        <f t="shared" si="5"/>
        <v>21</v>
      </c>
    </row>
    <row r="49" spans="1:19" ht="45" customHeight="1" x14ac:dyDescent="0.2">
      <c r="B49" s="980" t="s">
        <v>1634</v>
      </c>
      <c r="C49" s="1724" t="str">
        <f>BIBLE!E158</f>
        <v>E04a1</v>
      </c>
      <c r="D49" s="1728" t="str">
        <f>BIBLE!F158</f>
        <v>Votre enfant calque les désirs et les paroles de l’autre parent.</v>
      </c>
      <c r="E49" s="8"/>
      <c r="F49" s="8"/>
      <c r="G49" s="8">
        <v>3</v>
      </c>
      <c r="H49" s="6">
        <f>Test_Bible!P271</f>
        <v>0</v>
      </c>
      <c r="I49" s="6">
        <f>Test_Bible!Q271</f>
        <v>0</v>
      </c>
      <c r="J49" s="293" t="str">
        <f t="shared" si="3"/>
        <v/>
      </c>
      <c r="K49" s="293" t="str">
        <f t="shared" si="4"/>
        <v/>
      </c>
      <c r="L49" s="293" t="str">
        <f t="shared" si="5"/>
        <v/>
      </c>
    </row>
    <row r="50" spans="1:19" ht="52" customHeight="1" x14ac:dyDescent="0.2">
      <c r="B50" s="980" t="s">
        <v>1634</v>
      </c>
      <c r="C50" s="1724" t="str">
        <f>BIBLE!E199</f>
        <v>E33</v>
      </c>
      <c r="D50" s="1728" t="str">
        <f>BIBLE!F199</f>
        <v>Votre enfant vous reproche de lui manquer de respect en ne respectant pas ses choix, besoins, désirs, rythme, etc.</v>
      </c>
      <c r="E50" s="8"/>
      <c r="F50" s="8"/>
      <c r="G50" s="8">
        <v>3</v>
      </c>
      <c r="H50" s="6">
        <f>Test_Bible!P326</f>
        <v>0</v>
      </c>
      <c r="I50" s="6">
        <f>Test_Bible!Q326</f>
        <v>0</v>
      </c>
      <c r="J50" s="293" t="str">
        <f t="shared" si="3"/>
        <v/>
      </c>
      <c r="K50" s="293" t="str">
        <f t="shared" si="4"/>
        <v/>
      </c>
      <c r="L50" s="293" t="str">
        <f t="shared" si="5"/>
        <v/>
      </c>
    </row>
    <row r="51" spans="1:19" ht="48" customHeight="1" x14ac:dyDescent="0.2">
      <c r="B51" s="980" t="s">
        <v>1634</v>
      </c>
      <c r="C51" s="1726" t="str">
        <f>BIBLE!E201</f>
        <v>E33b</v>
      </c>
      <c r="D51" s="1729" t="str">
        <f>BIBLE!F201</f>
        <v xml:space="preserve">Votre enfant vous informe qu’à 12 ou 14 ans, le droit de choisir les modalités de garde lui reviendrait. </v>
      </c>
      <c r="E51" s="8"/>
      <c r="F51" s="8"/>
      <c r="G51" s="8">
        <v>3</v>
      </c>
      <c r="H51" s="6">
        <f>Test_Bible!P328</f>
        <v>0</v>
      </c>
      <c r="I51" s="6">
        <f>Test_Bible!Q328</f>
        <v>0</v>
      </c>
      <c r="J51" s="293" t="str">
        <f t="shared" si="3"/>
        <v/>
      </c>
      <c r="K51" s="293" t="str">
        <f t="shared" si="4"/>
        <v/>
      </c>
      <c r="L51" s="293" t="str">
        <f t="shared" si="5"/>
        <v/>
      </c>
    </row>
    <row r="52" spans="1:19" ht="27" customHeight="1" x14ac:dyDescent="0.2">
      <c r="G52" s="1743" t="s">
        <v>1452</v>
      </c>
      <c r="H52" s="74"/>
      <c r="I52" s="74" t="s">
        <v>1455</v>
      </c>
      <c r="J52" s="1742">
        <f>SUM(J14:J51)</f>
        <v>18</v>
      </c>
      <c r="K52" s="1742">
        <f>SUM(K14:K51)</f>
        <v>120</v>
      </c>
      <c r="L52" s="1742">
        <f>SUM(L14:L51)</f>
        <v>63</v>
      </c>
    </row>
    <row r="53" spans="1:19" ht="20" customHeight="1" x14ac:dyDescent="0.2">
      <c r="G53" s="1743" t="s">
        <v>1457</v>
      </c>
      <c r="H53" s="74"/>
      <c r="I53" s="74" t="s">
        <v>1456</v>
      </c>
      <c r="J53" s="1742">
        <f>COUNT(J14:J51)</f>
        <v>4</v>
      </c>
      <c r="K53" s="1742">
        <f t="shared" ref="K53:L53" si="6">COUNT(K14:K51)</f>
        <v>15</v>
      </c>
      <c r="L53" s="1742">
        <f t="shared" si="6"/>
        <v>5</v>
      </c>
    </row>
    <row r="54" spans="1:19" ht="21" customHeight="1" x14ac:dyDescent="0.2">
      <c r="C54" s="1734"/>
      <c r="D54" s="1735"/>
      <c r="E54" s="7"/>
      <c r="F54" s="7"/>
      <c r="G54" s="1743" t="s">
        <v>1458</v>
      </c>
      <c r="J54" s="1744">
        <f>J52/J53</f>
        <v>4.5</v>
      </c>
      <c r="K54" s="1744">
        <f>K52/K53</f>
        <v>8</v>
      </c>
      <c r="L54" s="1744">
        <f>L52/L53</f>
        <v>12.6</v>
      </c>
    </row>
    <row r="55" spans="1:19" x14ac:dyDescent="0.2">
      <c r="G55" s="1743" t="s">
        <v>1459</v>
      </c>
      <c r="J55" s="1745">
        <f>J54/1</f>
        <v>4.5</v>
      </c>
      <c r="K55" s="1745">
        <f>K54/2</f>
        <v>4</v>
      </c>
      <c r="L55" s="1745">
        <f>L54/3</f>
        <v>4.2</v>
      </c>
    </row>
    <row r="56" spans="1:19" x14ac:dyDescent="0.2">
      <c r="F56" s="7"/>
    </row>
    <row r="60" spans="1:19" x14ac:dyDescent="0.2">
      <c r="E60" t="s">
        <v>288</v>
      </c>
      <c r="F60" t="s">
        <v>290</v>
      </c>
      <c r="G60" t="s">
        <v>1643</v>
      </c>
      <c r="M60" t="s">
        <v>513</v>
      </c>
      <c r="N60" t="s">
        <v>514</v>
      </c>
      <c r="O60" t="s">
        <v>2163</v>
      </c>
      <c r="P60" t="s">
        <v>516</v>
      </c>
      <c r="Q60" t="s">
        <v>2164</v>
      </c>
      <c r="R60" t="s">
        <v>578</v>
      </c>
      <c r="S60" t="s">
        <v>2165</v>
      </c>
    </row>
    <row r="61" spans="1:19" ht="34" x14ac:dyDescent="0.2">
      <c r="A61" t="s">
        <v>1581</v>
      </c>
      <c r="C61" s="1733" t="s">
        <v>1642</v>
      </c>
      <c r="D61" s="1729" t="s">
        <v>518</v>
      </c>
      <c r="E61" s="72"/>
      <c r="F61" s="72"/>
      <c r="M61">
        <v>0</v>
      </c>
      <c r="N61">
        <v>1</v>
      </c>
      <c r="O61">
        <v>2</v>
      </c>
      <c r="P61">
        <v>4</v>
      </c>
      <c r="Q61">
        <v>7</v>
      </c>
      <c r="R61">
        <v>10</v>
      </c>
      <c r="S61">
        <v>0</v>
      </c>
    </row>
    <row r="62" spans="1:19" ht="17" x14ac:dyDescent="0.2">
      <c r="C62" s="1733"/>
      <c r="D62" s="1921" t="str">
        <f>Test_Bible!B341</f>
        <v>insomnie</v>
      </c>
      <c r="E62" s="562">
        <f>Test_Bible!P356</f>
        <v>4</v>
      </c>
      <c r="F62" s="562">
        <f>Test_Bible!P341</f>
        <v>7</v>
      </c>
      <c r="G62" t="str">
        <f>IF(OR(H62&lt;0,E62&lt;&gt;0),"détérioration de l'insomnie","rien à signaler")</f>
        <v>détérioration de l'insomnie</v>
      </c>
      <c r="H62" s="72">
        <f>E62-F62</f>
        <v>-3</v>
      </c>
    </row>
    <row r="63" spans="1:19" ht="27" customHeight="1" x14ac:dyDescent="0.2">
      <c r="C63" s="1733"/>
      <c r="D63" s="1921" t="str">
        <f>Test_Bible!B342</f>
        <v>anxiété</v>
      </c>
      <c r="E63" s="562">
        <f>Test_Bible!P357</f>
        <v>1</v>
      </c>
      <c r="F63" s="562">
        <f>Test_Bible!P342</f>
        <v>4</v>
      </c>
      <c r="G63" t="str">
        <f>IF(OR(H63&lt;0,E63&lt;&gt;0),"détérioration de l'anxiété","rien à signaler")</f>
        <v>détérioration de l'anxiété</v>
      </c>
      <c r="H63" s="72">
        <f t="shared" ref="H63:H69" si="7">E63-F63</f>
        <v>-3</v>
      </c>
    </row>
    <row r="64" spans="1:19" ht="17" x14ac:dyDescent="0.2">
      <c r="C64" s="1733"/>
      <c r="D64" s="1921" t="str">
        <f>Test_Bible!B343</f>
        <v>isolement et difficulté à socialiser</v>
      </c>
      <c r="E64" s="562">
        <f>Test_Bible!P358</f>
        <v>1</v>
      </c>
      <c r="F64" s="562">
        <f>Test_Bible!P343</f>
        <v>2</v>
      </c>
      <c r="G64" t="str">
        <f>IF(OR(H64&lt;0,E64&lt;&gt;0),"augmentation de l'isolement","rien à signaler")</f>
        <v>augmentation de l'isolement</v>
      </c>
      <c r="H64" s="72">
        <f t="shared" si="7"/>
        <v>-1</v>
      </c>
    </row>
    <row r="65" spans="1:25" ht="17" x14ac:dyDescent="0.2">
      <c r="C65" s="1733"/>
      <c r="D65" s="1921" t="str">
        <f>Test_Bible!B344</f>
        <v>trouble de l'opposition</v>
      </c>
      <c r="E65" s="562">
        <f>Test_Bible!P359</f>
        <v>0</v>
      </c>
      <c r="F65" s="562">
        <f>Test_Bible!P344</f>
        <v>1</v>
      </c>
      <c r="G65" t="str">
        <f>IF(OR(H65&lt;0,E65&lt;&gt;0),"détérioration des troubles d'opposition","rien à signaler")</f>
        <v>détérioration des troubles d'opposition</v>
      </c>
      <c r="H65" s="72">
        <f t="shared" si="7"/>
        <v>-1</v>
      </c>
    </row>
    <row r="66" spans="1:25" ht="17" x14ac:dyDescent="0.2">
      <c r="C66" s="1733"/>
      <c r="D66" s="1921" t="str">
        <f>Test_Bible!B345</f>
        <v>trouble alimentaire</v>
      </c>
      <c r="E66" s="562">
        <f>Test_Bible!P360</f>
        <v>0</v>
      </c>
      <c r="F66" s="562">
        <f>Test_Bible!P345</f>
        <v>1</v>
      </c>
      <c r="G66" t="str">
        <f>IF(OR(H66&lt;0,E66&lt;&gt;0),"détérioration du trouble alimentaire","rien à signaler")</f>
        <v>détérioration du trouble alimentaire</v>
      </c>
      <c r="H66" s="72">
        <f t="shared" si="7"/>
        <v>-1</v>
      </c>
    </row>
    <row r="67" spans="1:25" ht="17" x14ac:dyDescent="0.2">
      <c r="C67" s="1733"/>
      <c r="D67" s="1921" t="str">
        <f>Test_Bible!B347</f>
        <v>automutilation</v>
      </c>
      <c r="E67" s="562">
        <f>Test_Bible!P362</f>
        <v>0</v>
      </c>
      <c r="F67" s="562">
        <f>Test_Bible!P347</f>
        <v>0</v>
      </c>
      <c r="G67" t="str">
        <f>IF(OR(H67&lt;0,E67&lt;&gt;0),"détérioration de l'automutilation","rien à signaler")</f>
        <v>rien à signaler</v>
      </c>
      <c r="H67" s="72">
        <f t="shared" si="7"/>
        <v>0</v>
      </c>
    </row>
    <row r="68" spans="1:25" ht="17" x14ac:dyDescent="0.2">
      <c r="C68" s="1733"/>
      <c r="D68" s="1921" t="str">
        <f>Test_Bible!B349</f>
        <v>dépression</v>
      </c>
      <c r="E68" s="562">
        <f>Test_Bible!P364</f>
        <v>0</v>
      </c>
      <c r="F68" s="562">
        <f>Test_Bible!P349</f>
        <v>1</v>
      </c>
      <c r="G68" t="str">
        <f>IF(OR(H68&lt;0,E68&lt;&gt;0),"détérioration de phase de dépression","rien à signaler")</f>
        <v>détérioration de phase de dépression</v>
      </c>
      <c r="H68" s="72">
        <f t="shared" si="7"/>
        <v>-1</v>
      </c>
    </row>
    <row r="69" spans="1:25" ht="17" x14ac:dyDescent="0.2">
      <c r="C69" s="1733"/>
      <c r="D69" s="1921" t="str">
        <f>Test_Bible!B351</f>
        <v>idéation suicidaire</v>
      </c>
      <c r="E69" s="562">
        <f>Test_Bible!P366</f>
        <v>0</v>
      </c>
      <c r="F69" s="562">
        <f>Test_Bible!P351</f>
        <v>0</v>
      </c>
      <c r="G69" t="str">
        <f>IF(OR(H69&lt;0,E69&lt;&gt;0),"détérioration de l'idéation suicidaire","rien à signaler")</f>
        <v>rien à signaler</v>
      </c>
      <c r="H69" s="72">
        <f t="shared" si="7"/>
        <v>0</v>
      </c>
    </row>
    <row r="73" spans="1:25" ht="62" customHeight="1" x14ac:dyDescent="0.2">
      <c r="A73" t="s">
        <v>1647</v>
      </c>
      <c r="C73" s="1732"/>
      <c r="D73" s="1728"/>
      <c r="F73" s="13" t="s">
        <v>1648</v>
      </c>
      <c r="G73" s="13" t="s">
        <v>1649</v>
      </c>
      <c r="J73" s="1923" t="s">
        <v>1661</v>
      </c>
      <c r="P73" t="s">
        <v>1644</v>
      </c>
      <c r="V73" t="s">
        <v>1657</v>
      </c>
    </row>
    <row r="74" spans="1:25" ht="22" customHeight="1" x14ac:dyDescent="0.2">
      <c r="C74" s="1732" t="s">
        <v>1650</v>
      </c>
      <c r="D74" s="1728" t="s">
        <v>1651</v>
      </c>
      <c r="F74" s="1922">
        <f>Test_Bible!P313</f>
        <v>2</v>
      </c>
      <c r="G74" s="1922">
        <f>Test_Bible!P372</f>
        <v>5</v>
      </c>
      <c r="J74" t="e">
        <f>VLOOKUP(F74,U76:Y79,G74+2)</f>
        <v>#REF!</v>
      </c>
      <c r="P74" t="s">
        <v>1645</v>
      </c>
      <c r="V74" s="2236" t="s">
        <v>1653</v>
      </c>
      <c r="W74" s="2236"/>
      <c r="X74" s="2236"/>
      <c r="Y74" s="2236"/>
    </row>
    <row r="75" spans="1:25" ht="17" x14ac:dyDescent="0.2">
      <c r="C75" s="1732"/>
      <c r="D75" s="1920" t="str">
        <f>Test_Bible!B314</f>
        <v>Calme</v>
      </c>
      <c r="E75">
        <v>0</v>
      </c>
      <c r="F75" s="72"/>
      <c r="P75" t="s">
        <v>1646</v>
      </c>
      <c r="V75" s="5">
        <v>0</v>
      </c>
      <c r="W75" s="5">
        <v>1</v>
      </c>
      <c r="X75" s="5">
        <v>2</v>
      </c>
      <c r="Y75" s="5">
        <v>3</v>
      </c>
    </row>
    <row r="76" spans="1:25" ht="34" customHeight="1" x14ac:dyDescent="0.2">
      <c r="C76" s="1732"/>
      <c r="D76" s="1920" t="str">
        <f>Test_Bible!B315</f>
        <v>Neutre</v>
      </c>
      <c r="E76">
        <v>0</v>
      </c>
      <c r="T76" s="2235" t="s">
        <v>1652</v>
      </c>
      <c r="U76" s="7">
        <v>0</v>
      </c>
      <c r="V76" s="980" t="s">
        <v>273</v>
      </c>
      <c r="W76" s="980" t="s">
        <v>1654</v>
      </c>
      <c r="X76" s="980" t="s">
        <v>1658</v>
      </c>
      <c r="Y76" s="980" t="s">
        <v>1655</v>
      </c>
    </row>
    <row r="77" spans="1:25" ht="34" customHeight="1" x14ac:dyDescent="0.2">
      <c r="C77" s="1732"/>
      <c r="D77" s="1920" t="str">
        <f>Test_Bible!B316</f>
        <v>Enjoué.e</v>
      </c>
      <c r="E77">
        <v>0</v>
      </c>
      <c r="T77" s="2235"/>
      <c r="U77" s="7">
        <v>1</v>
      </c>
      <c r="V77" s="980" t="s">
        <v>1656</v>
      </c>
      <c r="W77" s="980"/>
      <c r="X77" s="980"/>
      <c r="Y77" s="980"/>
    </row>
    <row r="78" spans="1:25" ht="34" customHeight="1" x14ac:dyDescent="0.2">
      <c r="C78" s="1732"/>
      <c r="D78" s="1920" t="str">
        <f>Test_Bible!B317</f>
        <v>Taciturne</v>
      </c>
      <c r="E78">
        <v>1</v>
      </c>
      <c r="T78" s="2235"/>
      <c r="U78" s="7">
        <v>2</v>
      </c>
      <c r="V78" s="980" t="s">
        <v>1660</v>
      </c>
      <c r="W78" s="980"/>
      <c r="X78" s="980"/>
      <c r="Y78" s="980"/>
    </row>
    <row r="79" spans="1:25" ht="34" customHeight="1" x14ac:dyDescent="0.2">
      <c r="C79" s="1732"/>
      <c r="D79" s="1920" t="str">
        <f>Test_Bible!B318</f>
        <v>Anxieux</v>
      </c>
      <c r="E79">
        <v>2</v>
      </c>
      <c r="T79" s="2235"/>
      <c r="U79" s="7">
        <v>3</v>
      </c>
      <c r="V79" s="980" t="s">
        <v>1659</v>
      </c>
      <c r="W79" s="13"/>
      <c r="X79" s="13"/>
      <c r="Y79" s="13"/>
    </row>
    <row r="80" spans="1:25" ht="17" x14ac:dyDescent="0.2">
      <c r="C80" s="1732"/>
      <c r="D80" s="1920" t="str">
        <f>Test_Bible!B319</f>
        <v>Agressif</v>
      </c>
      <c r="E80">
        <v>3</v>
      </c>
    </row>
    <row r="85" spans="1:7" x14ac:dyDescent="0.2">
      <c r="E85" t="s">
        <v>288</v>
      </c>
      <c r="F85" t="s">
        <v>290</v>
      </c>
      <c r="G85" t="s">
        <v>1643</v>
      </c>
    </row>
    <row r="86" spans="1:7" ht="48" customHeight="1" x14ac:dyDescent="0.2">
      <c r="A86" s="980" t="s">
        <v>1444</v>
      </c>
      <c r="C86" s="1730" t="s">
        <v>555</v>
      </c>
      <c r="D86" s="1729" t="s">
        <v>1177</v>
      </c>
      <c r="E86" s="7"/>
      <c r="F86" s="562">
        <f>Test_Bible!P336</f>
        <v>7</v>
      </c>
      <c r="G86" s="7" t="str">
        <f>IF((E87-F86&lt;0),"détérioration","rien à signaler")</f>
        <v>détérioration</v>
      </c>
    </row>
    <row r="87" spans="1:7" ht="34" customHeight="1" x14ac:dyDescent="0.2">
      <c r="A87" s="980" t="s">
        <v>1453</v>
      </c>
      <c r="C87" s="1730" t="str">
        <f>BIBLE!E205</f>
        <v>E35b</v>
      </c>
      <c r="D87" s="1729" t="str">
        <f>BIBLE!F205</f>
        <v>Comment était la relation de votre enfant avec la famille élargie avant la séparation ?</v>
      </c>
      <c r="E87" s="562">
        <f>Test_Bible!P337</f>
        <v>2</v>
      </c>
      <c r="F87" s="7"/>
      <c r="G87" s="7"/>
    </row>
    <row r="107" spans="1:12" x14ac:dyDescent="0.2">
      <c r="B107" t="s">
        <v>1640</v>
      </c>
    </row>
    <row r="108" spans="1:12" ht="17" x14ac:dyDescent="0.2">
      <c r="C108" s="1724" t="str">
        <f>BIBLE!E181</f>
        <v>E21</v>
      </c>
      <c r="D108" s="1728" t="str">
        <f>BIBLE!F181</f>
        <v>Les jouets et les vêtements de votre enfant se promènent d’une maison à l’autre simplement.</v>
      </c>
      <c r="E108" s="8">
        <v>1</v>
      </c>
      <c r="F108" s="8"/>
      <c r="G108" s="8"/>
      <c r="H108" s="6">
        <f>Test_Bible!P302</f>
        <v>4</v>
      </c>
      <c r="I108" s="6">
        <f>Test_Bible!Q302</f>
        <v>4</v>
      </c>
      <c r="J108" s="293">
        <f t="shared" ref="J108:J114" si="8">IF(I108&lt;&gt;0,IF(I108/H108=E108,I108,""),"")</f>
        <v>4</v>
      </c>
      <c r="K108" s="293" t="str">
        <f t="shared" ref="K108:K114" si="9">IF(I108&lt;&gt;0,IF(I108/H108=F108,I108,""),"")</f>
        <v/>
      </c>
      <c r="L108" s="293" t="str">
        <f t="shared" ref="L108:L114" si="10">IF(I108&lt;&gt;0,IF(I108/H108=G108,I108,""),"")</f>
        <v/>
      </c>
    </row>
    <row r="109" spans="1:12" ht="34" x14ac:dyDescent="0.2">
      <c r="A109" s="13" t="s">
        <v>1449</v>
      </c>
      <c r="C109" s="1918" t="str">
        <f>BIBLE!E155</f>
        <v>E03a</v>
      </c>
      <c r="D109" s="1727" t="str">
        <f>BIBLE!F155</f>
        <v>Votre enfant a reçu l’ordre de ne pas vous raconter ce qui se passe chez l’autre parent.</v>
      </c>
      <c r="E109" s="8"/>
      <c r="F109" s="8">
        <v>2</v>
      </c>
      <c r="G109" s="8"/>
      <c r="H109" s="6">
        <f>Test_Bible!P268</f>
        <v>10</v>
      </c>
      <c r="I109" s="6">
        <f>Test_Bible!Q268</f>
        <v>20</v>
      </c>
      <c r="J109" s="293" t="str">
        <f t="shared" si="8"/>
        <v/>
      </c>
      <c r="K109" s="293">
        <f t="shared" si="9"/>
        <v>20</v>
      </c>
      <c r="L109" s="293" t="str">
        <f t="shared" si="10"/>
        <v/>
      </c>
    </row>
    <row r="110" spans="1:12" ht="32" customHeight="1" x14ac:dyDescent="0.2">
      <c r="A110" s="13" t="s">
        <v>1449</v>
      </c>
      <c r="C110" s="1724" t="str">
        <f>BIBLE!E187</f>
        <v>E24</v>
      </c>
      <c r="D110" s="1728" t="str">
        <f>BIBLE!F187</f>
        <v>L'autre parent a informé votre enfant du contexte juridique, financier ou autre associé au conflit vous opposant.</v>
      </c>
      <c r="E110" s="8"/>
      <c r="F110" s="8">
        <v>2</v>
      </c>
      <c r="G110" s="8"/>
      <c r="H110" s="6">
        <f>Test_Bible!P308</f>
        <v>7</v>
      </c>
      <c r="I110" s="6">
        <f>Test_Bible!Q308</f>
        <v>14</v>
      </c>
      <c r="J110" s="293" t="str">
        <f t="shared" si="8"/>
        <v/>
      </c>
      <c r="K110" s="293">
        <f t="shared" si="9"/>
        <v>14</v>
      </c>
      <c r="L110" s="293" t="str">
        <f t="shared" si="10"/>
        <v/>
      </c>
    </row>
    <row r="111" spans="1:12" ht="43" customHeight="1" x14ac:dyDescent="0.2">
      <c r="C111" s="1726" t="str">
        <f>BIBLE!E182</f>
        <v>E21a</v>
      </c>
      <c r="D111" s="1729" t="str">
        <f>BIBLE!F182</f>
        <v xml:space="preserve">Dans quelle mesure diriez-vous que l'autre parent accepte que votre enfant apporte des objets qui proviennent de votre demeure ou de votre milieu ? </v>
      </c>
      <c r="E111" s="8"/>
      <c r="F111" s="8">
        <v>2</v>
      </c>
      <c r="G111" s="8"/>
      <c r="H111" s="6">
        <f>Test_Bible!P303</f>
        <v>7</v>
      </c>
      <c r="I111" s="6">
        <f>Test_Bible!Q303</f>
        <v>14</v>
      </c>
      <c r="J111" s="293" t="str">
        <f t="shared" si="8"/>
        <v/>
      </c>
      <c r="K111" s="293">
        <f t="shared" si="9"/>
        <v>14</v>
      </c>
      <c r="L111" s="293" t="str">
        <f t="shared" si="10"/>
        <v/>
      </c>
    </row>
    <row r="112" spans="1:12" ht="32" customHeight="1" x14ac:dyDescent="0.2">
      <c r="C112" s="1726" t="str">
        <f>BIBLE!E177</f>
        <v>E16a3</v>
      </c>
      <c r="D112" s="1729" t="str">
        <f>BIBLE!F177</f>
        <v>Votre enfant subit une pression pour passer plus de temps chez l'autre parent.</v>
      </c>
      <c r="E112" s="511"/>
      <c r="F112" s="511">
        <v>2</v>
      </c>
      <c r="G112" s="511">
        <v>3</v>
      </c>
      <c r="H112" s="1738">
        <f>Test_Bible!P298</f>
        <v>10</v>
      </c>
      <c r="I112" s="1738">
        <f>Test_Bible!Q298</f>
        <v>20</v>
      </c>
      <c r="J112" s="1739" t="str">
        <f t="shared" si="8"/>
        <v/>
      </c>
      <c r="K112" s="1739">
        <f t="shared" si="9"/>
        <v>20</v>
      </c>
      <c r="L112" s="1739" t="str">
        <f t="shared" si="10"/>
        <v/>
      </c>
    </row>
    <row r="113" spans="2:12" ht="46" customHeight="1" x14ac:dyDescent="0.2">
      <c r="B113" s="980"/>
      <c r="C113" s="1726" t="str">
        <f>BIBLE!E170</f>
        <v>E14a</v>
      </c>
      <c r="D113" s="1729" t="str">
        <f>BIBLE!F170</f>
        <v xml:space="preserve">Selon votre enfant, la nouvelle famille de l'autre parent (famille recomposée ou non) a plus de valeur que la vôtre. </v>
      </c>
      <c r="E113" s="8"/>
      <c r="F113" s="8"/>
      <c r="G113" s="8">
        <v>3</v>
      </c>
      <c r="H113" s="6">
        <f>Test_Bible!P287</f>
        <v>1</v>
      </c>
      <c r="I113" s="6">
        <f>Test_Bible!Q287</f>
        <v>3</v>
      </c>
      <c r="J113" s="293" t="str">
        <f t="shared" si="8"/>
        <v/>
      </c>
      <c r="K113" s="293" t="str">
        <f t="shared" si="9"/>
        <v/>
      </c>
      <c r="L113" s="293">
        <f t="shared" si="10"/>
        <v>3</v>
      </c>
    </row>
    <row r="114" spans="2:12" ht="55" customHeight="1" x14ac:dyDescent="0.2">
      <c r="C114" s="1916" t="str">
        <f>BIBLE!E180</f>
        <v>E20a</v>
      </c>
      <c r="D114" s="1917" t="str">
        <f>BIBLE!F180</f>
        <v>Dans quelle mesure la présence du nouveau ou nouvelle conjoint·e apporte-t-elle chez votre enfant une confusion au niveau des rôles parentaux ?</v>
      </c>
      <c r="E114" s="8"/>
      <c r="F114" s="8"/>
      <c r="G114" s="8">
        <v>3</v>
      </c>
      <c r="H114" s="6">
        <f>Test_Bible!P301</f>
        <v>0</v>
      </c>
      <c r="I114" s="6">
        <f>Test_Bible!Q301</f>
        <v>0</v>
      </c>
      <c r="J114" s="293" t="str">
        <f t="shared" si="8"/>
        <v/>
      </c>
      <c r="K114" s="293" t="str">
        <f t="shared" si="9"/>
        <v/>
      </c>
      <c r="L114" s="293" t="str">
        <f t="shared" si="10"/>
        <v/>
      </c>
    </row>
  </sheetData>
  <mergeCells count="4">
    <mergeCell ref="T76:T79"/>
    <mergeCell ref="V74:Y74"/>
    <mergeCell ref="E12:G12"/>
    <mergeCell ref="J12:L1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4AD3-7E89-A548-8DB9-68C1DE8FD913}">
  <dimension ref="A1:Y158"/>
  <sheetViews>
    <sheetView topLeftCell="C3" zoomScale="97" zoomScaleNormal="97" workbookViewId="0">
      <selection activeCell="I6" sqref="I6:I80"/>
    </sheetView>
    <sheetView workbookViewId="1"/>
  </sheetViews>
  <sheetFormatPr baseColWidth="10" defaultRowHeight="16" x14ac:dyDescent="0.2"/>
  <cols>
    <col min="1" max="1" width="12.5" customWidth="1"/>
    <col min="2" max="2" width="49.1640625" customWidth="1"/>
    <col min="3" max="3" width="52.5" customWidth="1"/>
    <col min="4" max="4" width="12.6640625" style="8" customWidth="1"/>
    <col min="5" max="5" width="13.83203125" customWidth="1"/>
    <col min="6" max="6" width="10.6640625" style="5" customWidth="1"/>
    <col min="7" max="7" width="10.5" style="5" customWidth="1"/>
    <col min="8" max="8" width="9.5" customWidth="1"/>
    <col min="9" max="9" width="37.1640625" customWidth="1"/>
    <col min="10" max="10" width="18.6640625" customWidth="1"/>
    <col min="12" max="12" width="61.83203125" bestFit="1" customWidth="1"/>
    <col min="13" max="13" width="45.83203125" bestFit="1" customWidth="1"/>
    <col min="14" max="14" width="37" bestFit="1" customWidth="1"/>
    <col min="15" max="15" width="22.6640625" bestFit="1" customWidth="1"/>
    <col min="16" max="16" width="58.6640625" bestFit="1" customWidth="1"/>
    <col min="17" max="17" width="20.5" bestFit="1" customWidth="1"/>
    <col min="18" max="18" width="37.33203125" bestFit="1" customWidth="1"/>
    <col min="19" max="19" width="28" bestFit="1" customWidth="1"/>
    <col min="20" max="20" width="47" bestFit="1" customWidth="1"/>
    <col min="21" max="21" width="18" bestFit="1" customWidth="1"/>
    <col min="22" max="22" width="34" bestFit="1" customWidth="1"/>
    <col min="23" max="23" width="42" bestFit="1" customWidth="1"/>
    <col min="24" max="24" width="27" bestFit="1" customWidth="1"/>
    <col min="25" max="25" width="12.33203125" bestFit="1" customWidth="1"/>
  </cols>
  <sheetData>
    <row r="1" spans="1:13" ht="53" customHeight="1" x14ac:dyDescent="0.3">
      <c r="A1" s="2082" t="s">
        <v>2066</v>
      </c>
      <c r="I1" s="2151" t="s">
        <v>2067</v>
      </c>
    </row>
    <row r="2" spans="1:13" ht="36" customHeight="1" x14ac:dyDescent="0.3">
      <c r="A2" s="657"/>
      <c r="I2" s="2152"/>
    </row>
    <row r="3" spans="1:13" ht="36" customHeight="1" x14ac:dyDescent="0.3">
      <c r="A3" s="657"/>
      <c r="H3" s="2" t="s">
        <v>2148</v>
      </c>
      <c r="I3" s="2152">
        <v>15</v>
      </c>
    </row>
    <row r="4" spans="1:13" x14ac:dyDescent="0.2">
      <c r="G4" s="631" t="s">
        <v>2002</v>
      </c>
      <c r="H4" s="111"/>
      <c r="J4" s="111"/>
      <c r="L4" s="2163" t="s">
        <v>2143</v>
      </c>
      <c r="M4" t="s">
        <v>2147</v>
      </c>
    </row>
    <row r="5" spans="1:13" ht="51" x14ac:dyDescent="0.25">
      <c r="B5" t="s">
        <v>18</v>
      </c>
      <c r="C5" s="8" t="s">
        <v>1974</v>
      </c>
      <c r="D5" s="16" t="s">
        <v>1892</v>
      </c>
      <c r="E5" s="16" t="s">
        <v>1973</v>
      </c>
      <c r="F5" s="2087" t="s">
        <v>488</v>
      </c>
      <c r="G5" s="2088" t="s">
        <v>2146</v>
      </c>
      <c r="H5" s="2091" t="s">
        <v>1975</v>
      </c>
      <c r="I5" s="111" t="s">
        <v>2145</v>
      </c>
      <c r="J5" s="784" t="s">
        <v>2000</v>
      </c>
      <c r="K5" s="63"/>
      <c r="L5" s="319" t="s">
        <v>55</v>
      </c>
      <c r="M5">
        <v>14</v>
      </c>
    </row>
    <row r="6" spans="1:13" x14ac:dyDescent="0.2">
      <c r="A6" t="s">
        <v>95</v>
      </c>
      <c r="B6" t="str">
        <f>BIBLE!V84</f>
        <v>A:Alliance</v>
      </c>
      <c r="C6" s="72" t="str">
        <f>BIBLE!R84</f>
        <v>Demande de garder des secrets</v>
      </c>
      <c r="D6" s="6">
        <f>BIBLE!Q84</f>
        <v>14</v>
      </c>
      <c r="F6" s="2065"/>
      <c r="G6" s="2018"/>
      <c r="H6" s="111"/>
      <c r="I6" s="111" t="str">
        <f>IF(J6&gt;=$I$3,C6,"")</f>
        <v/>
      </c>
      <c r="J6" s="2009">
        <f>SUM(D6:F6)</f>
        <v>14</v>
      </c>
      <c r="L6" s="2164"/>
      <c r="M6">
        <v>14</v>
      </c>
    </row>
    <row r="7" spans="1:13" x14ac:dyDescent="0.2">
      <c r="A7" t="s">
        <v>201</v>
      </c>
      <c r="B7" t="str">
        <f>BIBLE!V217</f>
        <v>A:Alliance</v>
      </c>
      <c r="C7" s="72" t="str">
        <f>BIBLE!R217</f>
        <v>Le nouveau ou nouvelle conjointe·e joue un rôle de confident</v>
      </c>
      <c r="E7" s="114">
        <f>BIBLE!Q217</f>
        <v>0</v>
      </c>
      <c r="F7" s="2065"/>
      <c r="G7" s="2018"/>
      <c r="H7" s="111"/>
      <c r="I7" s="111" t="str">
        <f t="shared" ref="I7:I70" si="0">IF(J7&gt;=$I$3,C7,"")</f>
        <v/>
      </c>
      <c r="J7" s="2009">
        <f t="shared" ref="J7:J70" si="1">SUM(D7:F7)</f>
        <v>0</v>
      </c>
      <c r="L7" s="319" t="s">
        <v>97</v>
      </c>
      <c r="M7">
        <v>49</v>
      </c>
    </row>
    <row r="8" spans="1:13" x14ac:dyDescent="0.2">
      <c r="A8" s="68" t="s">
        <v>202</v>
      </c>
      <c r="B8" s="68" t="str">
        <f>BIBLE!V218</f>
        <v>A:Alliance</v>
      </c>
      <c r="C8" s="2062" t="str">
        <f>BIBLE!R218</f>
        <v>Le rôle de confident de la nouveau ou nouvelle conjointe·e n'est pas sain</v>
      </c>
      <c r="D8" s="1412"/>
      <c r="E8" s="2063">
        <f>BIBLE!Q218</f>
        <v>0</v>
      </c>
      <c r="F8" s="2066"/>
      <c r="G8" s="2089" t="str">
        <f>B8</f>
        <v>A:Alliance</v>
      </c>
      <c r="H8" s="2071">
        <f>SUM(D6:D8)+SUM(E6:E8)+SUM(F6:F8)</f>
        <v>14</v>
      </c>
      <c r="I8" s="111" t="str">
        <f t="shared" si="0"/>
        <v/>
      </c>
      <c r="J8" s="2009">
        <f t="shared" si="1"/>
        <v>0</v>
      </c>
      <c r="L8" s="2164"/>
      <c r="M8">
        <v>19</v>
      </c>
    </row>
    <row r="9" spans="1:13" x14ac:dyDescent="0.2">
      <c r="A9" t="s">
        <v>96</v>
      </c>
      <c r="B9" t="str">
        <f>BIBLE!V85</f>
        <v>B:Altération/dévoiement de la réalité</v>
      </c>
      <c r="C9" s="72" t="str">
        <f>BIBLE!R85</f>
        <v>Abandon de la famille</v>
      </c>
      <c r="D9" s="6">
        <f>BIBLE!Q85</f>
        <v>1</v>
      </c>
      <c r="F9" s="2067"/>
      <c r="G9" s="2090"/>
      <c r="H9" s="111"/>
      <c r="I9" s="111" t="str">
        <f t="shared" si="0"/>
        <v/>
      </c>
      <c r="J9" s="2009">
        <f t="shared" si="1"/>
        <v>1</v>
      </c>
      <c r="L9" s="2164" t="s">
        <v>1927</v>
      </c>
      <c r="M9">
        <v>30</v>
      </c>
    </row>
    <row r="10" spans="1:13" x14ac:dyDescent="0.2">
      <c r="A10" t="s">
        <v>503</v>
      </c>
      <c r="B10" t="str">
        <f>BIBLE!V86</f>
        <v>B:Altération/dévoiement de la réalité</v>
      </c>
      <c r="C10" s="72" t="str">
        <f>BIBLE!R86</f>
        <v>N'aime pas l'enfant</v>
      </c>
      <c r="D10" s="6">
        <f>BIBLE!Q86</f>
        <v>2</v>
      </c>
      <c r="F10" s="2065"/>
      <c r="G10" s="2018"/>
      <c r="H10" s="111"/>
      <c r="I10" s="111" t="str">
        <f t="shared" si="0"/>
        <v/>
      </c>
      <c r="J10" s="2009">
        <f t="shared" si="1"/>
        <v>2</v>
      </c>
      <c r="L10" s="319" t="s">
        <v>105</v>
      </c>
      <c r="M10">
        <v>0</v>
      </c>
    </row>
    <row r="11" spans="1:13" x14ac:dyDescent="0.2">
      <c r="A11" t="s">
        <v>1976</v>
      </c>
      <c r="B11" t="str">
        <f>BIBLE!V87</f>
        <v>B:Altération/dévoiement de la réalité</v>
      </c>
      <c r="C11" s="72" t="str">
        <f>BIBLE!R87</f>
        <v>Manque de sécurité chez l'autre</v>
      </c>
      <c r="D11" s="6">
        <f>BIBLE!Q87</f>
        <v>2</v>
      </c>
      <c r="E11" s="114">
        <f>BIBLE!Q219</f>
        <v>0</v>
      </c>
      <c r="F11" s="2065"/>
      <c r="G11" s="2018"/>
      <c r="H11" s="111"/>
      <c r="I11" s="111" t="str">
        <f t="shared" si="0"/>
        <v/>
      </c>
      <c r="J11" s="2009">
        <f t="shared" si="1"/>
        <v>2</v>
      </c>
      <c r="L11" s="2164"/>
      <c r="M11">
        <v>0</v>
      </c>
    </row>
    <row r="12" spans="1:13" x14ac:dyDescent="0.2">
      <c r="A12" t="s">
        <v>99</v>
      </c>
      <c r="B12" t="str">
        <f>BIBLE!V88</f>
        <v>B:Altération/dévoiement de la réalité</v>
      </c>
      <c r="C12" s="72" t="str">
        <f>BIBLE!R88</f>
        <v>Accusation d'instabilité psychologique</v>
      </c>
      <c r="D12" s="6">
        <f>BIBLE!Q88</f>
        <v>0</v>
      </c>
      <c r="F12" s="2065"/>
      <c r="G12" s="2018"/>
      <c r="H12" s="111"/>
      <c r="I12" s="111" t="str">
        <f t="shared" si="0"/>
        <v/>
      </c>
      <c r="J12" s="2009">
        <f t="shared" si="1"/>
        <v>0</v>
      </c>
      <c r="L12" s="319" t="s">
        <v>69</v>
      </c>
      <c r="M12">
        <v>51</v>
      </c>
    </row>
    <row r="13" spans="1:13" x14ac:dyDescent="0.2">
      <c r="A13" t="s">
        <v>100</v>
      </c>
      <c r="B13" t="str">
        <f>BIBLE!V89</f>
        <v>B:Altération/dévoiement de la réalité</v>
      </c>
      <c r="C13" s="72" t="str">
        <f>BIBLE!R89</f>
        <v>Modification de faits</v>
      </c>
      <c r="D13" s="6">
        <f>BIBLE!Q89</f>
        <v>14</v>
      </c>
      <c r="F13" s="2065"/>
      <c r="G13" s="2018"/>
      <c r="H13" s="111"/>
      <c r="I13" s="111" t="str">
        <f t="shared" si="0"/>
        <v/>
      </c>
      <c r="J13" s="2009">
        <f t="shared" si="1"/>
        <v>14</v>
      </c>
      <c r="L13" s="2164"/>
      <c r="M13">
        <v>19</v>
      </c>
    </row>
    <row r="14" spans="1:13" x14ac:dyDescent="0.2">
      <c r="A14" s="68" t="s">
        <v>101</v>
      </c>
      <c r="B14" s="68" t="str">
        <f>BIBLE!V90</f>
        <v>B:Altération/dévoiement de la réalité</v>
      </c>
      <c r="C14" s="2062" t="str">
        <f>BIBLE!R90</f>
        <v>Déforme les souvenirs</v>
      </c>
      <c r="D14" s="2064">
        <f>BIBLE!Q90</f>
        <v>30</v>
      </c>
      <c r="E14" s="68"/>
      <c r="F14" s="2066"/>
      <c r="G14" s="2089" t="str">
        <f>B14</f>
        <v>B:Altération/dévoiement de la réalité</v>
      </c>
      <c r="H14" s="2071">
        <f>SUM(D9:D14)+SUM(E9:E14)+SUM(F9:F14)</f>
        <v>49</v>
      </c>
      <c r="I14" s="111" t="str">
        <f t="shared" si="0"/>
        <v>Déforme les souvenirs</v>
      </c>
      <c r="J14" s="2009">
        <f t="shared" si="1"/>
        <v>30</v>
      </c>
      <c r="L14" s="2164" t="s">
        <v>1898</v>
      </c>
      <c r="M14">
        <v>16</v>
      </c>
    </row>
    <row r="15" spans="1:13" x14ac:dyDescent="0.2">
      <c r="A15" t="s">
        <v>871</v>
      </c>
      <c r="B15" t="str">
        <f>BIBLE!V51</f>
        <v>C: Chantage affectif, loyauté, manipulation</v>
      </c>
      <c r="C15" t="str">
        <f>BIBLE!R51</f>
        <v>Aisance avec l'autre parent</v>
      </c>
      <c r="E15" s="5"/>
      <c r="F15" s="2068">
        <f>BIBLE!Q51</f>
        <v>4</v>
      </c>
      <c r="G15" s="2090"/>
      <c r="H15" s="2072"/>
      <c r="I15" s="111" t="str">
        <f t="shared" si="0"/>
        <v/>
      </c>
      <c r="J15" s="2009">
        <f t="shared" si="1"/>
        <v>4</v>
      </c>
      <c r="L15" s="2164" t="s">
        <v>1899</v>
      </c>
      <c r="M15">
        <v>16</v>
      </c>
    </row>
    <row r="16" spans="1:13" x14ac:dyDescent="0.2">
      <c r="A16" t="s">
        <v>1035</v>
      </c>
      <c r="B16" t="str">
        <f>BIBLE!V52</f>
        <v>C: Chantage affectif, loyauté, manipulation</v>
      </c>
      <c r="C16" t="str">
        <f>BIBLE!R52</f>
        <v>Marche sur des œufs</v>
      </c>
      <c r="E16" s="5"/>
      <c r="F16" s="2068">
        <f>BIBLE!Q52</f>
        <v>8</v>
      </c>
      <c r="G16" s="2090"/>
      <c r="H16" s="111"/>
      <c r="I16" s="111" t="str">
        <f t="shared" si="0"/>
        <v/>
      </c>
      <c r="J16" s="2009">
        <f t="shared" si="1"/>
        <v>8</v>
      </c>
      <c r="L16" s="319" t="s">
        <v>62</v>
      </c>
      <c r="M16">
        <v>78</v>
      </c>
    </row>
    <row r="17" spans="1:13" x14ac:dyDescent="0.2">
      <c r="A17" t="s">
        <v>1977</v>
      </c>
      <c r="B17" t="str">
        <f>BIBLE!V55</f>
        <v>C: Chantage affectif, loyauté, manipulation</v>
      </c>
      <c r="C17" t="str">
        <f>BIBLE!R55</f>
        <v>Fait des compromis</v>
      </c>
      <c r="D17" s="6">
        <f>BIBLE!Q80</f>
        <v>2</v>
      </c>
      <c r="E17" s="5"/>
      <c r="F17" s="2068">
        <f>BIBLE!Q55</f>
        <v>14</v>
      </c>
      <c r="G17" s="2090"/>
      <c r="H17" s="111"/>
      <c r="I17" s="111" t="str">
        <f t="shared" si="0"/>
        <v>Fait des compromis</v>
      </c>
      <c r="J17" s="2009">
        <f t="shared" si="1"/>
        <v>16</v>
      </c>
      <c r="L17" s="2164"/>
      <c r="M17">
        <v>59</v>
      </c>
    </row>
    <row r="18" spans="1:13" x14ac:dyDescent="0.2">
      <c r="A18" t="s">
        <v>1978</v>
      </c>
      <c r="B18" t="str">
        <f>BIBLE!V56</f>
        <v>C: Chantage affectif, loyauté, manipulation</v>
      </c>
      <c r="C18" t="str">
        <f>BIBLE!R56</f>
        <v>Salue l'autre lors de rencontre</v>
      </c>
      <c r="D18" s="6">
        <f>BIBLE!Q96</f>
        <v>7</v>
      </c>
      <c r="E18" s="114">
        <f>BIBLE!Q220</f>
        <v>7</v>
      </c>
      <c r="F18" s="2068">
        <f>BIBLE!Q56</f>
        <v>2</v>
      </c>
      <c r="G18" s="2090"/>
      <c r="H18" s="111"/>
      <c r="I18" s="111" t="str">
        <f t="shared" si="0"/>
        <v>Salue l'autre lors de rencontre</v>
      </c>
      <c r="J18" s="2009">
        <f t="shared" si="1"/>
        <v>16</v>
      </c>
      <c r="L18" s="2164" t="s">
        <v>1937</v>
      </c>
      <c r="M18">
        <v>19</v>
      </c>
    </row>
    <row r="19" spans="1:13" x14ac:dyDescent="0.2">
      <c r="A19" t="s">
        <v>1979</v>
      </c>
      <c r="B19" t="str">
        <f>BIBLE!V57</f>
        <v>C: Chantage affectif, loyauté, manipulation</v>
      </c>
      <c r="C19" t="str">
        <f>BIBLE!R57</f>
        <v>Questionne l'enfant à son retour de garde chez l'autre</v>
      </c>
      <c r="D19" s="6">
        <f>BIBLE!Q99</f>
        <v>2</v>
      </c>
      <c r="E19" s="5"/>
      <c r="F19" s="2068">
        <f>BIBLE!Q57</f>
        <v>2</v>
      </c>
      <c r="G19" s="2090"/>
      <c r="H19" s="111"/>
      <c r="I19" s="111" t="str">
        <f t="shared" si="0"/>
        <v/>
      </c>
      <c r="J19" s="2009">
        <f t="shared" si="1"/>
        <v>4</v>
      </c>
      <c r="L19" s="319" t="s">
        <v>44</v>
      </c>
      <c r="M19">
        <v>107</v>
      </c>
    </row>
    <row r="20" spans="1:13" x14ac:dyDescent="0.2">
      <c r="A20" t="s">
        <v>102</v>
      </c>
      <c r="B20" t="str">
        <f>BIBLE!V91</f>
        <v>C: Chantage affectif, loyauté, manipulation</v>
      </c>
      <c r="C20" s="72" t="str">
        <f>BIBLE!R91</f>
        <v>Culpabilise l'amour de l'enfant pour l'autre</v>
      </c>
      <c r="D20" s="6">
        <f>BIBLE!Q91</f>
        <v>1</v>
      </c>
      <c r="F20" s="2065"/>
      <c r="G20" s="2018"/>
      <c r="H20" s="111"/>
      <c r="I20" s="111" t="str">
        <f t="shared" si="0"/>
        <v/>
      </c>
      <c r="J20" s="2009">
        <f t="shared" si="1"/>
        <v>1</v>
      </c>
      <c r="L20" s="2164"/>
      <c r="M20">
        <v>49</v>
      </c>
    </row>
    <row r="21" spans="1:13" x14ac:dyDescent="0.2">
      <c r="A21" t="s">
        <v>504</v>
      </c>
      <c r="B21" t="str">
        <f>BIBLE!V92</f>
        <v>C: Chantage affectif, loyauté, manipulation</v>
      </c>
      <c r="C21" s="72" t="str">
        <f>BIBLE!R92</f>
        <v>Boude lorsqu'il quitte</v>
      </c>
      <c r="D21" s="6">
        <f>BIBLE!Q92</f>
        <v>0</v>
      </c>
      <c r="F21" s="2065"/>
      <c r="G21" s="2018"/>
      <c r="H21" s="111"/>
      <c r="I21" s="111" t="str">
        <f t="shared" si="0"/>
        <v/>
      </c>
      <c r="J21" s="2009">
        <f t="shared" si="1"/>
        <v>0</v>
      </c>
      <c r="L21" s="2164" t="s">
        <v>1943</v>
      </c>
      <c r="M21">
        <v>16</v>
      </c>
    </row>
    <row r="22" spans="1:13" x14ac:dyDescent="0.2">
      <c r="A22" t="s">
        <v>511</v>
      </c>
      <c r="B22" t="str">
        <f>BIBLE!V93</f>
        <v>C: Chantage affectif, loyauté, manipulation</v>
      </c>
      <c r="C22" s="72" t="str">
        <f>BIBLE!R93</f>
        <v>Se fâche s'il exprime de l'amour pour l'autre</v>
      </c>
      <c r="D22" s="6">
        <f>BIBLE!Q93</f>
        <v>0</v>
      </c>
      <c r="F22" s="2065"/>
      <c r="G22" s="2018"/>
      <c r="H22" s="111"/>
      <c r="I22" s="111" t="str">
        <f t="shared" si="0"/>
        <v/>
      </c>
      <c r="J22" s="2009">
        <f t="shared" si="1"/>
        <v>0</v>
      </c>
      <c r="L22" s="2164" t="s">
        <v>1917</v>
      </c>
      <c r="M22">
        <v>22</v>
      </c>
    </row>
    <row r="23" spans="1:13" x14ac:dyDescent="0.2">
      <c r="A23" t="s">
        <v>103</v>
      </c>
      <c r="B23" t="str">
        <f>BIBLE!V94</f>
        <v>C: Chantage affectif, loyauté, manipulation</v>
      </c>
      <c r="C23" s="72" t="str">
        <f>BIBLE!R94</f>
        <v>Accable de reproches par écrit</v>
      </c>
      <c r="D23" s="6">
        <f>BIBLE!Q94</f>
        <v>2</v>
      </c>
      <c r="F23" s="2065"/>
      <c r="G23" s="2018"/>
      <c r="H23" s="111"/>
      <c r="I23" s="111" t="str">
        <f t="shared" si="0"/>
        <v/>
      </c>
      <c r="J23" s="2009">
        <f t="shared" si="1"/>
        <v>2</v>
      </c>
      <c r="L23" s="2164" t="s">
        <v>1970</v>
      </c>
      <c r="M23">
        <v>20</v>
      </c>
    </row>
    <row r="24" spans="1:13" x14ac:dyDescent="0.2">
      <c r="A24" t="s">
        <v>104</v>
      </c>
      <c r="B24" t="str">
        <f>BIBLE!V95</f>
        <v>C: Chantage affectif et manipulation</v>
      </c>
      <c r="C24" s="72" t="str">
        <f>BIBLE!R95</f>
        <v>Fait des menaces</v>
      </c>
      <c r="D24" s="6">
        <f>BIBLE!Q95</f>
        <v>0</v>
      </c>
      <c r="F24" s="2065"/>
      <c r="G24" s="2018"/>
      <c r="H24" s="111"/>
      <c r="I24" s="111" t="str">
        <f t="shared" si="0"/>
        <v/>
      </c>
      <c r="J24" s="2009">
        <f t="shared" si="1"/>
        <v>0</v>
      </c>
      <c r="L24" s="319" t="s">
        <v>65</v>
      </c>
      <c r="M24">
        <v>93</v>
      </c>
    </row>
    <row r="25" spans="1:13" x14ac:dyDescent="0.2">
      <c r="A25" s="68" t="s">
        <v>152</v>
      </c>
      <c r="B25" s="68" t="str">
        <f>BIBLE!V146</f>
        <v>C: Chantage affectif, loyauté, manipulation</v>
      </c>
      <c r="C25" s="2062" t="str">
        <f>BIBLE!R146</f>
        <v>Demande à l'enfant à choisir avec qui il veut vivre</v>
      </c>
      <c r="D25" s="2064">
        <f>BIBLE!Q146</f>
        <v>0</v>
      </c>
      <c r="E25" s="68"/>
      <c r="F25" s="2066"/>
      <c r="G25" s="2089" t="str">
        <f>B25</f>
        <v>C: Chantage affectif, loyauté, manipulation</v>
      </c>
      <c r="H25" s="2071">
        <f>SUM(D15:D25)+SUM(E15:E25)+SUM(F15:F25)</f>
        <v>51</v>
      </c>
      <c r="I25" s="111" t="str">
        <f t="shared" si="0"/>
        <v/>
      </c>
      <c r="J25" s="2009">
        <f t="shared" si="1"/>
        <v>0</v>
      </c>
      <c r="L25" s="2164"/>
      <c r="M25">
        <v>52</v>
      </c>
    </row>
    <row r="26" spans="1:13" x14ac:dyDescent="0.2">
      <c r="A26" t="s">
        <v>1433</v>
      </c>
      <c r="B26" t="str">
        <f>BIBLE!V53</f>
        <v>D: Dénigrement</v>
      </c>
      <c r="C26" t="str">
        <f>BIBLE!R53</f>
        <v>L'autre parent hausse le ton et impose sa vision</v>
      </c>
      <c r="E26" s="5"/>
      <c r="F26" s="2068">
        <f>BIBLE!Q53</f>
        <v>6</v>
      </c>
      <c r="G26" s="2090"/>
      <c r="H26" s="111"/>
      <c r="I26" s="111" t="str">
        <f t="shared" si="0"/>
        <v/>
      </c>
      <c r="J26" s="2009">
        <f t="shared" si="1"/>
        <v>6</v>
      </c>
      <c r="L26" s="2164" t="s">
        <v>1954</v>
      </c>
      <c r="M26">
        <v>21</v>
      </c>
    </row>
    <row r="27" spans="1:13" x14ac:dyDescent="0.2">
      <c r="A27" t="s">
        <v>72</v>
      </c>
      <c r="B27" t="str">
        <f>BIBLE!V58</f>
        <v>D: Dénigrement</v>
      </c>
      <c r="C27" t="str">
        <f>BIBLE!R58</f>
        <v>Intervient auprès de l'autre parent au retour des enfants</v>
      </c>
      <c r="E27" s="5"/>
      <c r="F27" s="2068">
        <f>BIBLE!Q58</f>
        <v>8</v>
      </c>
      <c r="G27" s="2090"/>
      <c r="H27" s="111"/>
      <c r="I27" s="111" t="str">
        <f t="shared" si="0"/>
        <v/>
      </c>
      <c r="J27" s="2009">
        <f t="shared" si="1"/>
        <v>8</v>
      </c>
      <c r="L27" s="2164" t="s">
        <v>1952</v>
      </c>
      <c r="M27">
        <v>20</v>
      </c>
    </row>
    <row r="28" spans="1:13" x14ac:dyDescent="0.2">
      <c r="A28" t="s">
        <v>75</v>
      </c>
      <c r="B28" t="str">
        <f>BIBLE!V60</f>
        <v>D: Dénigrement</v>
      </c>
      <c r="C28" t="str">
        <f>BIBLE!R60</f>
        <v>Fait des reproches à l'autre parent devant l'enfant</v>
      </c>
      <c r="E28" s="5"/>
      <c r="F28" s="2068">
        <f>BIBLE!Q60</f>
        <v>4</v>
      </c>
      <c r="G28" s="2090"/>
      <c r="H28" s="111"/>
      <c r="I28" s="111" t="str">
        <f t="shared" si="0"/>
        <v/>
      </c>
      <c r="J28" s="2009">
        <f t="shared" si="1"/>
        <v>4</v>
      </c>
      <c r="L28" s="319" t="s">
        <v>84</v>
      </c>
      <c r="M28">
        <v>51</v>
      </c>
    </row>
    <row r="29" spans="1:13" x14ac:dyDescent="0.2">
      <c r="A29" t="s">
        <v>1982</v>
      </c>
      <c r="B29" t="str">
        <f>BIBLE!V100</f>
        <v>D: Dénigrement</v>
      </c>
      <c r="C29" s="72" t="str">
        <f>BIBLE!R100</f>
        <v>Dénigre l'autre devant l'enfant</v>
      </c>
      <c r="D29" s="6">
        <f>BIBLE!Q100</f>
        <v>7</v>
      </c>
      <c r="E29" s="114">
        <f>BIBLE!Q223</f>
        <v>12</v>
      </c>
      <c r="F29" s="2065"/>
      <c r="G29" s="2018"/>
      <c r="H29" s="111"/>
      <c r="I29" s="111" t="str">
        <f t="shared" si="0"/>
        <v>Dénigre l'autre devant l'enfant</v>
      </c>
      <c r="J29" s="2009">
        <f t="shared" si="1"/>
        <v>19</v>
      </c>
      <c r="L29" s="2164"/>
      <c r="M29">
        <v>51</v>
      </c>
    </row>
    <row r="30" spans="1:13" x14ac:dyDescent="0.2">
      <c r="A30" t="s">
        <v>110</v>
      </c>
      <c r="B30" t="str">
        <f>BIBLE!V101</f>
        <v>D: Dénigrement</v>
      </c>
      <c r="C30" s="72" t="str">
        <f>BIBLE!R101</f>
        <v>Ridiculise l'autre</v>
      </c>
      <c r="D30" s="6">
        <f>BIBLE!Q101</f>
        <v>6</v>
      </c>
      <c r="F30" s="2065"/>
      <c r="G30" s="2018"/>
      <c r="H30" s="111"/>
      <c r="I30" s="111" t="str">
        <f t="shared" si="0"/>
        <v/>
      </c>
      <c r="J30" s="2009">
        <f t="shared" si="1"/>
        <v>6</v>
      </c>
      <c r="L30" s="319" t="s">
        <v>149</v>
      </c>
      <c r="M30">
        <v>54</v>
      </c>
    </row>
    <row r="31" spans="1:13" x14ac:dyDescent="0.2">
      <c r="A31" t="s">
        <v>111</v>
      </c>
      <c r="B31" t="str">
        <f>BIBLE!V102</f>
        <v>D: Dénigrement</v>
      </c>
      <c r="C31" s="72" t="str">
        <f>BIBLE!R102</f>
        <v>Menace l'autre</v>
      </c>
      <c r="D31" s="6">
        <f>BIBLE!Q102</f>
        <v>0</v>
      </c>
      <c r="F31" s="2065"/>
      <c r="G31" s="2018"/>
      <c r="H31" s="111"/>
      <c r="I31" s="111" t="str">
        <f t="shared" si="0"/>
        <v/>
      </c>
      <c r="J31" s="2009">
        <f t="shared" si="1"/>
        <v>0</v>
      </c>
      <c r="L31" s="2164"/>
      <c r="M31">
        <v>12</v>
      </c>
    </row>
    <row r="32" spans="1:13" x14ac:dyDescent="0.2">
      <c r="A32" t="s">
        <v>112</v>
      </c>
      <c r="B32" t="str">
        <f>BIBLE!V103</f>
        <v>D: Dénigrement</v>
      </c>
      <c r="C32" s="72" t="str">
        <f>BIBLE!R103</f>
        <v>Présente à l'entourage une vision négative de l'autre</v>
      </c>
      <c r="D32" s="6">
        <f>BIBLE!Q103</f>
        <v>14</v>
      </c>
      <c r="F32" s="2065"/>
      <c r="G32" s="2018"/>
      <c r="H32" s="111"/>
      <c r="I32" s="111" t="str">
        <f t="shared" si="0"/>
        <v/>
      </c>
      <c r="J32" s="2009">
        <f t="shared" si="1"/>
        <v>14</v>
      </c>
      <c r="L32" s="2164" t="s">
        <v>1919</v>
      </c>
      <c r="M32">
        <v>21</v>
      </c>
    </row>
    <row r="33" spans="1:13" x14ac:dyDescent="0.2">
      <c r="A33" t="s">
        <v>1983</v>
      </c>
      <c r="B33" t="str">
        <f>BIBLE!V104</f>
        <v>D: Dénigrement</v>
      </c>
      <c r="C33" s="72" t="str">
        <f>BIBLE!R104</f>
        <v>Dénigre la nouvelle famille</v>
      </c>
      <c r="D33" s="6">
        <f>BIBLE!Q104</f>
        <v>7</v>
      </c>
      <c r="E33" s="114">
        <f>BIBLE!Q224</f>
        <v>6</v>
      </c>
      <c r="F33" s="2065"/>
      <c r="G33" s="2018"/>
      <c r="H33" s="111"/>
      <c r="I33" s="111" t="str">
        <f t="shared" si="0"/>
        <v/>
      </c>
      <c r="J33" s="2009">
        <f t="shared" si="1"/>
        <v>13</v>
      </c>
      <c r="L33" s="2164" t="s">
        <v>1934</v>
      </c>
      <c r="M33">
        <v>21</v>
      </c>
    </row>
    <row r="34" spans="1:13" x14ac:dyDescent="0.2">
      <c r="A34" t="s">
        <v>114</v>
      </c>
      <c r="B34" t="str">
        <f>BIBLE!V105</f>
        <v>D: Dénigrement</v>
      </c>
      <c r="C34" s="72" t="str">
        <f>BIBLE!R105</f>
        <v>La vraie famille c'est la nôtre</v>
      </c>
      <c r="D34" s="6">
        <f>BIBLE!Q105</f>
        <v>2</v>
      </c>
      <c r="F34" s="2065"/>
      <c r="G34" s="2018"/>
      <c r="H34" s="111"/>
      <c r="I34" s="111" t="str">
        <f t="shared" si="0"/>
        <v/>
      </c>
      <c r="J34" s="2009">
        <f t="shared" si="1"/>
        <v>2</v>
      </c>
      <c r="L34" s="319" t="s">
        <v>2144</v>
      </c>
      <c r="M34">
        <v>497</v>
      </c>
    </row>
    <row r="35" spans="1:13" x14ac:dyDescent="0.2">
      <c r="A35" t="s">
        <v>115</v>
      </c>
      <c r="B35" t="str">
        <f>BIBLE!V106</f>
        <v>D: Dénigrement</v>
      </c>
      <c r="C35" s="72" t="str">
        <f>BIBLE!R106</f>
        <v>Demande d'appeler le nouveau ou la nouvelle conjoint·e, maman ou papa</v>
      </c>
      <c r="D35" s="6">
        <f>BIBLE!Q106</f>
        <v>0</v>
      </c>
      <c r="F35" s="2065"/>
      <c r="G35" s="2018"/>
      <c r="H35" s="111"/>
      <c r="I35" s="111" t="str">
        <f t="shared" si="0"/>
        <v/>
      </c>
      <c r="J35" s="2009">
        <f t="shared" si="1"/>
        <v>0</v>
      </c>
    </row>
    <row r="36" spans="1:13" x14ac:dyDescent="0.2">
      <c r="A36" t="s">
        <v>1460</v>
      </c>
      <c r="B36" t="str">
        <f>BIBLE!V117</f>
        <v>D: Dénigrement</v>
      </c>
      <c r="C36" s="72" t="str">
        <f>BIBLE!R117</f>
        <v>Accable de reproches l'autre parent téléphone ou courriel</v>
      </c>
      <c r="D36" s="6">
        <f>BIBLE!Q117</f>
        <v>0</v>
      </c>
      <c r="F36" s="2065"/>
      <c r="G36" s="2018"/>
      <c r="H36" s="111"/>
      <c r="I36" s="111" t="str">
        <f t="shared" si="0"/>
        <v/>
      </c>
      <c r="J36" s="2009">
        <f t="shared" si="1"/>
        <v>0</v>
      </c>
    </row>
    <row r="37" spans="1:13" x14ac:dyDescent="0.2">
      <c r="A37" s="68" t="s">
        <v>1407</v>
      </c>
      <c r="B37" s="68" t="str">
        <f>BIBLE!V222</f>
        <v>D: Dénigrement</v>
      </c>
      <c r="C37" s="2062" t="str">
        <f>BIBLE!R222</f>
        <v>Dénigre les compétences parentales de l'autre</v>
      </c>
      <c r="D37" s="1412"/>
      <c r="E37" s="2063">
        <f>BIBLE!Q222</f>
        <v>6</v>
      </c>
      <c r="F37" s="2066"/>
      <c r="G37" s="2089" t="str">
        <f>B37</f>
        <v>D: Dénigrement</v>
      </c>
      <c r="H37" s="2071">
        <f>SUM(D26:D37)+SUM(E26:E37)+SUM(F26:F37)</f>
        <v>78</v>
      </c>
      <c r="I37" s="111" t="str">
        <f t="shared" si="0"/>
        <v/>
      </c>
      <c r="J37" s="2009">
        <f t="shared" si="1"/>
        <v>6</v>
      </c>
    </row>
    <row r="38" spans="1:13" x14ac:dyDescent="0.2">
      <c r="A38" t="s">
        <v>1986</v>
      </c>
      <c r="B38" t="str">
        <f>BIBLE!V61</f>
        <v>E: Interférence temps et/ou communication</v>
      </c>
      <c r="C38" t="str">
        <f>BIBLE!R61</f>
        <v>Communique fréquemment avec l'enfant lorsqu'il est chez l'autre</v>
      </c>
      <c r="D38" s="6">
        <f>BIBLE!Q112</f>
        <v>21</v>
      </c>
      <c r="E38" s="114">
        <f>BIBLE!Q230</f>
        <v>0</v>
      </c>
      <c r="F38" s="2068">
        <f>BIBLE!Q61</f>
        <v>1</v>
      </c>
      <c r="G38" s="2090"/>
      <c r="H38" s="111"/>
      <c r="I38" s="111" t="str">
        <f t="shared" si="0"/>
        <v>Communique fréquemment avec l'enfant lorsqu'il est chez l'autre</v>
      </c>
      <c r="J38" s="2009">
        <f t="shared" si="1"/>
        <v>22</v>
      </c>
    </row>
    <row r="39" spans="1:13" x14ac:dyDescent="0.2">
      <c r="A39" t="s">
        <v>77</v>
      </c>
      <c r="B39" t="str">
        <f>BIBLE!V62</f>
        <v>E: Interférence temps et/ou communication</v>
      </c>
      <c r="C39" t="str">
        <f>BIBLE!R62</f>
        <v>Laisse l'enfant le droit de choisir</v>
      </c>
      <c r="E39" s="5"/>
      <c r="F39" s="2068">
        <f>BIBLE!Q62</f>
        <v>4</v>
      </c>
      <c r="G39" s="2090"/>
      <c r="H39" s="111"/>
      <c r="I39" s="111" t="str">
        <f t="shared" si="0"/>
        <v/>
      </c>
      <c r="J39" s="2009">
        <f t="shared" si="1"/>
        <v>4</v>
      </c>
    </row>
    <row r="40" spans="1:13" x14ac:dyDescent="0.2">
      <c r="A40" t="s">
        <v>1987</v>
      </c>
      <c r="B40" t="str">
        <f>BIBLE!V107</f>
        <v>E: Interférence temps et/ou communication</v>
      </c>
      <c r="C40" s="72" t="str">
        <f>BIBLE!R107</f>
        <v>Change les horaires sans consulter l'autre</v>
      </c>
      <c r="D40" s="6">
        <f>BIBLE!Q107</f>
        <v>2</v>
      </c>
      <c r="E40" s="114">
        <f>BIBLE!Q225</f>
        <v>14</v>
      </c>
      <c r="F40" s="2065"/>
      <c r="G40" s="2018"/>
      <c r="H40" s="111"/>
      <c r="I40" s="111" t="str">
        <f t="shared" si="0"/>
        <v>Change les horaires sans consulter l'autre</v>
      </c>
      <c r="J40" s="2009">
        <f t="shared" si="1"/>
        <v>16</v>
      </c>
    </row>
    <row r="41" spans="1:13" x14ac:dyDescent="0.2">
      <c r="A41" t="s">
        <v>117</v>
      </c>
      <c r="B41" t="str">
        <f>BIBLE!V108</f>
        <v>E: Interférence temps et/ou communication</v>
      </c>
      <c r="C41" s="72" t="str">
        <f>BIBLE!R108</f>
        <v>Ne respecte pas l'heure des changements de garde</v>
      </c>
      <c r="D41" s="6">
        <f>BIBLE!Q108</f>
        <v>0</v>
      </c>
      <c r="F41" s="2065"/>
      <c r="G41" s="2018"/>
      <c r="H41" s="111"/>
      <c r="I41" s="111" t="str">
        <f t="shared" si="0"/>
        <v/>
      </c>
      <c r="J41" s="2009">
        <f t="shared" si="1"/>
        <v>0</v>
      </c>
    </row>
    <row r="42" spans="1:13" x14ac:dyDescent="0.2">
      <c r="A42" t="s">
        <v>118</v>
      </c>
      <c r="B42" t="str">
        <f>BIBLE!V109</f>
        <v>E: Interférence temps et/ou communication</v>
      </c>
      <c r="C42" s="72" t="str">
        <f>BIBLE!R109</f>
        <v>Propose des activités sur le temps de garde de l'autre</v>
      </c>
      <c r="D42" s="6">
        <f>BIBLE!Q109</f>
        <v>0</v>
      </c>
      <c r="F42" s="2065"/>
      <c r="G42" s="2018"/>
      <c r="H42" s="111"/>
      <c r="I42" s="111" t="str">
        <f t="shared" si="0"/>
        <v/>
      </c>
      <c r="J42" s="2009">
        <f t="shared" si="1"/>
        <v>0</v>
      </c>
    </row>
    <row r="43" spans="1:13" x14ac:dyDescent="0.2">
      <c r="A43" t="s">
        <v>1988</v>
      </c>
      <c r="B43" t="str">
        <f>BIBLE!V110</f>
        <v>E: Interférence temps et/ou communication</v>
      </c>
      <c r="C43" s="72" t="str">
        <f>BIBLE!R110</f>
        <v>Organisme des activités irrésistibles lors du temps de garde de l'autre</v>
      </c>
      <c r="D43" s="6">
        <f>BIBLE!Q110</f>
        <v>0</v>
      </c>
      <c r="E43" s="114">
        <f>BIBLE!Q226</f>
        <v>14</v>
      </c>
      <c r="F43" s="2065"/>
      <c r="G43" s="2018"/>
      <c r="H43" s="111"/>
      <c r="I43" s="111" t="str">
        <f t="shared" si="0"/>
        <v/>
      </c>
      <c r="J43" s="2009">
        <f t="shared" si="1"/>
        <v>14</v>
      </c>
    </row>
    <row r="44" spans="1:13" x14ac:dyDescent="0.2">
      <c r="A44" t="s">
        <v>1989</v>
      </c>
      <c r="B44" t="str">
        <f>BIBLE!V111</f>
        <v>E: Interférence temps et/ou communication</v>
      </c>
      <c r="C44" s="72" t="str">
        <f>BIBLE!R111</f>
        <v>Se présente à la sortie des classes sur le temps de garde de l'autre</v>
      </c>
      <c r="D44" s="6">
        <f>BIBLE!Q111</f>
        <v>4</v>
      </c>
      <c r="E44" s="114">
        <f>BIBLE!Q227</f>
        <v>8</v>
      </c>
      <c r="F44" s="2065"/>
      <c r="G44" s="2018"/>
      <c r="H44" s="111"/>
      <c r="I44" s="111" t="str">
        <f t="shared" si="0"/>
        <v/>
      </c>
      <c r="J44" s="2009">
        <f t="shared" si="1"/>
        <v>12</v>
      </c>
    </row>
    <row r="45" spans="1:13" x14ac:dyDescent="0.2">
      <c r="A45" t="s">
        <v>123</v>
      </c>
      <c r="B45" t="str">
        <f>BIBLE!V113</f>
        <v>E: Interférence temps et/ou communication</v>
      </c>
      <c r="C45" s="72" t="str">
        <f>BIBLE!R113</f>
        <v>Communique les informations concernant l'enfant</v>
      </c>
      <c r="D45" s="6">
        <f>BIBLE!Q113</f>
        <v>4</v>
      </c>
      <c r="F45" s="2065"/>
      <c r="G45" s="2018"/>
      <c r="H45" s="111"/>
      <c r="I45" s="111" t="str">
        <f t="shared" si="0"/>
        <v/>
      </c>
      <c r="J45" s="2009">
        <f t="shared" si="1"/>
        <v>4</v>
      </c>
    </row>
    <row r="46" spans="1:13" x14ac:dyDescent="0.2">
      <c r="A46" t="s">
        <v>1991</v>
      </c>
      <c r="B46" t="str">
        <f>BIBLE!V114</f>
        <v>E: Interférence temps et/ou communication</v>
      </c>
      <c r="C46" s="72" t="str">
        <f>BIBLE!R114</f>
        <v>Bloque les communications de l'entourage de l'enfant à l'autre parent</v>
      </c>
      <c r="D46" s="6">
        <f>BIBLE!Q114</f>
        <v>0</v>
      </c>
      <c r="E46" s="114">
        <f>BIBLE!Q231</f>
        <v>6</v>
      </c>
      <c r="F46" s="2065"/>
      <c r="G46" s="2018"/>
      <c r="H46" s="111"/>
      <c r="I46" s="111" t="str">
        <f t="shared" si="0"/>
        <v/>
      </c>
      <c r="J46" s="2009">
        <f t="shared" si="1"/>
        <v>6</v>
      </c>
    </row>
    <row r="47" spans="1:13" x14ac:dyDescent="0.2">
      <c r="A47" t="s">
        <v>125</v>
      </c>
      <c r="B47" t="str">
        <f>BIBLE!V115</f>
        <v>E: Interférence temps et/ou communication</v>
      </c>
      <c r="C47" s="72" t="str">
        <f>BIBLE!R115</f>
        <v>Facilité de communication avec l'enfant lorsqu'il est chez l'autre</v>
      </c>
      <c r="D47" s="6">
        <f>BIBLE!Q115</f>
        <v>1</v>
      </c>
      <c r="F47" s="2065"/>
      <c r="G47" s="2018"/>
      <c r="H47" s="111"/>
      <c r="I47" s="111" t="str">
        <f t="shared" si="0"/>
        <v/>
      </c>
      <c r="J47" s="2009">
        <f t="shared" si="1"/>
        <v>1</v>
      </c>
    </row>
    <row r="48" spans="1:13" x14ac:dyDescent="0.2">
      <c r="A48" t="s">
        <v>1990</v>
      </c>
      <c r="B48" t="str">
        <f>BIBLE!V116</f>
        <v>E: Interférence temps et/ou communication</v>
      </c>
      <c r="C48" s="72" t="str">
        <f>BIBLE!R116</f>
        <v xml:space="preserve">Contrôle les conversations téléphoniques </v>
      </c>
      <c r="D48" s="6">
        <f>BIBLE!Q116</f>
        <v>0</v>
      </c>
      <c r="E48" s="114">
        <f>BIBLE!Q228</f>
        <v>8</v>
      </c>
      <c r="F48" s="2065"/>
      <c r="G48" s="2018"/>
      <c r="H48" s="111"/>
      <c r="I48" s="111" t="str">
        <f t="shared" si="0"/>
        <v/>
      </c>
      <c r="J48" s="2009">
        <f t="shared" si="1"/>
        <v>8</v>
      </c>
    </row>
    <row r="49" spans="1:10" x14ac:dyDescent="0.2">
      <c r="A49" t="s">
        <v>1461</v>
      </c>
      <c r="B49" t="str">
        <f>BIBLE!V118</f>
        <v>E: Interférence temps et/ou communication</v>
      </c>
      <c r="C49" s="72" t="str">
        <f>BIBLE!R118</f>
        <v>Se présente sans s'annoncer chez vous ou à votre travail</v>
      </c>
      <c r="D49" s="6">
        <f>BIBLE!Q118</f>
        <v>0</v>
      </c>
      <c r="F49" s="2065"/>
      <c r="G49" s="2018"/>
      <c r="H49" s="111"/>
      <c r="I49" s="111" t="str">
        <f t="shared" si="0"/>
        <v/>
      </c>
      <c r="J49" s="2009">
        <f t="shared" si="1"/>
        <v>0</v>
      </c>
    </row>
    <row r="50" spans="1:10" x14ac:dyDescent="0.2">
      <c r="A50" s="68" t="s">
        <v>209</v>
      </c>
      <c r="B50" s="68" t="str">
        <f>BIBLE!V229</f>
        <v>E: Interférence temps et/ou communication</v>
      </c>
      <c r="C50" s="2062" t="str">
        <f>BIBLE!R229</f>
        <v>S'impose responsable de la logistique familiale</v>
      </c>
      <c r="D50" s="1412"/>
      <c r="E50" s="2063">
        <f>BIBLE!Q229</f>
        <v>20</v>
      </c>
      <c r="F50" s="2066"/>
      <c r="G50" s="2089" t="str">
        <f>B50</f>
        <v>E: Interférence temps et/ou communication</v>
      </c>
      <c r="H50" s="2071">
        <f>SUM(D38:D50)+SUM(E38:E50)+SUM(F38:F50)</f>
        <v>107</v>
      </c>
      <c r="I50" s="111" t="str">
        <f t="shared" si="0"/>
        <v>S'impose responsable de la logistique familiale</v>
      </c>
      <c r="J50" s="2009">
        <f t="shared" si="1"/>
        <v>20</v>
      </c>
    </row>
    <row r="51" spans="1:10" x14ac:dyDescent="0.2">
      <c r="A51" t="s">
        <v>1992</v>
      </c>
      <c r="B51" t="str">
        <f>BIBLE!V64</f>
        <v>F: Interférence lien affectif ou symbolique</v>
      </c>
      <c r="C51" t="str">
        <f>BIBLE!R64</f>
        <v>Serein face aux exigences de coparentalité</v>
      </c>
      <c r="D51" s="6">
        <f>BIBLE!Q121</f>
        <v>2</v>
      </c>
      <c r="E51" s="5"/>
      <c r="F51" s="2068">
        <f>BIBLE!Q64</f>
        <v>2</v>
      </c>
      <c r="G51" s="2090"/>
      <c r="H51" s="111"/>
      <c r="I51" s="111" t="str">
        <f t="shared" si="0"/>
        <v/>
      </c>
      <c r="J51" s="2009">
        <f t="shared" si="1"/>
        <v>4</v>
      </c>
    </row>
    <row r="52" spans="1:10" x14ac:dyDescent="0.2">
      <c r="A52" t="s">
        <v>1993</v>
      </c>
      <c r="B52" t="str">
        <f>BIBLE!V65</f>
        <v>F: Interférence lien affectif ou symbolique</v>
      </c>
      <c r="C52" t="str">
        <f>BIBLE!R65</f>
        <v>Laisse les jouets et vêtements se promener</v>
      </c>
      <c r="D52" s="6">
        <f>BIBLE!Q129</f>
        <v>8</v>
      </c>
      <c r="E52" s="5"/>
      <c r="F52" s="2068">
        <f>BIBLE!Q65</f>
        <v>2</v>
      </c>
      <c r="G52" s="2090"/>
      <c r="H52" s="111"/>
      <c r="I52" s="111" t="str">
        <f t="shared" si="0"/>
        <v/>
      </c>
      <c r="J52" s="2009">
        <f t="shared" si="1"/>
        <v>10</v>
      </c>
    </row>
    <row r="53" spans="1:10" x14ac:dyDescent="0.2">
      <c r="A53" t="s">
        <v>1994</v>
      </c>
      <c r="B53" t="str">
        <f>BIBLE!V66</f>
        <v>F: Interférence lien affectif ou symbolique</v>
      </c>
      <c r="C53" t="str">
        <f>BIBLE!R66</f>
        <v>Prend des décision sans consulter l'autre</v>
      </c>
      <c r="D53" s="6">
        <f>BIBLE!Q132</f>
        <v>0</v>
      </c>
      <c r="E53" s="5"/>
      <c r="F53" s="2068">
        <f>BIBLE!Q66</f>
        <v>8</v>
      </c>
      <c r="G53" s="2090"/>
      <c r="H53" s="111"/>
      <c r="I53" s="111" t="str">
        <f t="shared" si="0"/>
        <v/>
      </c>
      <c r="J53" s="2009">
        <f t="shared" si="1"/>
        <v>8</v>
      </c>
    </row>
    <row r="54" spans="1:10" x14ac:dyDescent="0.2">
      <c r="A54" t="s">
        <v>1995</v>
      </c>
      <c r="B54" t="str">
        <f>BIBLE!V63</f>
        <v>F: Interférence lien affectif ou symbolique</v>
      </c>
      <c r="C54" t="str">
        <f>BIBLE!R63</f>
        <v>L'autre parent est votre égal</v>
      </c>
      <c r="D54" s="6">
        <f>BIBLE!Q119</f>
        <v>4</v>
      </c>
      <c r="E54" s="5"/>
      <c r="F54" s="2068">
        <f>BIBLE!Q63</f>
        <v>4</v>
      </c>
      <c r="G54" s="2090"/>
      <c r="H54" s="111"/>
      <c r="I54" s="111" t="str">
        <f t="shared" si="0"/>
        <v/>
      </c>
      <c r="J54" s="2009">
        <f t="shared" si="1"/>
        <v>8</v>
      </c>
    </row>
    <row r="55" spans="1:10" x14ac:dyDescent="0.2">
      <c r="A55" t="s">
        <v>1363</v>
      </c>
      <c r="B55" t="str">
        <f>BIBLE!V120</f>
        <v>F: Interférence lien affectif ou symbolique</v>
      </c>
      <c r="C55" s="72" t="str">
        <f>BIBLE!R120</f>
        <v>En compétition avec l'autre pour l'amour de l'enfant</v>
      </c>
      <c r="D55" s="6">
        <f>BIBLE!Q120</f>
        <v>20</v>
      </c>
      <c r="F55" s="2065"/>
      <c r="G55" s="2018"/>
      <c r="H55" s="111"/>
      <c r="I55" s="111" t="str">
        <f t="shared" si="0"/>
        <v>En compétition avec l'autre pour l'amour de l'enfant</v>
      </c>
      <c r="J55" s="2009">
        <f t="shared" si="1"/>
        <v>20</v>
      </c>
    </row>
    <row r="56" spans="1:10" x14ac:dyDescent="0.2">
      <c r="A56" t="s">
        <v>129</v>
      </c>
      <c r="B56" t="str">
        <f>BIBLE!V122</f>
        <v>F: Interférence lien affectif ou symbolique</v>
      </c>
      <c r="C56" s="72" t="str">
        <f>BIBLE!R122</f>
        <v>La maternité | paternité représente la valeur sociale du parent</v>
      </c>
      <c r="D56" s="6">
        <f>BIBLE!Q122</f>
        <v>2</v>
      </c>
      <c r="F56" s="2065"/>
      <c r="G56" s="2018"/>
      <c r="H56" s="111"/>
      <c r="I56" s="111" t="str">
        <f t="shared" si="0"/>
        <v/>
      </c>
      <c r="J56" s="2009">
        <f t="shared" si="1"/>
        <v>2</v>
      </c>
    </row>
    <row r="57" spans="1:10" x14ac:dyDescent="0.2">
      <c r="A57" t="s">
        <v>1438</v>
      </c>
      <c r="B57" t="str">
        <f>BIBLE!V123</f>
        <v>F: Interférence lien affectif ou symbolique</v>
      </c>
      <c r="C57" s="72" t="str">
        <f>BIBLE!R123</f>
        <v>Impose sa présence aux activités destinées aux enfants</v>
      </c>
      <c r="D57" s="6">
        <f>BIBLE!Q123</f>
        <v>0</v>
      </c>
      <c r="F57" s="2065"/>
      <c r="G57" s="2018"/>
      <c r="H57" s="111"/>
      <c r="I57" s="111" t="str">
        <f t="shared" si="0"/>
        <v/>
      </c>
      <c r="J57" s="2009">
        <f t="shared" si="1"/>
        <v>0</v>
      </c>
    </row>
    <row r="58" spans="1:10" x14ac:dyDescent="0.2">
      <c r="A58" t="s">
        <v>130</v>
      </c>
      <c r="B58" t="str">
        <f>BIBLE!V124</f>
        <v>F: Interférence lien affectif ou symbolique</v>
      </c>
      <c r="C58" s="72" t="str">
        <f>BIBLE!R124</f>
        <v>Cherche à blesser l'autre</v>
      </c>
      <c r="D58" s="6">
        <f>BIBLE!Q124</f>
        <v>21</v>
      </c>
      <c r="F58" s="2065"/>
      <c r="G58" s="2018"/>
      <c r="H58" s="111"/>
      <c r="I58" s="111" t="str">
        <f t="shared" si="0"/>
        <v>Cherche à blesser l'autre</v>
      </c>
      <c r="J58" s="2009">
        <f t="shared" si="1"/>
        <v>21</v>
      </c>
    </row>
    <row r="59" spans="1:10" x14ac:dyDescent="0.2">
      <c r="A59" t="s">
        <v>131</v>
      </c>
      <c r="B59" t="str">
        <f>BIBLE!V125</f>
        <v>F: Interférence lien affectif ou symbolique</v>
      </c>
      <c r="C59" s="72" t="str">
        <f>BIBLE!R125</f>
        <v>Appelle l'autre par son prénom</v>
      </c>
      <c r="D59" s="6">
        <f>BIBLE!Q125</f>
        <v>4</v>
      </c>
      <c r="F59" s="2065"/>
      <c r="G59" s="2018"/>
      <c r="H59" s="111"/>
      <c r="I59" s="111" t="str">
        <f t="shared" si="0"/>
        <v/>
      </c>
      <c r="J59" s="2009">
        <f t="shared" si="1"/>
        <v>4</v>
      </c>
    </row>
    <row r="60" spans="1:10" x14ac:dyDescent="0.2">
      <c r="A60" t="s">
        <v>134</v>
      </c>
      <c r="B60" t="str">
        <f>BIBLE!V127</f>
        <v>F: Interférence lien affectif ou symbolique</v>
      </c>
      <c r="C60" s="72" t="str">
        <f>BIBLE!R127</f>
        <v>Considère son nouveau ou sa nouvelle conjoint·e meilleur· que l'autre</v>
      </c>
      <c r="D60" s="6">
        <f>BIBLE!Q127</f>
        <v>2</v>
      </c>
      <c r="F60" s="2065"/>
      <c r="G60" s="2018"/>
      <c r="H60" s="111"/>
      <c r="I60" s="111" t="str">
        <f t="shared" si="0"/>
        <v/>
      </c>
      <c r="J60" s="2009">
        <f t="shared" si="1"/>
        <v>2</v>
      </c>
    </row>
    <row r="61" spans="1:10" x14ac:dyDescent="0.2">
      <c r="A61" t="s">
        <v>135</v>
      </c>
      <c r="B61" t="str">
        <f>BIBLE!V128</f>
        <v>F: Interférence lien affectif ou symbolique</v>
      </c>
      <c r="C61" s="72" t="str">
        <f>BIBLE!R128</f>
        <v>Limite les contacts avec la famille élargie de l'autre</v>
      </c>
      <c r="D61" s="6">
        <f>BIBLE!Q128</f>
        <v>0</v>
      </c>
      <c r="F61" s="2065"/>
      <c r="G61" s="2018"/>
      <c r="H61" s="111"/>
      <c r="I61" s="111" t="str">
        <f t="shared" si="0"/>
        <v/>
      </c>
      <c r="J61" s="2009">
        <f t="shared" si="1"/>
        <v>0</v>
      </c>
    </row>
    <row r="62" spans="1:10" x14ac:dyDescent="0.2">
      <c r="A62" t="s">
        <v>137</v>
      </c>
      <c r="B62" t="str">
        <f>BIBLE!V130</f>
        <v>F: Interférence lien affectif ou symbolique</v>
      </c>
      <c r="C62" s="72" t="str">
        <f>BIBLE!R130</f>
        <v>Jette les objets qui représentent l'autre</v>
      </c>
      <c r="D62" s="6">
        <f>BIBLE!Q130</f>
        <v>12</v>
      </c>
      <c r="F62" s="2065"/>
      <c r="G62" s="2018"/>
      <c r="H62" s="111"/>
      <c r="I62" s="111" t="str">
        <f t="shared" si="0"/>
        <v/>
      </c>
      <c r="J62" s="2009">
        <f t="shared" si="1"/>
        <v>12</v>
      </c>
    </row>
    <row r="63" spans="1:10" x14ac:dyDescent="0.2">
      <c r="A63" t="s">
        <v>1300</v>
      </c>
      <c r="B63" t="str">
        <f>BIBLE!V131</f>
        <v>F: Interférence lien affectif ou symbolique</v>
      </c>
      <c r="C63" s="72" t="str">
        <f>BIBLE!R131</f>
        <v>Impuissant devant les décisions de l'enfant</v>
      </c>
      <c r="D63" s="6">
        <f>BIBLE!Q131</f>
        <v>0</v>
      </c>
      <c r="F63" s="2065"/>
      <c r="G63" s="2018"/>
      <c r="H63" s="111"/>
      <c r="I63" s="111" t="str">
        <f t="shared" si="0"/>
        <v/>
      </c>
      <c r="J63" s="2009">
        <f t="shared" si="1"/>
        <v>0</v>
      </c>
    </row>
    <row r="64" spans="1:10" x14ac:dyDescent="0.2">
      <c r="A64" t="s">
        <v>141</v>
      </c>
      <c r="B64" t="str">
        <f>BIBLE!V135</f>
        <v>F: Interférence lien affectif ou symbolique</v>
      </c>
      <c r="C64" s="72" t="str">
        <f>BIBLE!R135</f>
        <v>Incite l'enfant à choisir un des deux parents</v>
      </c>
      <c r="D64" s="6">
        <f>BIBLE!Q135</f>
        <v>0</v>
      </c>
      <c r="F64" s="2065"/>
      <c r="G64" s="2018"/>
      <c r="H64" s="111"/>
      <c r="I64" s="111" t="str">
        <f t="shared" si="0"/>
        <v/>
      </c>
      <c r="J64" s="2009">
        <f t="shared" si="1"/>
        <v>0</v>
      </c>
    </row>
    <row r="65" spans="1:10" x14ac:dyDescent="0.2">
      <c r="A65" t="s">
        <v>142</v>
      </c>
      <c r="B65" t="str">
        <f>BIBLE!V136</f>
        <v>F: Interférence lien affectif ou symbolique</v>
      </c>
      <c r="C65" s="72" t="str">
        <f>BIBLE!R136</f>
        <v>Cherche à exclure l'autre</v>
      </c>
      <c r="D65" s="6">
        <f>BIBLE!Q136</f>
        <v>0</v>
      </c>
      <c r="F65" s="2065"/>
      <c r="G65" s="2018"/>
      <c r="H65" s="111"/>
      <c r="I65" s="111" t="str">
        <f t="shared" si="0"/>
        <v/>
      </c>
      <c r="J65" s="2009">
        <f t="shared" si="1"/>
        <v>0</v>
      </c>
    </row>
    <row r="66" spans="1:10" x14ac:dyDescent="0.2">
      <c r="A66" t="s">
        <v>143</v>
      </c>
      <c r="B66" t="str">
        <f>BIBLE!V137</f>
        <v>F: Interférence lien affectif ou symbolique</v>
      </c>
      <c r="C66" s="72" t="str">
        <f>BIBLE!R137</f>
        <v>Menace l'autre</v>
      </c>
      <c r="D66" s="6">
        <f>BIBLE!Q137</f>
        <v>0</v>
      </c>
      <c r="F66" s="2065"/>
      <c r="G66" s="2018"/>
      <c r="H66" s="111"/>
      <c r="I66" s="111" t="str">
        <f t="shared" si="0"/>
        <v/>
      </c>
      <c r="J66" s="2009">
        <f t="shared" si="1"/>
        <v>0</v>
      </c>
    </row>
    <row r="67" spans="1:10" x14ac:dyDescent="0.2">
      <c r="A67" t="s">
        <v>211</v>
      </c>
      <c r="B67" t="str">
        <f>BIBLE!V232</f>
        <v>F: Interférence lien affectif ou symbolique</v>
      </c>
      <c r="C67" s="72" t="str">
        <f>BIBLE!R232</f>
        <v>Le nouveau ou la nouvelle conjoint·e demande de faire appeler maman ou papa</v>
      </c>
      <c r="E67" s="114">
        <f>BIBLE!Q232</f>
        <v>2</v>
      </c>
      <c r="F67" s="2065"/>
      <c r="G67" s="2018"/>
      <c r="H67" s="111"/>
      <c r="I67" s="111" t="str">
        <f t="shared" si="0"/>
        <v/>
      </c>
      <c r="J67" s="2009">
        <f t="shared" si="1"/>
        <v>2</v>
      </c>
    </row>
    <row r="68" spans="1:10" x14ac:dyDescent="0.2">
      <c r="A68" s="68" t="s">
        <v>212</v>
      </c>
      <c r="B68" s="68" t="str">
        <f>BIBLE!V233</f>
        <v>F: Interférence lien affectif ou symbolique</v>
      </c>
      <c r="C68" s="2062" t="str">
        <f>BIBLE!R233</f>
        <v>Le nouveau ou la nouvelle conjoint·e fragilise la relation de l'enfant avec l'autre parent</v>
      </c>
      <c r="D68" s="1412"/>
      <c r="E68" s="2063">
        <f>BIBLE!Q233</f>
        <v>0</v>
      </c>
      <c r="F68" s="2066"/>
      <c r="G68" s="2089" t="str">
        <f>B68</f>
        <v>F: Interférence lien affectif ou symbolique</v>
      </c>
      <c r="H68" s="2071">
        <f>SUM(D51:D68)+SUM(E51:E68)+SUM(F51:F68)</f>
        <v>93</v>
      </c>
      <c r="I68" s="111" t="str">
        <f t="shared" si="0"/>
        <v/>
      </c>
      <c r="J68" s="2009">
        <f t="shared" si="1"/>
        <v>0</v>
      </c>
    </row>
    <row r="69" spans="1:10" x14ac:dyDescent="0.2">
      <c r="A69" t="s">
        <v>83</v>
      </c>
      <c r="B69" t="str">
        <f>BIBLE!V68</f>
        <v>G: Parentification</v>
      </c>
      <c r="C69" t="str">
        <f>BIBLE!R68</f>
        <v>Demande à l'enfant de faire les messages</v>
      </c>
      <c r="E69" s="5"/>
      <c r="F69" s="2068">
        <f>BIBLE!Q68</f>
        <v>8</v>
      </c>
      <c r="G69" s="2090"/>
      <c r="H69" s="111"/>
      <c r="I69" s="111" t="str">
        <f t="shared" si="0"/>
        <v/>
      </c>
      <c r="J69" s="2009">
        <f t="shared" si="1"/>
        <v>8</v>
      </c>
    </row>
    <row r="70" spans="1:10" x14ac:dyDescent="0.2">
      <c r="A70" t="s">
        <v>85</v>
      </c>
      <c r="B70" t="str">
        <f>BIBLE!V69</f>
        <v>G: Parentification</v>
      </c>
      <c r="C70" t="str">
        <f>BIBLE!R69</f>
        <v>L'enfant de 12 ans est assez mature pour choisir</v>
      </c>
      <c r="E70" s="5"/>
      <c r="F70" s="2068">
        <f>BIBLE!Q69</f>
        <v>6</v>
      </c>
      <c r="G70" s="2090"/>
      <c r="H70" s="111"/>
      <c r="I70" s="111" t="str">
        <f t="shared" si="0"/>
        <v/>
      </c>
      <c r="J70" s="2009">
        <f t="shared" si="1"/>
        <v>6</v>
      </c>
    </row>
    <row r="71" spans="1:10" x14ac:dyDescent="0.2">
      <c r="A71" t="s">
        <v>709</v>
      </c>
      <c r="B71" t="str">
        <f>BIBLE!V70</f>
        <v>G: Parentification</v>
      </c>
      <c r="C71" t="str">
        <f>BIBLE!R70</f>
        <v>Informe l'enfant sur les enjeux avec l'autre parent</v>
      </c>
      <c r="E71" s="5"/>
      <c r="F71" s="2068">
        <f>BIBLE!Q70</f>
        <v>3</v>
      </c>
      <c r="G71" s="2090"/>
      <c r="H71" s="111"/>
      <c r="I71" s="111" t="str">
        <f t="shared" ref="I71:I80" si="2">IF(J71&gt;=$I$3,C71,"")</f>
        <v/>
      </c>
      <c r="J71" s="2009">
        <f t="shared" ref="J71:J80" si="3">SUM(D71:F71)</f>
        <v>3</v>
      </c>
    </row>
    <row r="72" spans="1:10" x14ac:dyDescent="0.2">
      <c r="A72" t="s">
        <v>1997</v>
      </c>
      <c r="B72" t="str">
        <f>BIBLE!V72</f>
        <v>G: Parentification</v>
      </c>
      <c r="C72" t="str">
        <f>BIBLE!R72</f>
        <v>Serein face à la séparation</v>
      </c>
      <c r="D72" s="6">
        <f>BIBLE!Q139</f>
        <v>7</v>
      </c>
      <c r="E72" s="5"/>
      <c r="F72" s="2068">
        <f>BIBLE!Q72</f>
        <v>1</v>
      </c>
      <c r="G72" s="2090"/>
      <c r="H72" s="111"/>
      <c r="I72" s="111" t="str">
        <f t="shared" si="2"/>
        <v/>
      </c>
      <c r="J72" s="2009">
        <f t="shared" si="3"/>
        <v>8</v>
      </c>
    </row>
    <row r="73" spans="1:10" x14ac:dyDescent="0.2">
      <c r="A73" t="s">
        <v>1998</v>
      </c>
      <c r="B73" t="str">
        <f>BIBLE!V73</f>
        <v>G: Parentification</v>
      </c>
      <c r="C73" t="str">
        <f>BIBLE!R73</f>
        <v>Confie à l'enfant ses peines</v>
      </c>
      <c r="D73" s="6">
        <f>BIBLE!Q140</f>
        <v>8</v>
      </c>
      <c r="E73" s="5"/>
      <c r="F73" s="2068">
        <f>BIBLE!Q73</f>
        <v>0</v>
      </c>
      <c r="G73" s="2090"/>
      <c r="H73" s="111"/>
      <c r="I73" s="111" t="str">
        <f t="shared" si="2"/>
        <v/>
      </c>
      <c r="J73" s="2009">
        <f t="shared" si="3"/>
        <v>8</v>
      </c>
    </row>
    <row r="74" spans="1:10" x14ac:dyDescent="0.2">
      <c r="A74" t="s">
        <v>146</v>
      </c>
      <c r="B74" t="str">
        <f>BIBLE!V141</f>
        <v>G: Parentification</v>
      </c>
      <c r="C74" s="72" t="str">
        <f>BIBLE!R141</f>
        <v>Confie à l'enfant des informations délicates sur l'autre</v>
      </c>
      <c r="D74" s="6">
        <f>BIBLE!Q141</f>
        <v>4</v>
      </c>
      <c r="F74" s="2065"/>
      <c r="G74" s="2018"/>
      <c r="H74" s="111"/>
      <c r="I74" s="111" t="str">
        <f t="shared" si="2"/>
        <v/>
      </c>
      <c r="J74" s="2009">
        <f t="shared" si="3"/>
        <v>4</v>
      </c>
    </row>
    <row r="75" spans="1:10" x14ac:dyDescent="0.2">
      <c r="A75" s="68" t="s">
        <v>147</v>
      </c>
      <c r="B75" s="68" t="str">
        <f>BIBLE!V142</f>
        <v>G: Parentification</v>
      </c>
      <c r="C75" s="2062" t="str">
        <f>BIBLE!R142</f>
        <v>Fait lire à l'enfant des communications de l'autre parent</v>
      </c>
      <c r="D75" s="2064">
        <f>BIBLE!Q142</f>
        <v>14</v>
      </c>
      <c r="E75" s="68"/>
      <c r="F75" s="2066"/>
      <c r="G75" s="2089" t="str">
        <f>B75</f>
        <v>G: Parentification</v>
      </c>
      <c r="H75" s="2071">
        <f>SUM(D69:D75)+SUM(E69:E75)+SUM(F69:F75)</f>
        <v>51</v>
      </c>
      <c r="I75" s="111" t="str">
        <f t="shared" si="2"/>
        <v/>
      </c>
      <c r="J75" s="2009">
        <f t="shared" si="3"/>
        <v>14</v>
      </c>
    </row>
    <row r="76" spans="1:10" x14ac:dyDescent="0.2">
      <c r="A76" t="s">
        <v>107</v>
      </c>
      <c r="B76" t="str">
        <f>BIBLE!V97</f>
        <v>H: Rôle actif, Réponse au CC, r</v>
      </c>
      <c r="C76" s="72" t="str">
        <f>BIBLE!R97</f>
        <v>L'enfant est assez mature pour choisir</v>
      </c>
      <c r="D76" s="6">
        <f>BIBLE!Q97</f>
        <v>21</v>
      </c>
      <c r="F76" s="2065"/>
      <c r="G76" s="2018"/>
      <c r="H76" s="111"/>
      <c r="I76" s="111" t="str">
        <f t="shared" si="2"/>
        <v>L'enfant est assez mature pour choisir</v>
      </c>
      <c r="J76" s="2009">
        <f t="shared" si="3"/>
        <v>21</v>
      </c>
    </row>
    <row r="77" spans="1:10" x14ac:dyDescent="0.2">
      <c r="A77" t="s">
        <v>1999</v>
      </c>
      <c r="B77" t="str">
        <f>BIBLE!V98</f>
        <v>H: Rôle actif, Réponse au CC, r</v>
      </c>
      <c r="C77" s="72" t="str">
        <f>BIBLE!R98</f>
        <v>Demande le respect des désirs de l'enfant</v>
      </c>
      <c r="D77" s="6">
        <f>BIBLE!Q98</f>
        <v>4</v>
      </c>
      <c r="E77" s="114">
        <f>BIBLE!Q234</f>
        <v>0</v>
      </c>
      <c r="F77" s="2065"/>
      <c r="G77" s="2018"/>
      <c r="H77" s="111"/>
      <c r="I77" s="111" t="str">
        <f t="shared" si="2"/>
        <v/>
      </c>
      <c r="J77" s="2009">
        <f t="shared" si="3"/>
        <v>4</v>
      </c>
    </row>
    <row r="78" spans="1:10" x14ac:dyDescent="0.2">
      <c r="A78" t="s">
        <v>148</v>
      </c>
      <c r="B78" t="str">
        <f>BIBLE!V143</f>
        <v>H: Rôle actif, Réponse au CC, r</v>
      </c>
      <c r="C78" s="72" t="str">
        <f>BIBLE!R143</f>
        <v>Encourage un discours haineux envers le ou la nouvelle conjointe de l'autre parent</v>
      </c>
      <c r="D78" s="6">
        <f>BIBLE!Q143</f>
        <v>8</v>
      </c>
      <c r="F78" s="2065"/>
      <c r="G78" s="2018"/>
      <c r="H78" s="111"/>
      <c r="I78" s="111" t="str">
        <f t="shared" si="2"/>
        <v/>
      </c>
      <c r="J78" s="2009">
        <f t="shared" si="3"/>
        <v>8</v>
      </c>
    </row>
    <row r="79" spans="1:10" x14ac:dyDescent="0.2">
      <c r="A79" t="s">
        <v>150</v>
      </c>
      <c r="B79" t="str">
        <f>BIBLE!V144</f>
        <v>H: Rôle actif, Réponse au CC, r</v>
      </c>
      <c r="C79" s="72" t="str">
        <f>BIBLE!R144</f>
        <v>Demande à l'enfant de faire les messages</v>
      </c>
      <c r="D79" s="6">
        <f>BIBLE!Q144</f>
        <v>21</v>
      </c>
      <c r="F79" s="2065"/>
      <c r="G79" s="2018"/>
      <c r="H79" s="111"/>
      <c r="I79" s="111" t="str">
        <f t="shared" si="2"/>
        <v>Demande à l'enfant de faire les messages</v>
      </c>
      <c r="J79" s="2009">
        <f t="shared" si="3"/>
        <v>21</v>
      </c>
    </row>
    <row r="80" spans="1:10" x14ac:dyDescent="0.2">
      <c r="A80" s="68" t="s">
        <v>151</v>
      </c>
      <c r="B80" s="68" t="str">
        <f>BIBLE!V145</f>
        <v>H: Rôle actif, Réponse au CC, r</v>
      </c>
      <c r="C80" s="2062" t="str">
        <f>BIBLE!R145</f>
        <v>Laisse l'enfant le droit de choisir</v>
      </c>
      <c r="D80" s="2064">
        <f>BIBLE!Q145</f>
        <v>0</v>
      </c>
      <c r="E80" s="68"/>
      <c r="F80" s="2066"/>
      <c r="G80" s="2089" t="str">
        <f>B80</f>
        <v>H: Rôle actif, Réponse au CC, r</v>
      </c>
      <c r="H80" s="2071">
        <f>SUM(D76:D80)+SUM(E76:E80)+SUM(F76:F80)</f>
        <v>54</v>
      </c>
      <c r="I80" s="111" t="str">
        <f t="shared" si="2"/>
        <v/>
      </c>
      <c r="J80" s="2009">
        <f t="shared" si="3"/>
        <v>0</v>
      </c>
    </row>
    <row r="81" spans="2:10" x14ac:dyDescent="0.2">
      <c r="D81" s="6">
        <f>SUM(D6:D80)</f>
        <v>307</v>
      </c>
      <c r="E81" s="6">
        <f>SUM(E6:E80)</f>
        <v>103</v>
      </c>
      <c r="F81" s="6">
        <f>SUM(F6:F80)</f>
        <v>87</v>
      </c>
      <c r="H81" s="2" t="s">
        <v>2004</v>
      </c>
      <c r="I81" s="5" t="s">
        <v>2003</v>
      </c>
      <c r="J81" s="2073">
        <f t="shared" ref="J81:J86" si="4">COUNTIFS($J$6:$J$80,I81)</f>
        <v>20</v>
      </c>
    </row>
    <row r="82" spans="2:10" x14ac:dyDescent="0.2">
      <c r="B82" s="2" t="s">
        <v>2004</v>
      </c>
      <c r="C82" s="5" t="s">
        <v>2003</v>
      </c>
      <c r="D82" s="2073">
        <f>COUNTIFS($D$6:$D$80,C82)</f>
        <v>11</v>
      </c>
      <c r="E82" s="2073">
        <f>COUNTIFS($E$6:$E$80,C82)</f>
        <v>4</v>
      </c>
      <c r="F82" s="2073">
        <f>COUNTIFS($F$6:$F$80,C82)</f>
        <v>1</v>
      </c>
      <c r="H82" s="2" t="s">
        <v>2004</v>
      </c>
      <c r="I82" s="5" t="s">
        <v>2008</v>
      </c>
      <c r="J82" s="2073">
        <f t="shared" si="4"/>
        <v>17</v>
      </c>
    </row>
    <row r="83" spans="2:10" x14ac:dyDescent="0.2">
      <c r="B83" s="2" t="s">
        <v>2004</v>
      </c>
      <c r="C83" s="5" t="s">
        <v>2008</v>
      </c>
      <c r="D83" s="2073">
        <f t="shared" ref="D83:D87" si="5">COUNTIFS($D$6:$D$80,C83)</f>
        <v>10</v>
      </c>
      <c r="E83" s="2073">
        <f t="shared" ref="E83:E87" si="6">COUNTIFS($E$6:$E$80,C83)</f>
        <v>3</v>
      </c>
      <c r="F83" s="2073">
        <f t="shared" ref="F83:F87" si="7">COUNTIFS($F$6:$F$80,C83)</f>
        <v>1</v>
      </c>
      <c r="H83" s="2" t="s">
        <v>2004</v>
      </c>
      <c r="I83" s="5" t="s">
        <v>2007</v>
      </c>
      <c r="J83" s="2073">
        <f t="shared" si="4"/>
        <v>11</v>
      </c>
    </row>
    <row r="84" spans="2:10" x14ac:dyDescent="0.2">
      <c r="B84" s="2" t="s">
        <v>2004</v>
      </c>
      <c r="C84" s="5" t="s">
        <v>2007</v>
      </c>
      <c r="D84" s="2073">
        <f>COUNTIFS($D$6:$D$80,C84)</f>
        <v>6</v>
      </c>
      <c r="E84" s="2073">
        <f t="shared" si="6"/>
        <v>1</v>
      </c>
      <c r="F84" s="2073">
        <f t="shared" si="7"/>
        <v>0</v>
      </c>
      <c r="H84" s="2" t="s">
        <v>2004</v>
      </c>
      <c r="I84" s="5" t="s">
        <v>2009</v>
      </c>
      <c r="J84" s="2073">
        <f t="shared" si="4"/>
        <v>8</v>
      </c>
    </row>
    <row r="85" spans="2:10" x14ac:dyDescent="0.2">
      <c r="B85" s="2" t="s">
        <v>2004</v>
      </c>
      <c r="C85" s="5" t="s">
        <v>2009</v>
      </c>
      <c r="D85" s="2073">
        <f t="shared" si="5"/>
        <v>6</v>
      </c>
      <c r="E85" s="2073">
        <f t="shared" si="6"/>
        <v>1</v>
      </c>
      <c r="F85" s="2073">
        <f t="shared" si="7"/>
        <v>0</v>
      </c>
      <c r="H85" s="2" t="s">
        <v>2004</v>
      </c>
      <c r="I85" s="5" t="s">
        <v>2005</v>
      </c>
      <c r="J85" s="2073">
        <f t="shared" si="4"/>
        <v>7</v>
      </c>
    </row>
    <row r="86" spans="2:10" x14ac:dyDescent="0.2">
      <c r="B86" s="2" t="s">
        <v>2004</v>
      </c>
      <c r="C86" s="5" t="s">
        <v>2005</v>
      </c>
      <c r="D86" s="2073">
        <f t="shared" si="5"/>
        <v>6</v>
      </c>
      <c r="E86" s="2073">
        <f t="shared" si="6"/>
        <v>1</v>
      </c>
      <c r="F86" s="2073">
        <f t="shared" si="7"/>
        <v>0</v>
      </c>
      <c r="H86" s="2" t="s">
        <v>2004</v>
      </c>
      <c r="I86" s="5" t="s">
        <v>2006</v>
      </c>
      <c r="J86" s="2073">
        <f t="shared" si="4"/>
        <v>1</v>
      </c>
    </row>
    <row r="87" spans="2:10" x14ac:dyDescent="0.2">
      <c r="B87" s="2" t="s">
        <v>2004</v>
      </c>
      <c r="C87" s="5" t="s">
        <v>2006</v>
      </c>
      <c r="D87" s="2073">
        <f t="shared" si="5"/>
        <v>1</v>
      </c>
      <c r="E87" s="2073">
        <f t="shared" si="6"/>
        <v>0</v>
      </c>
      <c r="F87" s="2073">
        <f t="shared" si="7"/>
        <v>0</v>
      </c>
    </row>
    <row r="88" spans="2:10" x14ac:dyDescent="0.2">
      <c r="C88" s="72"/>
    </row>
    <row r="89" spans="2:10" x14ac:dyDescent="0.2">
      <c r="C89" s="72"/>
    </row>
    <row r="90" spans="2:10" x14ac:dyDescent="0.2">
      <c r="C90" s="72"/>
    </row>
    <row r="91" spans="2:10" x14ac:dyDescent="0.2">
      <c r="C91" s="72"/>
    </row>
    <row r="92" spans="2:10" x14ac:dyDescent="0.2">
      <c r="C92" s="72"/>
    </row>
    <row r="93" spans="2:10" x14ac:dyDescent="0.2">
      <c r="C93" s="72"/>
    </row>
    <row r="94" spans="2:10" x14ac:dyDescent="0.2">
      <c r="C94" s="72"/>
    </row>
    <row r="95" spans="2:10" x14ac:dyDescent="0.2">
      <c r="C95" s="72"/>
    </row>
    <row r="96" spans="2:10" x14ac:dyDescent="0.2">
      <c r="C96" s="72"/>
    </row>
    <row r="97" spans="1:25" x14ac:dyDescent="0.2">
      <c r="C97" s="72"/>
    </row>
    <row r="98" spans="1:25" x14ac:dyDescent="0.2">
      <c r="C98" s="72"/>
    </row>
    <row r="99" spans="1:25" x14ac:dyDescent="0.2">
      <c r="C99" s="72"/>
    </row>
    <row r="100" spans="1:25" x14ac:dyDescent="0.2">
      <c r="C100" s="72"/>
    </row>
    <row r="101" spans="1:25" x14ac:dyDescent="0.2">
      <c r="C101" s="72"/>
    </row>
    <row r="102" spans="1:25" x14ac:dyDescent="0.2">
      <c r="C102" s="72"/>
    </row>
    <row r="103" spans="1:25" x14ac:dyDescent="0.2">
      <c r="C103" s="72"/>
    </row>
    <row r="104" spans="1:25" x14ac:dyDescent="0.2">
      <c r="C104" s="72"/>
    </row>
    <row r="105" spans="1:25" x14ac:dyDescent="0.2">
      <c r="C105" s="72"/>
      <c r="I105" s="111" t="s">
        <v>2070</v>
      </c>
      <c r="J105" s="111">
        <v>1</v>
      </c>
    </row>
    <row r="106" spans="1:25" ht="26" x14ac:dyDescent="0.3">
      <c r="A106" s="2082" t="s">
        <v>2065</v>
      </c>
      <c r="I106" t="str">
        <f>E108</f>
        <v>Comportemental</v>
      </c>
      <c r="O106" t="str">
        <f>F108</f>
        <v>Émotif</v>
      </c>
      <c r="U106" t="str">
        <f>G108</f>
        <v>Verbal</v>
      </c>
    </row>
    <row r="107" spans="1:25" x14ac:dyDescent="0.2">
      <c r="E107" s="2226" t="s">
        <v>2068</v>
      </c>
      <c r="F107" s="2226"/>
      <c r="G107" s="2226"/>
      <c r="Q107" s="2093"/>
    </row>
    <row r="108" spans="1:25" x14ac:dyDescent="0.2">
      <c r="A108" t="s">
        <v>1489</v>
      </c>
      <c r="B108" t="s">
        <v>853</v>
      </c>
      <c r="C108" t="s">
        <v>1974</v>
      </c>
      <c r="D108" s="5" t="s">
        <v>1452</v>
      </c>
      <c r="E108" s="15" t="s">
        <v>1258</v>
      </c>
      <c r="F108" s="15" t="s">
        <v>1259</v>
      </c>
      <c r="G108" s="15" t="s">
        <v>1260</v>
      </c>
      <c r="H108" s="5"/>
      <c r="I108" s="15" t="s">
        <v>1974</v>
      </c>
      <c r="J108" s="2092" t="s">
        <v>1256</v>
      </c>
      <c r="K108" s="15" t="s">
        <v>29</v>
      </c>
      <c r="M108" s="2092" t="s">
        <v>31</v>
      </c>
      <c r="O108" s="15" t="s">
        <v>1974</v>
      </c>
      <c r="P108" s="2092" t="s">
        <v>1256</v>
      </c>
      <c r="Q108" s="2092" t="s">
        <v>29</v>
      </c>
      <c r="R108" s="15" t="s">
        <v>30</v>
      </c>
      <c r="S108" s="2092" t="s">
        <v>31</v>
      </c>
      <c r="U108" s="15" t="s">
        <v>1974</v>
      </c>
      <c r="V108" s="2092" t="s">
        <v>1256</v>
      </c>
      <c r="W108" s="2092" t="s">
        <v>29</v>
      </c>
      <c r="X108" s="2092" t="s">
        <v>30</v>
      </c>
      <c r="Y108" s="15" t="s">
        <v>31</v>
      </c>
    </row>
    <row r="109" spans="1:25" ht="21" x14ac:dyDescent="0.25">
      <c r="A109" t="str">
        <f>BIBLE!E154</f>
        <v>E03</v>
      </c>
      <c r="B109" t="str">
        <f>BIBLE!V154</f>
        <v>A:Alliance</v>
      </c>
      <c r="C109" s="72" t="str">
        <f>BIBLE!R154</f>
        <v>Garde des secrets</v>
      </c>
      <c r="D109" s="114">
        <f>BIBLE!Q154</f>
        <v>7</v>
      </c>
      <c r="E109" s="8">
        <f>D109*BIBLE!S154</f>
        <v>3.5</v>
      </c>
      <c r="F109" s="8">
        <f>D109*BIBLE!T154</f>
        <v>3.5</v>
      </c>
      <c r="G109" s="8">
        <f>D109*BIBLE!U154</f>
        <v>0</v>
      </c>
      <c r="H109" s="5"/>
      <c r="I109" t="e" cm="1" vm="1">
        <f t="array" aca="1" ref="I109" ca="1">_xlfn._xlws.SORT(_xlfn._xlws.FILTER(C109:G156,E109:E156&gt;=J105,""),3,-1)</f>
        <v>#VALUE!</v>
      </c>
      <c r="J109" s="2093"/>
      <c r="K109" s="445"/>
      <c r="M109" s="2093"/>
      <c r="O109" t="str" cm="1">
        <f t="array" ref="O109:S125">_xlfn._xlws.SORT(_xlfn._xlws.FILTER(C109:G156,F109:F156&gt;=J105,""),4,-1)</f>
        <v>Pense que son parent souffre de maladie mentale</v>
      </c>
      <c r="P109" s="2093">
        <v>12</v>
      </c>
      <c r="Q109" s="2093">
        <v>0</v>
      </c>
      <c r="R109" s="445">
        <v>12</v>
      </c>
      <c r="S109" s="2093">
        <v>0</v>
      </c>
      <c r="U109" t="str" cm="1">
        <f t="array" ref="U109:Y115">_xlfn._xlws.SORT(_xlfn._xlws.FILTER(C109:G156,G109:G156&gt;=J105,""),5,-1)</f>
        <v>Emprunte les paroles du parent</v>
      </c>
      <c r="V109" s="2093">
        <v>8</v>
      </c>
      <c r="W109" s="2093">
        <v>0</v>
      </c>
      <c r="X109" s="2093">
        <v>0</v>
      </c>
      <c r="Y109" s="48">
        <v>8</v>
      </c>
    </row>
    <row r="110" spans="1:25" ht="21" x14ac:dyDescent="0.25">
      <c r="A110" t="str">
        <f>BIBLE!E155</f>
        <v>E03a</v>
      </c>
      <c r="B110" t="str">
        <f>BIBLE!V155</f>
        <v>A:Alliance</v>
      </c>
      <c r="C110" s="72" t="str">
        <f>BIBLE!R155</f>
        <v>Ne doit pas raconter ce qui se passe chez l'autre</v>
      </c>
      <c r="D110" s="114">
        <f>BIBLE!Q155</f>
        <v>20</v>
      </c>
      <c r="E110" s="8">
        <f>D110*BIBLE!S155</f>
        <v>10</v>
      </c>
      <c r="F110" s="8">
        <f>D110*BIBLE!T155</f>
        <v>10</v>
      </c>
      <c r="G110" s="8">
        <f>D110*BIBLE!U155</f>
        <v>0</v>
      </c>
      <c r="H110" s="5"/>
      <c r="J110" s="2093"/>
      <c r="K110" s="445"/>
      <c r="M110" s="2093"/>
      <c r="O110" t="str">
        <v>Déforme les souvenirs</v>
      </c>
      <c r="P110" s="2093">
        <v>12</v>
      </c>
      <c r="Q110" s="2093">
        <v>0</v>
      </c>
      <c r="R110" s="445">
        <v>12</v>
      </c>
      <c r="S110" s="2093">
        <v>0</v>
      </c>
      <c r="U110" t="str">
        <v>Pense qu'il a été abandonné</v>
      </c>
      <c r="V110" s="2093">
        <v>8</v>
      </c>
      <c r="W110" s="2093">
        <v>0</v>
      </c>
      <c r="X110" s="2093">
        <v>4</v>
      </c>
      <c r="Y110" s="48">
        <v>4</v>
      </c>
    </row>
    <row r="111" spans="1:25" ht="21" x14ac:dyDescent="0.25">
      <c r="A111" t="str">
        <f>BIBLE!E156</f>
        <v>E04</v>
      </c>
      <c r="B111" t="str">
        <f>BIBLE!V156</f>
        <v>A:Alliance</v>
      </c>
      <c r="C111" s="72" t="str">
        <f>BIBLE!R156</f>
        <v>Défend son parent</v>
      </c>
      <c r="D111" s="114">
        <f>BIBLE!Q156</f>
        <v>0</v>
      </c>
      <c r="E111" s="8">
        <f>D111*BIBLE!S156</f>
        <v>0</v>
      </c>
      <c r="F111" s="8">
        <f>D111*BIBLE!T156</f>
        <v>0</v>
      </c>
      <c r="G111" s="8">
        <f>D111*BIBLE!U156</f>
        <v>0</v>
      </c>
      <c r="H111" s="5"/>
      <c r="J111" s="2093"/>
      <c r="K111" s="445"/>
      <c r="M111" s="2093"/>
      <c r="O111" t="str">
        <v>Ne doit pas raconter ce qui se passe chez l'autre</v>
      </c>
      <c r="P111" s="2093">
        <v>20</v>
      </c>
      <c r="Q111" s="2093">
        <v>10</v>
      </c>
      <c r="R111" s="445">
        <v>10</v>
      </c>
      <c r="S111" s="2093">
        <v>0</v>
      </c>
      <c r="U111" t="str">
        <v>Connait des informations intimes</v>
      </c>
      <c r="V111" s="2093">
        <v>8</v>
      </c>
      <c r="W111" s="2093">
        <v>0</v>
      </c>
      <c r="X111" s="2093">
        <v>4</v>
      </c>
      <c r="Y111" s="48">
        <v>4</v>
      </c>
    </row>
    <row r="112" spans="1:25" ht="21" x14ac:dyDescent="0.25">
      <c r="A112" t="str">
        <f>BIBLE!E157</f>
        <v>E04a</v>
      </c>
      <c r="B112" t="str">
        <f>BIBLE!V157</f>
        <v>A:Alliance</v>
      </c>
      <c r="C112" s="72" t="str">
        <f>BIBLE!R157</f>
        <v>L'autre parent est parfait à ses yeux</v>
      </c>
      <c r="D112" s="114">
        <f>BIBLE!Q157</f>
        <v>0</v>
      </c>
      <c r="E112" s="8">
        <f>D112*BIBLE!S157</f>
        <v>0</v>
      </c>
      <c r="F112" s="8">
        <f>D112*BIBLE!T157</f>
        <v>0</v>
      </c>
      <c r="G112" s="8">
        <f>D112*BIBLE!U157</f>
        <v>0</v>
      </c>
      <c r="H112" s="5"/>
      <c r="J112" s="2093"/>
      <c r="K112" s="445"/>
      <c r="M112" s="2093"/>
      <c r="O112" t="str">
        <v>Subie de la pression pour passer plus de temps</v>
      </c>
      <c r="P112" s="2093">
        <v>20</v>
      </c>
      <c r="Q112" s="2093">
        <v>10</v>
      </c>
      <c r="R112" s="445">
        <v>10</v>
      </c>
      <c r="S112" s="2093">
        <v>0</v>
      </c>
      <c r="U112" t="str">
        <v>Porte des accusations de voler de l'argent</v>
      </c>
      <c r="V112" s="2093">
        <v>3</v>
      </c>
      <c r="W112" s="2093">
        <v>0</v>
      </c>
      <c r="X112" s="2093">
        <v>0</v>
      </c>
      <c r="Y112" s="48">
        <v>3</v>
      </c>
    </row>
    <row r="113" spans="1:25" ht="21" x14ac:dyDescent="0.25">
      <c r="A113" t="str">
        <f>BIBLE!E158</f>
        <v>E04a1</v>
      </c>
      <c r="B113" t="str">
        <f>BIBLE!V158</f>
        <v>H: Rôle actif, Réponse au CC, r</v>
      </c>
      <c r="C113" s="72" t="str">
        <f>BIBLE!R158</f>
        <v>Calque les désirs du parent</v>
      </c>
      <c r="D113" s="114">
        <f>BIBLE!Q158</f>
        <v>0</v>
      </c>
      <c r="E113" s="8">
        <f>D113*BIBLE!S158</f>
        <v>0</v>
      </c>
      <c r="F113" s="8">
        <f>D113*BIBLE!T158</f>
        <v>0</v>
      </c>
      <c r="G113" s="8">
        <f>D113*BIBLE!U158</f>
        <v>0</v>
      </c>
      <c r="H113" s="5"/>
      <c r="J113" s="2093"/>
      <c r="K113" s="445"/>
      <c r="M113" s="2093"/>
      <c r="O113" t="str">
        <v>Laisse entendre que sa vraie famille, c'est l'autre</v>
      </c>
      <c r="P113" s="2093">
        <v>8</v>
      </c>
      <c r="Q113" s="2093">
        <v>0</v>
      </c>
      <c r="R113" s="445">
        <v>8</v>
      </c>
      <c r="S113" s="2093">
        <v>0</v>
      </c>
      <c r="U113" t="str">
        <v>Dénigre la nouvelle famille</v>
      </c>
      <c r="V113" s="2093">
        <v>2</v>
      </c>
      <c r="W113" s="2093">
        <v>0</v>
      </c>
      <c r="X113" s="2093">
        <v>0</v>
      </c>
      <c r="Y113" s="48">
        <v>2</v>
      </c>
    </row>
    <row r="114" spans="1:25" ht="21" x14ac:dyDescent="0.25">
      <c r="A114" t="str">
        <f>BIBLE!E159</f>
        <v>E05</v>
      </c>
      <c r="B114" t="str">
        <f>BIBLE!V159</f>
        <v>A:Alliance</v>
      </c>
      <c r="C114" s="72" t="str">
        <f>BIBLE!R159</f>
        <v>Emprunte les paroles du parent</v>
      </c>
      <c r="D114" s="114">
        <f>BIBLE!Q159</f>
        <v>8</v>
      </c>
      <c r="E114" s="8">
        <f>D114*BIBLE!S159</f>
        <v>0</v>
      </c>
      <c r="F114" s="8">
        <f>D114*BIBLE!T159</f>
        <v>0</v>
      </c>
      <c r="G114" s="8">
        <f>D114*BIBLE!U159</f>
        <v>8</v>
      </c>
      <c r="H114" s="5"/>
      <c r="J114" s="2093"/>
      <c r="K114" s="445"/>
      <c r="M114" s="2093"/>
      <c r="O114" t="str">
        <v>Aggressif à son retour</v>
      </c>
      <c r="P114" s="2093">
        <v>8</v>
      </c>
      <c r="Q114" s="2093">
        <v>0</v>
      </c>
      <c r="R114" s="445">
        <v>8</v>
      </c>
      <c r="S114" s="2093">
        <v>0</v>
      </c>
      <c r="U114" t="str">
        <v>Modifie les horaires de visite</v>
      </c>
      <c r="V114" s="2093">
        <v>4</v>
      </c>
      <c r="W114" s="2093">
        <v>2</v>
      </c>
      <c r="X114" s="2093">
        <v>0</v>
      </c>
      <c r="Y114" s="48">
        <v>2</v>
      </c>
    </row>
    <row r="115" spans="1:25" ht="21" x14ac:dyDescent="0.25">
      <c r="A115" t="str">
        <f>BIBLE!E161</f>
        <v>E06</v>
      </c>
      <c r="B115" t="str">
        <f>BIBLE!V161</f>
        <v>B:Altération/dévoiement de la réalité</v>
      </c>
      <c r="C115" s="72" t="str">
        <f>BIBLE!R161</f>
        <v>Pense qu'il a été abandonné</v>
      </c>
      <c r="D115" s="114">
        <f>BIBLE!Q161</f>
        <v>8</v>
      </c>
      <c r="E115" s="8">
        <f>D115*BIBLE!S161</f>
        <v>0</v>
      </c>
      <c r="F115" s="8">
        <f>D115*BIBLE!T161</f>
        <v>4</v>
      </c>
      <c r="G115" s="8">
        <f>D115*BIBLE!U161</f>
        <v>4</v>
      </c>
      <c r="H115" s="5"/>
      <c r="J115" s="2093"/>
      <c r="K115" s="445"/>
      <c r="M115" s="2093"/>
      <c r="O115" t="str">
        <v>N'a pas la permission d'apporter ses objets de chez l'autre</v>
      </c>
      <c r="P115" s="2093">
        <v>14</v>
      </c>
      <c r="Q115" s="2093">
        <v>7</v>
      </c>
      <c r="R115" s="445">
        <v>7</v>
      </c>
      <c r="S115" s="2093">
        <v>0</v>
      </c>
      <c r="U115" t="str">
        <v xml:space="preserve">Cherche à convaincre des qualités de l'autre parent </v>
      </c>
      <c r="V115" s="2093">
        <v>2</v>
      </c>
      <c r="W115" s="2093">
        <v>0</v>
      </c>
      <c r="X115" s="2093">
        <v>1</v>
      </c>
      <c r="Y115" s="48">
        <v>1</v>
      </c>
    </row>
    <row r="116" spans="1:25" ht="21" x14ac:dyDescent="0.25">
      <c r="A116" t="str">
        <f>BIBLE!E162</f>
        <v>E06a</v>
      </c>
      <c r="B116" t="str">
        <f>BIBLE!V162</f>
        <v>B:Altération/dévoiement de la réalité</v>
      </c>
      <c r="C116" s="72" t="str">
        <f>BIBLE!R162</f>
        <v>Pense que son parent souffre de maladie mentale</v>
      </c>
      <c r="D116" s="114">
        <f>BIBLE!Q162</f>
        <v>12</v>
      </c>
      <c r="E116" s="8">
        <f>D116*BIBLE!S162</f>
        <v>0</v>
      </c>
      <c r="F116" s="8">
        <f>D116*BIBLE!T162</f>
        <v>12</v>
      </c>
      <c r="G116" s="8">
        <f>D116*BIBLE!U162</f>
        <v>0</v>
      </c>
      <c r="H116" s="5"/>
      <c r="J116" s="2093"/>
      <c r="K116" s="445"/>
      <c r="M116" s="2093"/>
      <c r="O116" t="str">
        <v>Sent le besoin de protéger l'autre parent</v>
      </c>
      <c r="P116" s="2093">
        <v>14</v>
      </c>
      <c r="Q116" s="2093">
        <v>7</v>
      </c>
      <c r="R116" s="445">
        <v>7</v>
      </c>
      <c r="S116" s="2093">
        <v>0</v>
      </c>
      <c r="Y116" s="48">
        <f>SUM(Y99:Y115)</f>
        <v>24</v>
      </c>
    </row>
    <row r="117" spans="1:25" ht="19" x14ac:dyDescent="0.25">
      <c r="A117" t="str">
        <f>BIBLE!E163</f>
        <v>E06a1</v>
      </c>
      <c r="B117" t="str">
        <f>BIBLE!V163</f>
        <v>B:Altération/dévoiement de la réalité</v>
      </c>
      <c r="C117" s="72" t="str">
        <f>BIBLE!R163</f>
        <v>Pense qu'il n'est pas en sécurité</v>
      </c>
      <c r="D117" s="114">
        <f>BIBLE!Q163</f>
        <v>0</v>
      </c>
      <c r="E117" s="8">
        <f>D117*BIBLE!S163</f>
        <v>0</v>
      </c>
      <c r="F117" s="8">
        <f>D117*BIBLE!T163</f>
        <v>0</v>
      </c>
      <c r="G117" s="8">
        <f>D117*BIBLE!U163</f>
        <v>0</v>
      </c>
      <c r="H117" s="5"/>
      <c r="J117" s="2093"/>
      <c r="K117" s="445"/>
      <c r="M117" s="2093"/>
      <c r="O117" t="str">
        <v>Pense qu'il a été abandonné</v>
      </c>
      <c r="P117" s="2093">
        <v>8</v>
      </c>
      <c r="Q117" s="2093">
        <v>0</v>
      </c>
      <c r="R117" s="445">
        <v>4</v>
      </c>
      <c r="S117" s="2093">
        <v>4</v>
      </c>
      <c r="X117" s="74"/>
    </row>
    <row r="118" spans="1:25" ht="19" x14ac:dyDescent="0.25">
      <c r="A118" t="str">
        <f>BIBLE!E164</f>
        <v>E07</v>
      </c>
      <c r="B118" t="str">
        <f>BIBLE!V164</f>
        <v>C: Chantage affectif, loyauté, manipulation</v>
      </c>
      <c r="C118" s="72" t="str">
        <f>BIBLE!R164</f>
        <v>Se sent coupable se passer du temps de peur de blesser l'autre parent</v>
      </c>
      <c r="D118" s="114">
        <f>BIBLE!Q164</f>
        <v>2</v>
      </c>
      <c r="E118" s="8">
        <f>D118*BIBLE!S164</f>
        <v>0</v>
      </c>
      <c r="F118" s="8">
        <f>D118*BIBLE!T164</f>
        <v>2</v>
      </c>
      <c r="G118" s="8">
        <f>D118*BIBLE!U164</f>
        <v>0</v>
      </c>
      <c r="H118" s="5"/>
      <c r="J118" s="2093"/>
      <c r="K118" s="445"/>
      <c r="M118" s="2093"/>
      <c r="O118" t="str">
        <v>Connait des informations intimes</v>
      </c>
      <c r="P118" s="2093">
        <v>8</v>
      </c>
      <c r="Q118" s="2093">
        <v>0</v>
      </c>
      <c r="R118" s="445">
        <v>4</v>
      </c>
      <c r="S118" s="2093">
        <v>4</v>
      </c>
      <c r="X118" s="74"/>
    </row>
    <row r="119" spans="1:25" ht="19" x14ac:dyDescent="0.25">
      <c r="A119" t="str">
        <f>BIBLE!E165</f>
        <v>E09</v>
      </c>
      <c r="B119" t="str">
        <f>BIBLE!V165</f>
        <v>C: Chantage affectif, loyauté, manipulation</v>
      </c>
      <c r="C119" s="72" t="str">
        <f>BIBLE!R165</f>
        <v>Tient responsable un parent de la peine de l'autre</v>
      </c>
      <c r="D119" s="114">
        <f>BIBLE!Q165</f>
        <v>0</v>
      </c>
      <c r="E119" s="8">
        <f>D119*BIBLE!S165</f>
        <v>0</v>
      </c>
      <c r="F119" s="8">
        <f>D119*BIBLE!T165</f>
        <v>0</v>
      </c>
      <c r="G119" s="8">
        <f>D119*BIBLE!U165</f>
        <v>0</v>
      </c>
      <c r="H119" s="5"/>
      <c r="J119" s="2093"/>
      <c r="K119" s="445"/>
      <c r="M119" s="2093"/>
      <c r="O119" t="str">
        <v>Change d'attitude en présence des deux parents</v>
      </c>
      <c r="P119" s="2093">
        <v>8</v>
      </c>
      <c r="Q119" s="2093">
        <v>4</v>
      </c>
      <c r="R119" s="445">
        <v>4</v>
      </c>
      <c r="S119" s="2093">
        <v>0</v>
      </c>
      <c r="X119" s="74"/>
    </row>
    <row r="120" spans="1:25" ht="19" x14ac:dyDescent="0.25">
      <c r="A120" t="str">
        <f>BIBLE!E166</f>
        <v>E10</v>
      </c>
      <c r="B120" t="str">
        <f>BIBLE!V166</f>
        <v>C: Chantage affectif, loyauté, manipulation</v>
      </c>
      <c r="C120" s="72" t="str">
        <f>BIBLE!R166</f>
        <v xml:space="preserve">Cherche à convaincre des qualités de l'autre parent </v>
      </c>
      <c r="D120" s="114">
        <f>BIBLE!Q166</f>
        <v>2</v>
      </c>
      <c r="E120" s="8">
        <f>D120*BIBLE!S166</f>
        <v>0</v>
      </c>
      <c r="F120" s="8">
        <f>D120*BIBLE!T166</f>
        <v>1</v>
      </c>
      <c r="G120" s="8">
        <f>D120*BIBLE!U166</f>
        <v>1</v>
      </c>
      <c r="H120" s="5"/>
      <c r="J120" s="2093"/>
      <c r="K120" s="445"/>
      <c r="M120" s="2093"/>
      <c r="O120" t="str">
        <v>Garde des secrets</v>
      </c>
      <c r="P120" s="2093">
        <v>7</v>
      </c>
      <c r="Q120" s="2093">
        <v>3.5</v>
      </c>
      <c r="R120" s="445">
        <v>3.5</v>
      </c>
      <c r="S120" s="2093">
        <v>0</v>
      </c>
      <c r="X120" s="74"/>
    </row>
    <row r="121" spans="1:25" ht="19" x14ac:dyDescent="0.25">
      <c r="A121" t="str">
        <f>BIBLE!E167</f>
        <v>E11</v>
      </c>
      <c r="B121" t="str">
        <f>BIBLE!V167</f>
        <v>C: Chantage affectif, loyauté, manipulation</v>
      </c>
      <c r="C121" s="72" t="str">
        <f>BIBLE!R167</f>
        <v>Ne salue pas lors d'événements</v>
      </c>
      <c r="D121" s="114">
        <f>BIBLE!Q167</f>
        <v>8</v>
      </c>
      <c r="E121" s="8">
        <f>D121*BIBLE!S167</f>
        <v>8</v>
      </c>
      <c r="F121" s="8">
        <f>D121*BIBLE!T167</f>
        <v>0</v>
      </c>
      <c r="G121" s="8">
        <f>D121*BIBLE!U167</f>
        <v>0</v>
      </c>
      <c r="H121" s="5"/>
      <c r="J121" s="2093"/>
      <c r="K121" s="445"/>
      <c r="M121" s="2093"/>
      <c r="O121" t="str">
        <v>L'autre famille a plus de valeur</v>
      </c>
      <c r="P121" s="2093">
        <v>3</v>
      </c>
      <c r="Q121" s="2093">
        <v>0</v>
      </c>
      <c r="R121" s="445">
        <v>3</v>
      </c>
      <c r="S121" s="2093">
        <v>0</v>
      </c>
      <c r="X121" s="74"/>
    </row>
    <row r="122" spans="1:25" ht="19" x14ac:dyDescent="0.25">
      <c r="A122" t="str">
        <f>BIBLE!E168</f>
        <v>E13</v>
      </c>
      <c r="B122" t="str">
        <f>BIBLE!V168</f>
        <v>D: Dénigrement</v>
      </c>
      <c r="C122" s="72" t="str">
        <f>BIBLE!R168</f>
        <v>Dénigre la nouvelle famille</v>
      </c>
      <c r="D122" s="114">
        <f>BIBLE!Q168</f>
        <v>2</v>
      </c>
      <c r="E122" s="8">
        <f>D122*BIBLE!S168</f>
        <v>0</v>
      </c>
      <c r="F122" s="8">
        <f>D122*BIBLE!T168</f>
        <v>0</v>
      </c>
      <c r="G122" s="8">
        <f>D122*BIBLE!U168</f>
        <v>2</v>
      </c>
      <c r="H122" s="5"/>
      <c r="J122" s="2093"/>
      <c r="K122" s="445"/>
      <c r="M122" s="2093"/>
      <c r="O122" t="str">
        <v>Se sent coupable se passer du temps de peur de blesser l'autre parent</v>
      </c>
      <c r="P122" s="2093">
        <v>2</v>
      </c>
      <c r="Q122" s="2093">
        <v>0</v>
      </c>
      <c r="R122" s="445">
        <v>2</v>
      </c>
      <c r="S122" s="2093">
        <v>0</v>
      </c>
      <c r="X122" s="74"/>
    </row>
    <row r="123" spans="1:25" ht="19" x14ac:dyDescent="0.25">
      <c r="A123" t="str">
        <f>BIBLE!E169</f>
        <v>E14</v>
      </c>
      <c r="B123" t="str">
        <f>BIBLE!V169</f>
        <v>D: Dénigrement</v>
      </c>
      <c r="C123" s="72" t="str">
        <f>BIBLE!R169</f>
        <v>Laisse entendre que sa vraie famille, c'est l'autre</v>
      </c>
      <c r="D123" s="114">
        <f>BIBLE!Q169</f>
        <v>8</v>
      </c>
      <c r="E123" s="8">
        <f>D123*BIBLE!S169</f>
        <v>0</v>
      </c>
      <c r="F123" s="8">
        <f>D123*BIBLE!T169</f>
        <v>8</v>
      </c>
      <c r="G123" s="8">
        <f>D123*BIBLE!U169</f>
        <v>0</v>
      </c>
      <c r="H123" s="5"/>
      <c r="J123" s="2093"/>
      <c r="K123" s="445"/>
      <c r="M123" s="2093"/>
      <c r="O123" t="str">
        <v>Se sent responsable du bonheur du parent</v>
      </c>
      <c r="P123" s="2093">
        <v>2</v>
      </c>
      <c r="Q123" s="2093">
        <v>0</v>
      </c>
      <c r="R123" s="445">
        <v>2</v>
      </c>
      <c r="S123" s="2093">
        <v>0</v>
      </c>
      <c r="X123" s="74"/>
    </row>
    <row r="124" spans="1:25" ht="19" x14ac:dyDescent="0.25">
      <c r="A124" t="str">
        <f>BIBLE!E170</f>
        <v>E14a</v>
      </c>
      <c r="B124" t="str">
        <f>BIBLE!V170</f>
        <v>D: Dénigrement</v>
      </c>
      <c r="C124" s="72" t="str">
        <f>BIBLE!R170</f>
        <v>L'autre famille a plus de valeur</v>
      </c>
      <c r="D124" s="114">
        <f>BIBLE!Q170</f>
        <v>3</v>
      </c>
      <c r="E124" s="8">
        <f>D124*BIBLE!S170</f>
        <v>0</v>
      </c>
      <c r="F124" s="8">
        <f>D124*BIBLE!T170</f>
        <v>3</v>
      </c>
      <c r="G124" s="8">
        <f>D124*BIBLE!U170</f>
        <v>0</v>
      </c>
      <c r="H124" s="5"/>
      <c r="J124" s="2093"/>
      <c r="K124" s="445"/>
      <c r="M124" s="2093"/>
      <c r="O124" t="str">
        <v xml:space="preserve">Cherche à convaincre des qualités de l'autre parent </v>
      </c>
      <c r="P124" s="2093">
        <v>2</v>
      </c>
      <c r="Q124" s="2093">
        <v>0</v>
      </c>
      <c r="R124" s="445">
        <v>1</v>
      </c>
      <c r="S124" s="2093">
        <v>1</v>
      </c>
      <c r="X124" s="74"/>
    </row>
    <row r="125" spans="1:25" ht="19" x14ac:dyDescent="0.25">
      <c r="A125" t="str">
        <f>BIBLE!E171</f>
        <v>E15</v>
      </c>
      <c r="B125" t="str">
        <f>BIBLE!V171</f>
        <v>D: Dénigrement</v>
      </c>
      <c r="C125" s="72" t="str">
        <f>BIBLE!R171</f>
        <v>Aggressif à son retour</v>
      </c>
      <c r="D125" s="114">
        <f>BIBLE!Q171</f>
        <v>8</v>
      </c>
      <c r="E125" s="8">
        <f>D125*BIBLE!S171</f>
        <v>0</v>
      </c>
      <c r="F125" s="8">
        <f>D125*BIBLE!T171</f>
        <v>8</v>
      </c>
      <c r="G125" s="8">
        <f>D125*BIBLE!U171</f>
        <v>0</v>
      </c>
      <c r="H125" s="5"/>
      <c r="J125" s="2093"/>
      <c r="K125" s="445"/>
      <c r="M125" s="2093"/>
      <c r="O125" t="str">
        <v>Considère le nouveau conjoint·e comme son père ou sa mère</v>
      </c>
      <c r="P125" s="2093">
        <v>2</v>
      </c>
      <c r="Q125" s="2093">
        <v>1</v>
      </c>
      <c r="R125" s="445">
        <v>1</v>
      </c>
      <c r="S125" s="2093">
        <v>0</v>
      </c>
      <c r="X125" s="74"/>
    </row>
    <row r="126" spans="1:25" ht="21" x14ac:dyDescent="0.25">
      <c r="A126" t="str">
        <f>BIBLE!E172</f>
        <v>E15a</v>
      </c>
      <c r="B126" t="str">
        <f>BIBLE!V172</f>
        <v>D: Dénigrement</v>
      </c>
      <c r="C126" s="72" t="str">
        <f>BIBLE!R172</f>
        <v>Porte des accusations de voler de l'argent</v>
      </c>
      <c r="D126" s="114">
        <f>BIBLE!Q172</f>
        <v>3</v>
      </c>
      <c r="E126" s="8">
        <f>D126*BIBLE!S172</f>
        <v>0</v>
      </c>
      <c r="F126" s="8">
        <f>D126*BIBLE!T172</f>
        <v>0</v>
      </c>
      <c r="G126" s="8">
        <f>D126*BIBLE!U172</f>
        <v>3</v>
      </c>
      <c r="H126" s="5"/>
      <c r="J126" s="2093"/>
      <c r="K126" s="445"/>
      <c r="M126" s="2093"/>
      <c r="R126" s="48">
        <f>SUM(R109:R125)</f>
        <v>98.5</v>
      </c>
    </row>
    <row r="127" spans="1:25" ht="19" x14ac:dyDescent="0.25">
      <c r="A127" t="str">
        <f>BIBLE!E173</f>
        <v>E16</v>
      </c>
      <c r="B127" t="str">
        <f>BIBLE!V173</f>
        <v>E: Interférence temps et/ou communication</v>
      </c>
      <c r="C127" s="72" t="str">
        <f>BIBLE!R173</f>
        <v>Modifie les horaires de visite</v>
      </c>
      <c r="D127" s="114">
        <f>BIBLE!Q173</f>
        <v>4</v>
      </c>
      <c r="E127" s="8">
        <f>D127*BIBLE!S173</f>
        <v>2</v>
      </c>
      <c r="F127" s="8">
        <f>D127*BIBLE!T173</f>
        <v>0</v>
      </c>
      <c r="G127" s="8">
        <f>D127*BIBLE!U173</f>
        <v>2</v>
      </c>
      <c r="H127" s="5"/>
      <c r="J127" s="2093"/>
      <c r="K127" s="445"/>
      <c r="M127" s="2093"/>
    </row>
    <row r="128" spans="1:25" ht="21" x14ac:dyDescent="0.25">
      <c r="A128" t="str">
        <f>BIBLE!E175</f>
        <v>E16a1</v>
      </c>
      <c r="B128" t="str">
        <f>BIBLE!V175</f>
        <v>E: Interférence temps et/ou communication</v>
      </c>
      <c r="C128" s="72" t="str">
        <f>BIBLE!R175</f>
        <v>Impose des changements d'horaire</v>
      </c>
      <c r="D128" s="114">
        <f>BIBLE!Q175</f>
        <v>8</v>
      </c>
      <c r="E128" s="8">
        <f>D128*BIBLE!S175</f>
        <v>8</v>
      </c>
      <c r="F128" s="8">
        <f>D128*BIBLE!T175</f>
        <v>0</v>
      </c>
      <c r="G128" s="8">
        <f>D128*BIBLE!U175</f>
        <v>0</v>
      </c>
      <c r="H128" s="5"/>
      <c r="K128" s="48">
        <f>SUM(K109:K127)</f>
        <v>0</v>
      </c>
    </row>
    <row r="129" spans="1:8" x14ac:dyDescent="0.2">
      <c r="A129" t="str">
        <f>BIBLE!E176</f>
        <v>E16a2</v>
      </c>
      <c r="B129" t="str">
        <f>BIBLE!V176</f>
        <v>E: Interférence temps et/ou communication</v>
      </c>
      <c r="C129" s="72" t="str">
        <f>BIBLE!R176</f>
        <v>Changer d'idée subitement et trouve des excuses</v>
      </c>
      <c r="D129" s="114">
        <f>BIBLE!Q176</f>
        <v>12</v>
      </c>
      <c r="E129" s="8">
        <f>D129*BIBLE!S176</f>
        <v>12</v>
      </c>
      <c r="F129" s="8">
        <f>D129*BIBLE!T176</f>
        <v>0</v>
      </c>
      <c r="G129" s="8">
        <f>D129*BIBLE!U176</f>
        <v>0</v>
      </c>
      <c r="H129" s="5"/>
    </row>
    <row r="130" spans="1:8" x14ac:dyDescent="0.2">
      <c r="A130" t="str">
        <f>BIBLE!E177</f>
        <v>E16a3</v>
      </c>
      <c r="B130" t="str">
        <f>BIBLE!V177</f>
        <v>E: Interférence temps et/ou communication</v>
      </c>
      <c r="C130" s="72" t="str">
        <f>BIBLE!R177</f>
        <v>Subie de la pression pour passer plus de temps</v>
      </c>
      <c r="D130" s="114">
        <f>BIBLE!Q177</f>
        <v>20</v>
      </c>
      <c r="E130" s="8">
        <f>D130*BIBLE!S177</f>
        <v>10</v>
      </c>
      <c r="F130" s="8">
        <f>D130*BIBLE!T177</f>
        <v>10</v>
      </c>
      <c r="G130" s="8">
        <f>D130*BIBLE!U177</f>
        <v>0</v>
      </c>
      <c r="H130" s="5"/>
    </row>
    <row r="131" spans="1:8" x14ac:dyDescent="0.2">
      <c r="A131" t="str">
        <f>BIBLE!E178</f>
        <v>E18</v>
      </c>
      <c r="B131" t="str">
        <f>BIBLE!V178</f>
        <v>E: Interférence temps et/ou communication</v>
      </c>
      <c r="C131" s="72" t="str">
        <f>BIBLE!R178</f>
        <v>Répond à vos messages lorsqu'il est chez l'autre</v>
      </c>
      <c r="D131" s="114">
        <f>BIBLE!Q178</f>
        <v>20</v>
      </c>
      <c r="E131" s="8">
        <f>D131*BIBLE!S178</f>
        <v>20</v>
      </c>
      <c r="F131" s="8">
        <f>D131*BIBLE!T178</f>
        <v>0</v>
      </c>
      <c r="G131" s="8">
        <f>D131*BIBLE!U178</f>
        <v>0</v>
      </c>
      <c r="H131" s="5"/>
    </row>
    <row r="132" spans="1:8" x14ac:dyDescent="0.2">
      <c r="A132" t="str">
        <f>BIBLE!E179</f>
        <v>E20</v>
      </c>
      <c r="B132" t="str">
        <f>BIBLE!V179</f>
        <v>F: Interférence lien affectif ou symbolique</v>
      </c>
      <c r="C132" s="72" t="str">
        <f>BIBLE!R179</f>
        <v>Considère le nouveau conjoint·e comme son père ou sa mère</v>
      </c>
      <c r="D132" s="114">
        <f>BIBLE!Q179</f>
        <v>2</v>
      </c>
      <c r="E132" s="8">
        <f>D132*BIBLE!S179</f>
        <v>1</v>
      </c>
      <c r="F132" s="8">
        <f>D132*BIBLE!T179</f>
        <v>1</v>
      </c>
      <c r="G132" s="8">
        <f>D132*BIBLE!U179</f>
        <v>0</v>
      </c>
      <c r="H132" s="5"/>
    </row>
    <row r="133" spans="1:8" x14ac:dyDescent="0.2">
      <c r="A133" t="str">
        <f>BIBLE!E180</f>
        <v>E20a</v>
      </c>
      <c r="B133" t="str">
        <f>BIBLE!V180</f>
        <v>F: Interférence lien affectif ou symbolique</v>
      </c>
      <c r="C133" s="72" t="str">
        <f>BIBLE!R180</f>
        <v>Confus face aux rôles du nouveau ou de la nouvelle conjoint·e</v>
      </c>
      <c r="D133" s="114">
        <f>BIBLE!Q180</f>
        <v>0</v>
      </c>
      <c r="E133" s="8">
        <f>D133*BIBLE!S180</f>
        <v>0</v>
      </c>
      <c r="F133" s="8">
        <f>D133*BIBLE!T180</f>
        <v>0</v>
      </c>
      <c r="G133" s="8">
        <f>D133*BIBLE!U180</f>
        <v>0</v>
      </c>
      <c r="H133" s="5"/>
    </row>
    <row r="134" spans="1:8" x14ac:dyDescent="0.2">
      <c r="A134" t="str">
        <f>BIBLE!E181</f>
        <v>E21</v>
      </c>
      <c r="B134" t="str">
        <f>BIBLE!V181</f>
        <v>F: Interférence lien affectif ou symbolique</v>
      </c>
      <c r="C134" s="72" t="str">
        <f>BIBLE!R181</f>
        <v>Ne peut transporter ses jouets et vêtements</v>
      </c>
      <c r="D134" s="114">
        <f>BIBLE!Q181</f>
        <v>4</v>
      </c>
      <c r="E134" s="8">
        <f>D134*BIBLE!S181</f>
        <v>4</v>
      </c>
      <c r="F134" s="8">
        <f>D134*BIBLE!T181</f>
        <v>0</v>
      </c>
      <c r="G134" s="8">
        <f>D134*BIBLE!U181</f>
        <v>0</v>
      </c>
      <c r="H134" s="5"/>
    </row>
    <row r="135" spans="1:8" x14ac:dyDescent="0.2">
      <c r="A135" t="str">
        <f>BIBLE!E182</f>
        <v>E21a</v>
      </c>
      <c r="B135" t="str">
        <f>BIBLE!V182</f>
        <v>F: Interférence lien affectif ou symbolique</v>
      </c>
      <c r="C135" s="72" t="str">
        <f>BIBLE!R182</f>
        <v>N'a pas la permission d'apporter ses objets de chez l'autre</v>
      </c>
      <c r="D135" s="114">
        <f>BIBLE!Q182</f>
        <v>14</v>
      </c>
      <c r="E135" s="8">
        <f>D135*BIBLE!S182</f>
        <v>7</v>
      </c>
      <c r="F135" s="8">
        <f>D135*BIBLE!T182</f>
        <v>7</v>
      </c>
      <c r="G135" s="8">
        <f>D135*BIBLE!U182</f>
        <v>0</v>
      </c>
      <c r="H135" s="5"/>
    </row>
    <row r="136" spans="1:8" x14ac:dyDescent="0.2">
      <c r="A136" t="str">
        <f>BIBLE!E183</f>
        <v>E22</v>
      </c>
      <c r="B136" t="str">
        <f>BIBLE!V183</f>
        <v>F: Interférence lien affectif ou symbolique</v>
      </c>
      <c r="C136" s="72" t="str">
        <f>BIBLE!R183</f>
        <v>Connait des informations intimes</v>
      </c>
      <c r="D136" s="114">
        <f>BIBLE!Q183</f>
        <v>8</v>
      </c>
      <c r="E136" s="8">
        <f>D136*BIBLE!S183</f>
        <v>0</v>
      </c>
      <c r="F136" s="8">
        <f>D136*BIBLE!T183</f>
        <v>4</v>
      </c>
      <c r="G136" s="8">
        <f>D136*BIBLE!U183</f>
        <v>4</v>
      </c>
      <c r="H136" s="5"/>
    </row>
    <row r="137" spans="1:8" x14ac:dyDescent="0.2">
      <c r="A137" t="str">
        <f>BIBLE!E184</f>
        <v>E22a</v>
      </c>
      <c r="B137" t="str">
        <f>BIBLE!V184</f>
        <v>F: Interférence lien affectif ou symbolique</v>
      </c>
      <c r="C137" s="72" t="str">
        <f>BIBLE!R184</f>
        <v>Déforme les souvenirs</v>
      </c>
      <c r="D137" s="114">
        <f>BIBLE!Q184</f>
        <v>12</v>
      </c>
      <c r="E137" s="8">
        <f>D137*BIBLE!S184</f>
        <v>0</v>
      </c>
      <c r="F137" s="8">
        <f>D137*BIBLE!T184</f>
        <v>12</v>
      </c>
      <c r="G137" s="8">
        <f>D137*BIBLE!U184</f>
        <v>0</v>
      </c>
      <c r="H137" s="5"/>
    </row>
    <row r="138" spans="1:8" x14ac:dyDescent="0.2">
      <c r="A138" t="str">
        <f>BIBLE!E185</f>
        <v>E17</v>
      </c>
      <c r="B138" t="str">
        <f>BIBLE!V185</f>
        <v>G: Parentification</v>
      </c>
      <c r="C138" s="72" t="str">
        <f>BIBLE!R185</f>
        <v>Messager de la logistique familiale</v>
      </c>
      <c r="D138" s="114">
        <f>BIBLE!Q185</f>
        <v>7</v>
      </c>
      <c r="E138" s="8">
        <f>D138*BIBLE!S185</f>
        <v>7</v>
      </c>
      <c r="F138" s="8">
        <f>D138*BIBLE!T185</f>
        <v>0</v>
      </c>
      <c r="G138" s="8">
        <f>D138*BIBLE!U185</f>
        <v>0</v>
      </c>
      <c r="H138" s="5"/>
    </row>
    <row r="139" spans="1:8" x14ac:dyDescent="0.2">
      <c r="A139" t="str">
        <f>BIBLE!E186</f>
        <v>E23</v>
      </c>
      <c r="B139" t="str">
        <f>BIBLE!V186</f>
        <v>G: Parentification</v>
      </c>
      <c r="C139" s="72" t="str">
        <f>BIBLE!R186</f>
        <v>Se sent responsable du bonheur du parent</v>
      </c>
      <c r="D139" s="114">
        <f>BIBLE!Q186</f>
        <v>2</v>
      </c>
      <c r="E139" s="8">
        <f>D139*BIBLE!S186</f>
        <v>0</v>
      </c>
      <c r="F139" s="8">
        <f>D139*BIBLE!T186</f>
        <v>2</v>
      </c>
      <c r="G139" s="8">
        <f>D139*BIBLE!U186</f>
        <v>0</v>
      </c>
      <c r="H139" s="5"/>
    </row>
    <row r="140" spans="1:8" x14ac:dyDescent="0.2">
      <c r="A140" t="str">
        <f>BIBLE!E187</f>
        <v>E24</v>
      </c>
      <c r="B140" t="str">
        <f>BIBLE!V187</f>
        <v>G: Parentification</v>
      </c>
      <c r="C140" s="72" t="str">
        <f>BIBLE!R187</f>
        <v>Est informé sur les enjeux juridiques et autres de la famille</v>
      </c>
      <c r="D140" s="114">
        <f>BIBLE!Q187</f>
        <v>14</v>
      </c>
      <c r="E140" s="8">
        <f>D140*BIBLE!S187</f>
        <v>14</v>
      </c>
      <c r="F140" s="8">
        <f>D140*BIBLE!T187</f>
        <v>0</v>
      </c>
      <c r="G140" s="8">
        <f>D140*BIBLE!U187</f>
        <v>0</v>
      </c>
      <c r="H140" s="5"/>
    </row>
    <row r="141" spans="1:8" x14ac:dyDescent="0.2">
      <c r="A141" t="str">
        <f>BIBLE!E188</f>
        <v>E25</v>
      </c>
      <c r="B141" t="str">
        <f>BIBLE!V188</f>
        <v>G: Parentification</v>
      </c>
      <c r="C141" s="72" t="str">
        <f>BIBLE!R188</f>
        <v>Sent le besoin de protéger l'autre parent</v>
      </c>
      <c r="D141" s="114">
        <f>BIBLE!Q188</f>
        <v>14</v>
      </c>
      <c r="E141" s="8">
        <f>D141*BIBLE!S188</f>
        <v>7</v>
      </c>
      <c r="F141" s="8">
        <f>D141*BIBLE!T188</f>
        <v>7</v>
      </c>
      <c r="G141" s="8">
        <f>D141*BIBLE!U188</f>
        <v>0</v>
      </c>
      <c r="H141" s="5"/>
    </row>
    <row r="142" spans="1:8" x14ac:dyDescent="0.2">
      <c r="A142" t="str">
        <f>BIBLE!E189</f>
        <v>E26</v>
      </c>
      <c r="B142" t="str">
        <f>BIBLE!V189</f>
        <v>H: Rôle actif, Réponse au CC, r</v>
      </c>
      <c r="C142" s="72" t="str">
        <f>BIBLE!R189</f>
        <v>Change d'attitude en présence des deux parents</v>
      </c>
      <c r="D142" s="114">
        <f>BIBLE!Q189</f>
        <v>8</v>
      </c>
      <c r="E142" s="8">
        <f>D142*BIBLE!S189</f>
        <v>4</v>
      </c>
      <c r="F142" s="8">
        <f>D142*BIBLE!T189</f>
        <v>4</v>
      </c>
      <c r="G142" s="8">
        <f>D142*BIBLE!U189</f>
        <v>0</v>
      </c>
      <c r="H142" s="5"/>
    </row>
    <row r="143" spans="1:8" x14ac:dyDescent="0.2">
      <c r="A143" t="str">
        <f>BIBLE!E190</f>
        <v>E12</v>
      </c>
      <c r="B143" t="str">
        <f>BIBLE!V190</f>
        <v>D: Dénigrement</v>
      </c>
      <c r="C143" s="72" t="str">
        <f>BIBLE!R190</f>
        <v>Dénigre les compétences parentales</v>
      </c>
      <c r="D143" s="114">
        <f>BIBLE!Q190</f>
        <v>0</v>
      </c>
      <c r="E143" s="8">
        <f>D143*BIBLE!S190</f>
        <v>0</v>
      </c>
      <c r="F143" s="8">
        <f>D143*BIBLE!T190</f>
        <v>0</v>
      </c>
      <c r="G143" s="8">
        <f>D143*BIBLE!U190</f>
        <v>0</v>
      </c>
      <c r="H143" s="5"/>
    </row>
    <row r="144" spans="1:8" x14ac:dyDescent="0.2">
      <c r="A144" t="str">
        <f>BIBLE!E191</f>
        <v>E27</v>
      </c>
      <c r="B144" t="str">
        <f>BIBLE!V191</f>
        <v>H: Rôle actif, Réponse au CC, r</v>
      </c>
      <c r="C144" s="72" t="str">
        <f>BIBLE!R191</f>
        <v>Change de comportement à son retour de garde</v>
      </c>
      <c r="D144" s="114">
        <f>BIBLE!Q191</f>
        <v>8</v>
      </c>
      <c r="E144" s="8">
        <f>D144*BIBLE!S191</f>
        <v>8</v>
      </c>
      <c r="F144" s="8">
        <f>D144*BIBLE!T191</f>
        <v>0</v>
      </c>
      <c r="G144" s="8">
        <f>D144*BIBLE!U191</f>
        <v>0</v>
      </c>
      <c r="H144" s="5"/>
    </row>
    <row r="145" spans="1:8" x14ac:dyDescent="0.2">
      <c r="A145" t="str">
        <f>BIBLE!E193</f>
        <v>E27a1</v>
      </c>
      <c r="B145" t="str">
        <f>BIBLE!V193</f>
        <v>H: Rôle actif, Réponse au CC, r</v>
      </c>
      <c r="C145" s="72" t="str">
        <f>BIBLE!R193</f>
        <v>Questionne et fait des reproches sur les décisions passées</v>
      </c>
      <c r="D145" s="114">
        <f>BIBLE!Q193</f>
        <v>0</v>
      </c>
      <c r="E145" s="8">
        <f>D145*BIBLE!S193</f>
        <v>0</v>
      </c>
      <c r="F145" s="8">
        <f>D145*BIBLE!T193</f>
        <v>0</v>
      </c>
      <c r="G145" s="8">
        <f>D145*BIBLE!U193</f>
        <v>0</v>
      </c>
      <c r="H145" s="5"/>
    </row>
    <row r="146" spans="1:8" x14ac:dyDescent="0.2">
      <c r="A146" t="str">
        <f>BIBLE!E194</f>
        <v>E28</v>
      </c>
      <c r="B146" t="str">
        <f>BIBLE!V194</f>
        <v>H: Rôle actif, Réponse au CC, r</v>
      </c>
      <c r="C146" s="72" t="str">
        <f>BIBLE!R194</f>
        <v>Se cache pour appeler</v>
      </c>
      <c r="D146" s="114">
        <f>BIBLE!Q194</f>
        <v>8</v>
      </c>
      <c r="E146" s="8">
        <f>D146*BIBLE!S194</f>
        <v>8</v>
      </c>
      <c r="F146" s="8">
        <f>D146*BIBLE!T194</f>
        <v>0</v>
      </c>
      <c r="G146" s="8">
        <f>D146*BIBLE!U194</f>
        <v>0</v>
      </c>
      <c r="H146" s="5"/>
    </row>
    <row r="147" spans="1:8" x14ac:dyDescent="0.2">
      <c r="A147" t="str">
        <f>BIBLE!E195</f>
        <v>E29</v>
      </c>
      <c r="B147" t="str">
        <f>BIBLE!V195</f>
        <v>H: Rôle actif, Réponse au CC, r</v>
      </c>
      <c r="C147" s="72" t="str">
        <f>BIBLE!R195</f>
        <v>Change ses champs d'intérêts</v>
      </c>
      <c r="D147" s="114">
        <f>BIBLE!Q195</f>
        <v>8</v>
      </c>
      <c r="E147" s="8">
        <f>D147*BIBLE!S195</f>
        <v>8</v>
      </c>
      <c r="F147" s="8">
        <f>D147*BIBLE!T195</f>
        <v>0</v>
      </c>
      <c r="G147" s="8">
        <f>D147*BIBLE!U195</f>
        <v>0</v>
      </c>
      <c r="H147" s="5"/>
    </row>
    <row r="148" spans="1:8" x14ac:dyDescent="0.2">
      <c r="A148" t="str">
        <f>BIBLE!E196</f>
        <v>E29a</v>
      </c>
      <c r="B148" t="str">
        <f>BIBLE!V196</f>
        <v>H: Rôle actif, Réponse au CC, r</v>
      </c>
      <c r="C148" s="72" t="str">
        <f>BIBLE!R196</f>
        <v>Rejette vos valeurs et intérêts</v>
      </c>
      <c r="D148" s="114">
        <f>BIBLE!Q196</f>
        <v>21</v>
      </c>
      <c r="E148" s="8">
        <f>D148*BIBLE!S196</f>
        <v>21</v>
      </c>
      <c r="F148" s="8">
        <f>D148*BIBLE!T196</f>
        <v>0</v>
      </c>
      <c r="G148" s="8">
        <f>D148*BIBLE!U196</f>
        <v>0</v>
      </c>
    </row>
    <row r="149" spans="1:8" x14ac:dyDescent="0.2">
      <c r="A149" t="str">
        <f>BIBLE!E197</f>
        <v>E30</v>
      </c>
      <c r="B149" t="str">
        <f>BIBLE!V197</f>
        <v>H: Rôle actif, Réponse au CC, r</v>
      </c>
      <c r="C149" s="72" t="str">
        <f>BIBLE!R197</f>
        <v>Réclame le droit de choisir</v>
      </c>
      <c r="D149" s="114">
        <f>BIBLE!Q197</f>
        <v>0</v>
      </c>
      <c r="E149" s="8">
        <f>D149*BIBLE!S197</f>
        <v>0</v>
      </c>
      <c r="F149" s="8">
        <f>D149*BIBLE!T197</f>
        <v>0</v>
      </c>
      <c r="G149" s="8">
        <f>D149*BIBLE!U197</f>
        <v>0</v>
      </c>
    </row>
    <row r="150" spans="1:8" x14ac:dyDescent="0.2">
      <c r="A150" t="str">
        <f>BIBLE!E198</f>
        <v>E32</v>
      </c>
      <c r="B150" t="str">
        <f>BIBLE!V198</f>
        <v>H: Rôle actif, Réponse au CC, r</v>
      </c>
      <c r="C150" s="72" t="str">
        <f>BIBLE!R198</f>
        <v>Accuse de mentir</v>
      </c>
      <c r="D150" s="114">
        <f>BIBLE!Q198</f>
        <v>0</v>
      </c>
      <c r="E150" s="8">
        <f>D150*BIBLE!S198</f>
        <v>0</v>
      </c>
      <c r="F150" s="8">
        <f>D150*BIBLE!T198</f>
        <v>0</v>
      </c>
      <c r="G150" s="8">
        <f>D150*BIBLE!U198</f>
        <v>0</v>
      </c>
    </row>
    <row r="151" spans="1:8" x14ac:dyDescent="0.2">
      <c r="A151" t="str">
        <f>BIBLE!E199</f>
        <v>E33</v>
      </c>
      <c r="B151" t="str">
        <f>BIBLE!V199</f>
        <v>H: Rôle actif, Réponse au CC, r</v>
      </c>
      <c r="C151" s="72" t="str">
        <f>BIBLE!R199</f>
        <v>Reproche de manque de respect de ses désirs</v>
      </c>
      <c r="D151" s="114">
        <f>BIBLE!Q199</f>
        <v>0</v>
      </c>
      <c r="E151" s="8">
        <f>D151*BIBLE!S199</f>
        <v>0</v>
      </c>
      <c r="F151" s="8">
        <f>D151*BIBLE!T199</f>
        <v>0</v>
      </c>
      <c r="G151" s="8">
        <f>D151*BIBLE!U199</f>
        <v>0</v>
      </c>
    </row>
    <row r="152" spans="1:8" x14ac:dyDescent="0.2">
      <c r="A152" t="str">
        <f>BIBLE!E200</f>
        <v>E33a</v>
      </c>
      <c r="B152" t="str">
        <f>BIBLE!V200</f>
        <v>H: Rôle actif, Réponse au CC, r</v>
      </c>
      <c r="C152" s="72" t="str">
        <f>BIBLE!R200</f>
        <v>Demande un changement de garde</v>
      </c>
      <c r="D152" s="114">
        <f>BIBLE!Q200</f>
        <v>0</v>
      </c>
      <c r="E152" s="8">
        <f>D152*BIBLE!S200</f>
        <v>0</v>
      </c>
      <c r="F152" s="8">
        <f>D152*BIBLE!T200</f>
        <v>0</v>
      </c>
      <c r="G152" s="8">
        <f>D152*BIBLE!U200</f>
        <v>0</v>
      </c>
    </row>
    <row r="153" spans="1:8" x14ac:dyDescent="0.2">
      <c r="A153" t="str">
        <f>BIBLE!E201</f>
        <v>E33b</v>
      </c>
      <c r="B153" t="str">
        <f>BIBLE!V201</f>
        <v>H: Rôle actif, Réponse au CC, r</v>
      </c>
      <c r="C153" s="72" t="str">
        <f>BIBLE!R201</f>
        <v>Soulève qu'à 12 ans il pourra choisir sa garde</v>
      </c>
      <c r="D153" s="114">
        <f>BIBLE!Q201</f>
        <v>0</v>
      </c>
      <c r="E153" s="8">
        <f>D153*BIBLE!S201</f>
        <v>0</v>
      </c>
      <c r="F153" s="8">
        <f>D153*BIBLE!T201</f>
        <v>0</v>
      </c>
      <c r="G153" s="8">
        <f>D153*BIBLE!U201</f>
        <v>0</v>
      </c>
    </row>
    <row r="154" spans="1:8" x14ac:dyDescent="0.2">
      <c r="A154" t="str">
        <f>BIBLE!E202</f>
        <v>E34</v>
      </c>
      <c r="B154" t="str">
        <f>BIBLE!V202</f>
        <v>H: Rôle actif, Réponse au CC, r</v>
      </c>
      <c r="C154" s="72" t="str">
        <f>BIBLE!R202</f>
        <v>Bloque les communications</v>
      </c>
      <c r="D154" s="114">
        <f>BIBLE!Q202</f>
        <v>6</v>
      </c>
      <c r="E154" s="8">
        <f>D154*BIBLE!S202</f>
        <v>6</v>
      </c>
      <c r="F154" s="8">
        <f>D154*BIBLE!T202</f>
        <v>0</v>
      </c>
      <c r="G154" s="8">
        <f>D154*BIBLE!U202</f>
        <v>0</v>
      </c>
    </row>
    <row r="155" spans="1:8" x14ac:dyDescent="0.2">
      <c r="A155" t="str">
        <f>BIBLE!E204</f>
        <v>E35a</v>
      </c>
      <c r="B155" t="str">
        <f>BIBLE!V204</f>
        <v>H: Rôle actif, Réponse au CC, r</v>
      </c>
      <c r="C155" s="72" t="str">
        <f>BIBLE!R204</f>
        <v>Refuse les contacts avec la famille élargie</v>
      </c>
      <c r="D155" s="114">
        <f>BIBLE!Q204</f>
        <v>2</v>
      </c>
      <c r="E155" s="8">
        <f>D155*BIBLE!S204</f>
        <v>2</v>
      </c>
      <c r="F155" s="8">
        <f>D155*BIBLE!T204</f>
        <v>0</v>
      </c>
      <c r="G155" s="8">
        <f>D155*BIBLE!U204</f>
        <v>0</v>
      </c>
    </row>
    <row r="156" spans="1:8" x14ac:dyDescent="0.2">
      <c r="A156" t="str">
        <f>BIBLE!E209</f>
        <v>E37</v>
      </c>
      <c r="B156" t="str">
        <f>BIBLE!V209</f>
        <v>H: Rôle actif, Réponse au CC, r</v>
      </c>
      <c r="C156" s="72" t="str">
        <f>BIBLE!R209</f>
        <v>Changement de comportement au moment de retourner chez l'autre</v>
      </c>
      <c r="D156" s="114">
        <f>BIBLE!Q209</f>
        <v>6</v>
      </c>
      <c r="E156" s="8">
        <f>D156*BIBLE!S209</f>
        <v>6</v>
      </c>
      <c r="F156" s="8">
        <f>D156*BIBLE!T209</f>
        <v>0</v>
      </c>
      <c r="G156" s="8">
        <f>D156*BIBLE!U209</f>
        <v>0</v>
      </c>
    </row>
    <row r="157" spans="1:8" x14ac:dyDescent="0.2">
      <c r="D157" s="6"/>
      <c r="E157" s="6">
        <f t="shared" ref="E157:G157" si="8">SUM(E109:E156)</f>
        <v>176.5</v>
      </c>
      <c r="F157" s="6">
        <f t="shared" si="8"/>
        <v>98.5</v>
      </c>
      <c r="G157" s="6">
        <f t="shared" si="8"/>
        <v>24</v>
      </c>
    </row>
    <row r="158" spans="1:8" x14ac:dyDescent="0.2">
      <c r="C158" s="10" t="s">
        <v>2069</v>
      </c>
      <c r="D158" s="14"/>
      <c r="E158" s="975">
        <f>Test_Bible!AH380</f>
        <v>151</v>
      </c>
      <c r="F158" s="975">
        <f>Test_Bible!AI380</f>
        <v>84</v>
      </c>
      <c r="G158" s="975">
        <f>Test_Bible!AJ380</f>
        <v>11</v>
      </c>
    </row>
  </sheetData>
  <mergeCells count="1">
    <mergeCell ref="E107:G107"/>
  </mergeCells>
  <phoneticPr fontId="11" type="noConversion"/>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F33-A0BC-8E4A-B7BD-F33A9564A3ED}">
  <dimension ref="A1:AO130"/>
  <sheetViews>
    <sheetView topLeftCell="A101" workbookViewId="0">
      <selection activeCell="V107" sqref="V107"/>
    </sheetView>
    <sheetView workbookViewId="1"/>
  </sheetViews>
  <sheetFormatPr baseColWidth="10" defaultRowHeight="16" x14ac:dyDescent="0.2"/>
  <cols>
    <col min="1" max="1" width="16.1640625" customWidth="1"/>
    <col min="2" max="2" width="7.5" customWidth="1"/>
    <col min="3" max="3" width="9" customWidth="1"/>
    <col min="4" max="4" width="7.5" customWidth="1"/>
    <col min="5" max="5" width="9.5" bestFit="1" customWidth="1"/>
    <col min="6" max="6" width="5.83203125" bestFit="1" customWidth="1"/>
    <col min="7" max="17" width="15.1640625" customWidth="1"/>
    <col min="18" max="18" width="5.5" customWidth="1"/>
    <col min="19" max="19" width="14" customWidth="1"/>
    <col min="20" max="20" width="25.6640625" customWidth="1"/>
    <col min="21" max="21" width="14" customWidth="1"/>
    <col min="22" max="23" width="25" customWidth="1"/>
    <col min="26" max="26" width="26.1640625" customWidth="1"/>
    <col min="27" max="32" width="22.6640625" customWidth="1"/>
  </cols>
  <sheetData>
    <row r="1" spans="1:32" ht="29" x14ac:dyDescent="0.35">
      <c r="A1" s="467" t="s">
        <v>377</v>
      </c>
      <c r="B1" s="467"/>
      <c r="C1" s="467"/>
      <c r="D1" s="467"/>
    </row>
    <row r="2" spans="1:32" ht="29" x14ac:dyDescent="0.35">
      <c r="A2" s="467"/>
      <c r="B2" s="467"/>
      <c r="C2" s="467"/>
      <c r="D2" s="467"/>
    </row>
    <row r="3" spans="1:32" ht="29" x14ac:dyDescent="0.35">
      <c r="A3" s="870" t="s">
        <v>851</v>
      </c>
      <c r="B3" s="467"/>
      <c r="C3" s="467"/>
      <c r="D3" s="467"/>
      <c r="O3" s="881" t="s">
        <v>855</v>
      </c>
      <c r="AA3" s="2180" t="s">
        <v>1894</v>
      </c>
      <c r="AB3" s="2180"/>
      <c r="AC3" s="2180"/>
      <c r="AD3" s="2180"/>
      <c r="AE3" s="2180"/>
      <c r="AF3" s="2180"/>
    </row>
    <row r="4" spans="1:32" ht="14" customHeight="1" x14ac:dyDescent="0.35">
      <c r="A4" s="467"/>
      <c r="B4" s="467"/>
      <c r="C4" s="467"/>
      <c r="D4" s="467"/>
    </row>
    <row r="5" spans="1:32" ht="21" x14ac:dyDescent="0.25">
      <c r="A5" s="48" t="s">
        <v>380</v>
      </c>
      <c r="B5" s="48"/>
      <c r="C5" s="48"/>
      <c r="D5" s="48"/>
      <c r="O5" s="48" t="s">
        <v>999</v>
      </c>
      <c r="U5" s="3" t="s">
        <v>1888</v>
      </c>
      <c r="Z5" s="445" t="s">
        <v>18</v>
      </c>
      <c r="AA5" t="s">
        <v>488</v>
      </c>
      <c r="AC5" t="s">
        <v>487</v>
      </c>
      <c r="AE5" t="s">
        <v>247</v>
      </c>
    </row>
    <row r="6" spans="1:32" x14ac:dyDescent="0.2">
      <c r="A6" t="s">
        <v>285</v>
      </c>
      <c r="Z6" s="465" t="s">
        <v>345</v>
      </c>
    </row>
    <row r="7" spans="1:32" ht="18" customHeight="1" x14ac:dyDescent="0.25">
      <c r="G7" s="117"/>
      <c r="H7" s="117"/>
      <c r="I7" s="117"/>
      <c r="J7" s="445"/>
      <c r="U7" s="465" t="s">
        <v>345</v>
      </c>
      <c r="V7" s="1492">
        <f>Test_Bible!AK433</f>
        <v>3.7135278514588858E-2</v>
      </c>
    </row>
    <row r="8" spans="1:32" ht="30" customHeight="1" x14ac:dyDescent="0.25">
      <c r="E8" s="868" t="s">
        <v>371</v>
      </c>
      <c r="F8" s="867"/>
      <c r="G8" s="74"/>
      <c r="H8" s="74"/>
      <c r="I8" s="2242" t="s">
        <v>381</v>
      </c>
      <c r="J8" s="2242"/>
      <c r="K8" s="74"/>
      <c r="L8" s="869"/>
      <c r="M8" s="445"/>
      <c r="N8" s="103"/>
      <c r="U8" s="465" t="s">
        <v>383</v>
      </c>
      <c r="V8" s="1492">
        <f>Test_Bible!AL433</f>
        <v>8.7533156498673742E-2</v>
      </c>
    </row>
    <row r="9" spans="1:32" x14ac:dyDescent="0.2">
      <c r="A9" t="s">
        <v>376</v>
      </c>
      <c r="E9" s="114">
        <f>Test_Bible!V259</f>
        <v>246</v>
      </c>
      <c r="F9" s="508"/>
      <c r="G9" s="1594" t="s">
        <v>574</v>
      </c>
      <c r="J9" s="1594" t="s">
        <v>574</v>
      </c>
      <c r="U9" s="465" t="s">
        <v>384</v>
      </c>
      <c r="V9" s="1492">
        <f>Test_Bible!AM433</f>
        <v>0.10344827586206896</v>
      </c>
    </row>
    <row r="10" spans="1:32" x14ac:dyDescent="0.2">
      <c r="A10" s="497" t="s">
        <v>406</v>
      </c>
      <c r="B10" s="72">
        <f>Test_Bible!X259</f>
        <v>0</v>
      </c>
      <c r="C10" s="72">
        <f>Test_Bible!Y259</f>
        <v>57</v>
      </c>
      <c r="D10" s="72">
        <f>Test_Bible!Z259</f>
        <v>114</v>
      </c>
      <c r="E10" s="72">
        <f>Test_Bible!AA259</f>
        <v>228</v>
      </c>
      <c r="F10" s="72">
        <f>Test_Bible!AB259</f>
        <v>399</v>
      </c>
      <c r="G10" s="1595">
        <f>Test_Bible!AC259</f>
        <v>570</v>
      </c>
      <c r="I10" s="114">
        <f>Test_Bible!V427</f>
        <v>83</v>
      </c>
      <c r="J10" s="1595">
        <f>Test_Bible!AC427</f>
        <v>200</v>
      </c>
      <c r="U10" s="453" t="s">
        <v>346</v>
      </c>
      <c r="V10" s="1492">
        <f>Test_Bible!AN433</f>
        <v>0.15649867374005305</v>
      </c>
    </row>
    <row r="11" spans="1:32" x14ac:dyDescent="0.2">
      <c r="A11" s="497"/>
      <c r="B11" s="72"/>
      <c r="C11" s="1596"/>
      <c r="D11" s="1596">
        <f>C10+(D10-C10)/2</f>
        <v>85.5</v>
      </c>
      <c r="E11" s="1596">
        <f>D10+(E10-D10)/2</f>
        <v>171</v>
      </c>
      <c r="F11" s="1596">
        <f>E10+(F10-E10)/2</f>
        <v>313.5</v>
      </c>
      <c r="G11" s="1596">
        <f>F10+(G10-F10)/2</f>
        <v>484.5</v>
      </c>
      <c r="I11" s="114"/>
      <c r="J11" s="1595"/>
      <c r="U11" s="453" t="s">
        <v>385</v>
      </c>
      <c r="V11" s="1492">
        <f>Test_Bible!AO433</f>
        <v>0.20954907161803712</v>
      </c>
    </row>
    <row r="12" spans="1:32" x14ac:dyDescent="0.2">
      <c r="A12" s="497"/>
      <c r="B12" s="72"/>
      <c r="C12" s="75"/>
      <c r="D12" s="1597" t="s">
        <v>1357</v>
      </c>
      <c r="E12" s="1597" t="s">
        <v>26</v>
      </c>
      <c r="F12" s="1597" t="s">
        <v>27</v>
      </c>
      <c r="G12" s="1597" t="s">
        <v>1358</v>
      </c>
      <c r="I12" s="114"/>
      <c r="U12" s="453" t="s">
        <v>386</v>
      </c>
      <c r="V12" s="1492">
        <f>Test_Bible!AP433</f>
        <v>0.21485411140583555</v>
      </c>
    </row>
    <row r="13" spans="1:32" x14ac:dyDescent="0.2">
      <c r="U13" s="453" t="s">
        <v>347</v>
      </c>
      <c r="V13" s="1492">
        <f>Test_Bible!AQ433</f>
        <v>0.10610079575596817</v>
      </c>
    </row>
    <row r="14" spans="1:32" ht="27" customHeight="1" x14ac:dyDescent="0.25">
      <c r="L14" s="1127"/>
      <c r="U14" s="453" t="s">
        <v>387</v>
      </c>
      <c r="V14" s="1492">
        <f>Test_Bible!AR433</f>
        <v>8.4880636604774531E-2</v>
      </c>
      <c r="Z14" s="465" t="s">
        <v>383</v>
      </c>
    </row>
    <row r="15" spans="1:32" ht="27" customHeight="1" x14ac:dyDescent="0.2">
      <c r="I15" s="504" t="str">
        <f>IF(AND(Test_Bible!$V$427&lt;=Test_Bible!$AC$427,Test_Bible!$V$427&gt;Test_Bible!$AB$427),Test_Bible!AC428,"")</f>
        <v/>
      </c>
      <c r="L15" s="13"/>
      <c r="Z15" s="465" t="s">
        <v>384</v>
      </c>
    </row>
    <row r="16" spans="1:32" ht="27" customHeight="1" x14ac:dyDescent="0.2">
      <c r="I16" s="494" t="str">
        <f>IF(AND(Test_Bible!$V$427&lt;=Test_Bible!$AB$427,Test_Bible!$V$427&gt;Test_Bible!$AA$427),Test_Bible!AB428,"")</f>
        <v>Modéré à sévère</v>
      </c>
      <c r="L16" s="13"/>
      <c r="Z16" s="453" t="s">
        <v>346</v>
      </c>
    </row>
    <row r="17" spans="1:41" ht="27" customHeight="1" x14ac:dyDescent="0.2">
      <c r="I17" s="116" t="str">
        <f>IF(AND(Test_Bible!$V$427&lt;=Test_Bible!$AA$427,Test_Bible!$V$427&gt;Test_Bible!$Z$427),Test_Bible!AA428,"")</f>
        <v/>
      </c>
      <c r="L17" s="13"/>
      <c r="Z17" s="453" t="s">
        <v>385</v>
      </c>
    </row>
    <row r="18" spans="1:41" ht="27" customHeight="1" x14ac:dyDescent="0.2">
      <c r="I18" s="495" t="str">
        <f>IF(AND(Test_Bible!$V$427&lt;=Test_Bible!$Z$427,Test_Bible!$V$427&gt;Test_Bible!$Y$427),Test_Bible!Z428,"")</f>
        <v/>
      </c>
      <c r="L18" s="13"/>
      <c r="Z18" s="453" t="s">
        <v>386</v>
      </c>
    </row>
    <row r="19" spans="1:41" ht="27" customHeight="1" x14ac:dyDescent="0.25">
      <c r="I19" s="496" t="str">
        <f>IF(AND(Test_Bible!$V$427&lt;=Test_Bible!$Y$427,Test_Bible!$V$427&lt;&gt;0),Test_Bible!Y428,"")</f>
        <v/>
      </c>
      <c r="L19" s="13"/>
      <c r="V19" s="117"/>
      <c r="W19" s="117" t="s">
        <v>382</v>
      </c>
      <c r="X19" s="444"/>
      <c r="Z19" s="453" t="s">
        <v>347</v>
      </c>
    </row>
    <row r="20" spans="1:41" ht="27" customHeight="1" x14ac:dyDescent="0.2">
      <c r="I20" s="106"/>
      <c r="L20" s="13"/>
      <c r="V20" s="441" t="s">
        <v>29</v>
      </c>
      <c r="W20" s="442" t="s">
        <v>30</v>
      </c>
      <c r="X20" s="443" t="s">
        <v>31</v>
      </c>
      <c r="Z20" s="453" t="s">
        <v>387</v>
      </c>
      <c r="AM20" s="2026"/>
      <c r="AN20" s="2026"/>
      <c r="AO20" s="2026"/>
    </row>
    <row r="21" spans="1:41" x14ac:dyDescent="0.2">
      <c r="U21" t="s">
        <v>1216</v>
      </c>
      <c r="V21" s="88">
        <f>Test_Bible!AH433</f>
        <v>0.54581818181818176</v>
      </c>
      <c r="W21" s="88">
        <f>Test_Bible!AI433</f>
        <v>0.23563636363636364</v>
      </c>
      <c r="X21" s="88">
        <f>Test_Bible!AJ433</f>
        <v>0.21854545454545454</v>
      </c>
      <c r="AM21" s="166"/>
      <c r="AN21" s="166"/>
      <c r="AO21" s="166"/>
    </row>
    <row r="22" spans="1:41" x14ac:dyDescent="0.2">
      <c r="AM22" s="166"/>
      <c r="AN22" s="166"/>
      <c r="AO22" s="166"/>
    </row>
    <row r="23" spans="1:41" ht="24" x14ac:dyDescent="0.3">
      <c r="A23" s="1592" t="s">
        <v>1223</v>
      </c>
      <c r="B23" s="59"/>
      <c r="C23" s="59"/>
      <c r="D23" s="50" t="str">
        <f>'Indice D''exclusion'!I51</f>
        <v>Aucun signe</v>
      </c>
    </row>
    <row r="24" spans="1:41" ht="19" x14ac:dyDescent="0.25">
      <c r="U24" s="445"/>
      <c r="V24" s="117"/>
      <c r="W24" s="117" t="s">
        <v>372</v>
      </c>
      <c r="X24" s="444"/>
    </row>
    <row r="25" spans="1:41" ht="24" x14ac:dyDescent="0.3">
      <c r="A25" s="1592" t="s">
        <v>1348</v>
      </c>
      <c r="B25" s="1592"/>
      <c r="C25" s="1592"/>
      <c r="D25" s="50" t="str">
        <f>Contexte!E26</f>
        <v>Risque modéré</v>
      </c>
      <c r="V25" s="441" t="s">
        <v>29</v>
      </c>
      <c r="W25" s="442" t="s">
        <v>30</v>
      </c>
      <c r="X25" s="443" t="s">
        <v>31</v>
      </c>
    </row>
    <row r="26" spans="1:41" x14ac:dyDescent="0.2">
      <c r="U26" t="s">
        <v>344</v>
      </c>
      <c r="V26" s="446">
        <f>Test_Bible!AH458</f>
        <v>0.61382113821138207</v>
      </c>
      <c r="W26" s="446">
        <f>Test_Bible!AI458</f>
        <v>0.34146341463414637</v>
      </c>
      <c r="X26" s="446">
        <f>Test_Bible!AJ458</f>
        <v>4.4715447154471545E-2</v>
      </c>
    </row>
    <row r="28" spans="1:41" x14ac:dyDescent="0.2">
      <c r="U28" t="s">
        <v>373</v>
      </c>
    </row>
    <row r="29" spans="1:41" x14ac:dyDescent="0.2">
      <c r="U29" t="s">
        <v>374</v>
      </c>
    </row>
    <row r="30" spans="1:41" x14ac:dyDescent="0.2">
      <c r="U30" t="s">
        <v>375</v>
      </c>
    </row>
    <row r="31" spans="1:41" ht="21" x14ac:dyDescent="0.25">
      <c r="A31" s="48" t="s">
        <v>348</v>
      </c>
      <c r="B31" s="48"/>
      <c r="C31" s="48"/>
      <c r="D31" s="48"/>
      <c r="O31" s="48" t="s">
        <v>854</v>
      </c>
    </row>
    <row r="32" spans="1:41" ht="24" x14ac:dyDescent="0.3">
      <c r="A32" s="50"/>
      <c r="B32" s="50"/>
      <c r="C32" s="50"/>
      <c r="D32" s="50"/>
    </row>
    <row r="33" spans="1:22" ht="24" x14ac:dyDescent="0.3">
      <c r="A33" s="50"/>
      <c r="B33" s="50"/>
      <c r="C33" s="50"/>
      <c r="D33" s="50"/>
      <c r="E33" s="117" t="s">
        <v>371</v>
      </c>
      <c r="F33" s="117"/>
      <c r="G33" s="117"/>
      <c r="H33" s="117"/>
      <c r="I33" s="117"/>
    </row>
    <row r="34" spans="1:22" x14ac:dyDescent="0.2">
      <c r="A34" t="s">
        <v>376</v>
      </c>
      <c r="E34" s="114">
        <f>Test_Bible!V380</f>
        <v>260</v>
      </c>
      <c r="F34" s="508">
        <f>E34/(G35)</f>
        <v>0.48148148148148145</v>
      </c>
    </row>
    <row r="35" spans="1:22" x14ac:dyDescent="0.2">
      <c r="A35" s="497" t="s">
        <v>406</v>
      </c>
      <c r="B35" s="72">
        <f>Test_Bible!X380</f>
        <v>0</v>
      </c>
      <c r="C35" s="72">
        <f>Test_Bible!Y380</f>
        <v>54</v>
      </c>
      <c r="D35" s="72">
        <f>Test_Bible!Z380</f>
        <v>108</v>
      </c>
      <c r="E35" s="72">
        <f>Test_Bible!AA380</f>
        <v>216</v>
      </c>
      <c r="F35" s="72">
        <f>Test_Bible!AB380</f>
        <v>378</v>
      </c>
      <c r="G35" s="72">
        <f>Test_Bible!AC380</f>
        <v>540</v>
      </c>
    </row>
    <row r="36" spans="1:22" ht="19" x14ac:dyDescent="0.25">
      <c r="U36" s="466" t="s">
        <v>810</v>
      </c>
    </row>
    <row r="38" spans="1:22" x14ac:dyDescent="0.2">
      <c r="U38" s="465" t="s">
        <v>345</v>
      </c>
      <c r="V38" s="1492">
        <f>Test_Bible!AK458</f>
        <v>0.11382113821138211</v>
      </c>
    </row>
    <row r="39" spans="1:22" x14ac:dyDescent="0.2">
      <c r="U39" s="465" t="s">
        <v>383</v>
      </c>
      <c r="V39" s="1492">
        <f>Test_Bible!AL458</f>
        <v>4.878048780487805E-2</v>
      </c>
    </row>
    <row r="40" spans="1:22" x14ac:dyDescent="0.2">
      <c r="U40" s="465" t="s">
        <v>384</v>
      </c>
      <c r="V40" s="1492">
        <f>Test_Bible!AM458</f>
        <v>4.878048780487805E-2</v>
      </c>
    </row>
    <row r="41" spans="1:22" x14ac:dyDescent="0.2">
      <c r="U41" s="453" t="s">
        <v>346</v>
      </c>
      <c r="V41" s="1492">
        <f>Test_Bible!AN458</f>
        <v>7.3170731707317069E-2</v>
      </c>
    </row>
    <row r="42" spans="1:22" x14ac:dyDescent="0.2">
      <c r="U42" s="453" t="s">
        <v>385</v>
      </c>
      <c r="V42" s="1492">
        <f>Test_Bible!AO458</f>
        <v>0.24390243902439024</v>
      </c>
    </row>
    <row r="43" spans="1:22" x14ac:dyDescent="0.2">
      <c r="U43" s="453" t="s">
        <v>386</v>
      </c>
      <c r="V43" s="1492">
        <f>Test_Bible!AP458</f>
        <v>0.11382113821138211</v>
      </c>
    </row>
    <row r="44" spans="1:22" x14ac:dyDescent="0.2">
      <c r="U44" s="453" t="s">
        <v>347</v>
      </c>
      <c r="V44" s="1492">
        <f>Test_Bible!AQ458</f>
        <v>0.15040650406504066</v>
      </c>
    </row>
    <row r="45" spans="1:22" x14ac:dyDescent="0.2">
      <c r="U45" s="453" t="s">
        <v>387</v>
      </c>
      <c r="V45" s="1492">
        <f>Test_Bible!AR458</f>
        <v>0.2073170731707317</v>
      </c>
    </row>
    <row r="50" spans="1:24" ht="29" x14ac:dyDescent="0.35">
      <c r="A50" s="467"/>
      <c r="B50" s="467"/>
      <c r="C50" s="467"/>
      <c r="D50" s="467"/>
    </row>
    <row r="51" spans="1:24" ht="29" x14ac:dyDescent="0.35">
      <c r="A51" s="870"/>
      <c r="B51" s="467"/>
      <c r="C51" s="467"/>
      <c r="D51" s="467"/>
    </row>
    <row r="52" spans="1:24" ht="40" customHeight="1" x14ac:dyDescent="0.35">
      <c r="A52" s="882" t="s">
        <v>856</v>
      </c>
      <c r="B52" s="467"/>
      <c r="C52" s="467"/>
      <c r="D52" s="467"/>
    </row>
    <row r="53" spans="1:24" ht="19" x14ac:dyDescent="0.2">
      <c r="A53" t="s">
        <v>404</v>
      </c>
      <c r="E53" s="818" t="s">
        <v>809</v>
      </c>
      <c r="G53" s="2243" t="s">
        <v>299</v>
      </c>
      <c r="H53" s="2243"/>
      <c r="I53" s="2243"/>
      <c r="J53" s="2243"/>
      <c r="K53" s="2243"/>
      <c r="M53" s="2244" t="s">
        <v>300</v>
      </c>
      <c r="N53" s="2244"/>
      <c r="O53" s="2244"/>
      <c r="P53" s="2244"/>
      <c r="Q53" s="2244"/>
      <c r="S53" s="2239" t="s">
        <v>301</v>
      </c>
      <c r="T53" s="2239"/>
      <c r="U53" s="2239"/>
      <c r="V53" s="2239"/>
      <c r="W53" s="872"/>
    </row>
    <row r="54" spans="1:24" ht="27" customHeight="1" x14ac:dyDescent="0.2">
      <c r="A54" s="1761" t="str">
        <f>'Modèle Calcul A-R + miroir'!BD4</f>
        <v>Demande de garder des secrets</v>
      </c>
      <c r="B54" s="1761"/>
      <c r="C54" s="1761"/>
      <c r="D54" s="1761"/>
      <c r="E54" s="1762">
        <f>'Modèle Calcul A-R + miroir'!BF4</f>
        <v>34</v>
      </c>
      <c r="F54" s="1763" t="str">
        <f>'Modèle Calcul A-R + miroir'!BE4</f>
        <v>🟥</v>
      </c>
      <c r="G54" s="1764" t="str">
        <f>'Modèle Calcul A-R + miroir'!BG4</f>
        <v>ne doit pas raconter ce qui se passe</v>
      </c>
      <c r="H54" s="1765"/>
      <c r="I54" s="1765"/>
      <c r="J54" s="1765"/>
      <c r="K54" s="1765"/>
      <c r="L54" s="1766" t="str">
        <f>'Modèle Calcul A-R + miroir'!BH4</f>
        <v>🔸</v>
      </c>
      <c r="M54" s="2240" t="str">
        <f>'Modèle Calcul A-R + miroir'!BI4</f>
        <v/>
      </c>
      <c r="N54" s="2240"/>
      <c r="O54" s="2240"/>
      <c r="P54" s="2240"/>
      <c r="Q54" s="2240"/>
      <c r="R54" s="1763" t="str">
        <f>'Modèle Calcul A-R + miroir'!BJ4</f>
        <v>🟢</v>
      </c>
      <c r="S54" s="2240" t="str">
        <f>'Modèle Calcul A-R + miroir'!BK4</f>
        <v/>
      </c>
      <c r="T54" s="2240"/>
      <c r="U54" s="2240"/>
      <c r="V54" s="2240"/>
      <c r="W54" s="873"/>
      <c r="X54" s="873"/>
    </row>
    <row r="55" spans="1:24" ht="38" customHeight="1" x14ac:dyDescent="0.2">
      <c r="A55" s="1767" t="str">
        <f>'Modèle Calcul A-R + miroir'!BD5</f>
        <v>Abandon de la famille</v>
      </c>
      <c r="B55" s="1768"/>
      <c r="C55" s="1768"/>
      <c r="D55" s="1768"/>
      <c r="E55" s="1769">
        <f>'Modèle Calcul A-R + miroir'!BF5</f>
        <v>8</v>
      </c>
      <c r="F55" s="1770" t="str">
        <f>'Modèle Calcul A-R + miroir'!BE5</f>
        <v>🟥</v>
      </c>
      <c r="G55" s="1771" t="str">
        <f>'Modèle Calcul A-R + miroir'!BG5</f>
        <v/>
      </c>
      <c r="H55" s="1772"/>
      <c r="I55" s="1772"/>
      <c r="J55" s="1772"/>
      <c r="K55" s="1772"/>
      <c r="L55" s="1773" t="str">
        <f>'Modèle Calcul A-R + miroir'!BH5</f>
        <v>🔸</v>
      </c>
      <c r="M55" s="2238" t="str">
        <f>'Modèle Calcul A-R + miroir'!BI5</f>
        <v>vous reproche d'avoir abandonné la famille sans signe de la participation du parent favorisé et|ou nouveau conjoint.e</v>
      </c>
      <c r="N55" s="2238"/>
      <c r="O55" s="2238"/>
      <c r="P55" s="2238"/>
      <c r="Q55" s="2238"/>
      <c r="R55" s="1770" t="str">
        <f>'Modèle Calcul A-R + miroir'!BJ5</f>
        <v>🟢</v>
      </c>
      <c r="S55" s="2238" t="str">
        <f>'Modèle Calcul A-R + miroir'!BK5</f>
        <v/>
      </c>
      <c r="T55" s="2238"/>
      <c r="U55" s="2238"/>
      <c r="V55" s="2238"/>
      <c r="W55" s="873"/>
      <c r="X55" s="873"/>
    </row>
    <row r="56" spans="1:24" ht="37" customHeight="1" x14ac:dyDescent="0.2">
      <c r="A56" s="1767" t="str">
        <f>'Modèle Calcul A-R + miroir'!BD6</f>
        <v>Accusation de maladie mentale et dangerosité</v>
      </c>
      <c r="B56" s="1768"/>
      <c r="C56" s="1768"/>
      <c r="D56" s="1768"/>
      <c r="E56" s="1769">
        <f>'Modèle Calcul A-R + miroir'!BF6</f>
        <v>12</v>
      </c>
      <c r="F56" s="1770" t="str">
        <f>'Modèle Calcul A-R + miroir'!BE6</f>
        <v>🟥</v>
      </c>
      <c r="G56" s="1771" t="str">
        <f>'Modèle Calcul A-R + miroir'!BG6</f>
        <v/>
      </c>
      <c r="H56" s="1772"/>
      <c r="I56" s="1772"/>
      <c r="J56" s="1772"/>
      <c r="K56" s="1772"/>
      <c r="L56" s="1773" t="str">
        <f>'Modèle Calcul A-R + miroir'!BH6</f>
        <v>🔸</v>
      </c>
      <c r="M56" s="2238" t="str">
        <f>'Modèle Calcul A-R + miroir'!BI6</f>
        <v>croit que vous êtes instable psychologiquement sans signe de la participation du parent favorisé et|ou nouveau conjoint.e</v>
      </c>
      <c r="N56" s="2238"/>
      <c r="O56" s="2238"/>
      <c r="P56" s="2238"/>
      <c r="Q56" s="2238"/>
      <c r="R56" s="1770" t="str">
        <f>'Modèle Calcul A-R + miroir'!BJ6</f>
        <v>🟢</v>
      </c>
      <c r="S56" s="2238" t="str">
        <f>'Modèle Calcul A-R + miroir'!BK6</f>
        <v/>
      </c>
      <c r="T56" s="2238"/>
      <c r="U56" s="2238"/>
      <c r="V56" s="2238"/>
      <c r="W56" s="873"/>
      <c r="X56" s="873"/>
    </row>
    <row r="57" spans="1:24" ht="29" x14ac:dyDescent="0.2">
      <c r="A57" s="1767" t="str">
        <f>'Modèle Calcul A-R + miroir'!BD7</f>
        <v>Manque de sécurité</v>
      </c>
      <c r="B57" s="1768"/>
      <c r="C57" s="1768"/>
      <c r="D57" s="1768"/>
      <c r="E57" s="1769">
        <f>'Modèle Calcul A-R + miroir'!BF7</f>
        <v>2</v>
      </c>
      <c r="F57" s="1770" t="str">
        <f>'Modèle Calcul A-R + miroir'!BE7</f>
        <v>🟥</v>
      </c>
      <c r="G57" s="1771" t="str">
        <f>'Modèle Calcul A-R + miroir'!BG7</f>
        <v/>
      </c>
      <c r="H57" s="1772"/>
      <c r="I57" s="1772"/>
      <c r="J57" s="1772"/>
      <c r="K57" s="1772"/>
      <c r="L57" s="1773" t="str">
        <f>'Modèle Calcul A-R + miroir'!BH7</f>
        <v>🔸</v>
      </c>
      <c r="M57" s="2238" t="str">
        <f>'Modèle Calcul A-R + miroir'!BI7</f>
        <v/>
      </c>
      <c r="N57" s="2238"/>
      <c r="O57" s="2238"/>
      <c r="P57" s="2238"/>
      <c r="Q57" s="2238"/>
      <c r="R57" s="1770" t="str">
        <f>'Modèle Calcul A-R + miroir'!BJ7</f>
        <v>🟢</v>
      </c>
      <c r="S57" s="2238" t="str">
        <f>'Modèle Calcul A-R + miroir'!BK7</f>
        <v/>
      </c>
      <c r="T57" s="2238"/>
      <c r="U57" s="2238"/>
      <c r="V57" s="2238"/>
      <c r="W57" s="873"/>
      <c r="X57" s="873"/>
    </row>
    <row r="58" spans="1:24" ht="29" x14ac:dyDescent="0.2">
      <c r="A58" s="1767" t="str">
        <f>'Modèle Calcul A-R + miroir'!BD8</f>
        <v>Modifications des faits et souvenirs</v>
      </c>
      <c r="B58" s="1768"/>
      <c r="C58" s="1768"/>
      <c r="D58" s="1768"/>
      <c r="E58" s="1769">
        <f>'Modèle Calcul A-R + miroir'!BF8</f>
        <v>42</v>
      </c>
      <c r="F58" s="1770" t="str">
        <f>'Modèle Calcul A-R + miroir'!BE8</f>
        <v>🟥</v>
      </c>
      <c r="G58" s="1771" t="str">
        <f>'Modèle Calcul A-R + miroir'!BG8</f>
        <v>déforme les souvenirs</v>
      </c>
      <c r="H58" s="1772"/>
      <c r="I58" s="1772"/>
      <c r="J58" s="1772"/>
      <c r="K58" s="1772"/>
      <c r="L58" s="1773" t="str">
        <f>'Modèle Calcul A-R + miroir'!BH8</f>
        <v>🔸</v>
      </c>
      <c r="M58" s="2238" t="str">
        <f>'Modèle Calcul A-R + miroir'!BI8</f>
        <v/>
      </c>
      <c r="N58" s="2238"/>
      <c r="O58" s="2238"/>
      <c r="P58" s="2238"/>
      <c r="Q58" s="2238"/>
      <c r="R58" s="1770" t="str">
        <f>'Modèle Calcul A-R + miroir'!BJ8</f>
        <v>🟢</v>
      </c>
      <c r="S58" s="2238" t="str">
        <f>'Modèle Calcul A-R + miroir'!BK8</f>
        <v/>
      </c>
      <c r="T58" s="2238"/>
      <c r="U58" s="2238"/>
      <c r="V58" s="2238"/>
      <c r="W58" s="873"/>
      <c r="X58" s="873"/>
    </row>
    <row r="59" spans="1:24" ht="29" x14ac:dyDescent="0.2">
      <c r="A59" s="1767" t="str">
        <f>'Modèle Calcul A-R + miroir'!BD9</f>
        <v>Culpabilise l'enfant de son amour envers vous</v>
      </c>
      <c r="B59" s="1768"/>
      <c r="C59" s="1768"/>
      <c r="D59" s="1768"/>
      <c r="E59" s="1769">
        <f>'Modèle Calcul A-R + miroir'!BF9</f>
        <v>2</v>
      </c>
      <c r="F59" s="1770" t="str">
        <f>'Modèle Calcul A-R + miroir'!BE9</f>
        <v>🟥</v>
      </c>
      <c r="G59" s="2238" t="str">
        <f>'Modèle Calcul A-R + miroir'!BG9</f>
        <v/>
      </c>
      <c r="H59" s="2238"/>
      <c r="I59" s="2238"/>
      <c r="J59" s="2238"/>
      <c r="K59" s="2238"/>
      <c r="L59" s="1773" t="str">
        <f>'Modèle Calcul A-R + miroir'!BH9</f>
        <v>🔸</v>
      </c>
      <c r="M59" s="2238" t="str">
        <f>'Modèle Calcul A-R + miroir'!BI9</f>
        <v/>
      </c>
      <c r="N59" s="2238"/>
      <c r="O59" s="2238"/>
      <c r="P59" s="2238"/>
      <c r="Q59" s="2238"/>
      <c r="R59" s="1770" t="str">
        <f>'Modèle Calcul A-R + miroir'!BJ9</f>
        <v>🟢</v>
      </c>
      <c r="S59" s="2238" t="str">
        <f>'Modèle Calcul A-R + miroir'!BK9</f>
        <v/>
      </c>
      <c r="T59" s="2238"/>
      <c r="U59" s="2238"/>
      <c r="V59" s="2238"/>
      <c r="W59" s="873"/>
      <c r="X59" s="873"/>
    </row>
    <row r="60" spans="1:24" ht="29" x14ac:dyDescent="0.2">
      <c r="A60" s="1767" t="str">
        <f>'Modèle Calcul A-R + miroir'!BD10</f>
        <v>Reproche au retour de garde</v>
      </c>
      <c r="B60" s="1768"/>
      <c r="C60" s="1768"/>
      <c r="D60" s="1768"/>
      <c r="E60" s="1769">
        <f>'Modèle Calcul A-R + miroir'!BF10</f>
        <v>8</v>
      </c>
      <c r="F60" s="1770" t="str">
        <f>'Modèle Calcul A-R + miroir'!BE10</f>
        <v>🟥</v>
      </c>
      <c r="G60" s="1771" t="str">
        <f>'Modèle Calcul A-R + miroir'!BG10</f>
        <v/>
      </c>
      <c r="H60" s="1772"/>
      <c r="I60" s="1772"/>
      <c r="J60" s="1772"/>
      <c r="K60" s="1772"/>
      <c r="L60" s="1773" t="str">
        <f>'Modèle Calcul A-R + miroir'!BH10</f>
        <v>🔸</v>
      </c>
      <c r="M60" s="2238" t="str">
        <f>'Modèle Calcul A-R + miroir'!BI10</f>
        <v/>
      </c>
      <c r="N60" s="2238"/>
      <c r="O60" s="2238"/>
      <c r="P60" s="2238"/>
      <c r="Q60" s="2238"/>
      <c r="R60" s="1770" t="str">
        <f>'Modèle Calcul A-R + miroir'!BJ10</f>
        <v>🟢</v>
      </c>
      <c r="S60" s="2238" t="str">
        <f>'Modèle Calcul A-R + miroir'!BK10</f>
        <v/>
      </c>
      <c r="T60" s="2238"/>
      <c r="U60" s="2238"/>
      <c r="V60" s="2238"/>
      <c r="W60" s="873"/>
      <c r="X60" s="873"/>
    </row>
    <row r="61" spans="1:24" ht="29" x14ac:dyDescent="0.2">
      <c r="A61" s="1767" t="str">
        <f>'Modèle Calcul A-R + miroir'!BD11</f>
        <v>Réaction en présence des deux parents</v>
      </c>
      <c r="B61" s="1768"/>
      <c r="C61" s="1768"/>
      <c r="D61" s="1768"/>
      <c r="E61" s="1769">
        <f>'Modèle Calcul A-R + miroir'!BF11</f>
        <v>22</v>
      </c>
      <c r="F61" s="1770" t="str">
        <f>'Modèle Calcul A-R + miroir'!BE11</f>
        <v>🟥</v>
      </c>
      <c r="G61" s="1771" t="str">
        <f>'Modèle Calcul A-R + miroir'!BG11</f>
        <v>vous salue lorsqu'il vous croise à l'école</v>
      </c>
      <c r="H61" s="1772"/>
      <c r="I61" s="1772"/>
      <c r="J61" s="1772"/>
      <c r="K61" s="1772"/>
      <c r="L61" s="1773" t="str">
        <f>'Modèle Calcul A-R + miroir'!BH11</f>
        <v>🔸</v>
      </c>
      <c r="M61" s="2238" t="str">
        <f>'Modèle Calcul A-R + miroir'!BI11</f>
        <v/>
      </c>
      <c r="N61" s="2238"/>
      <c r="O61" s="2238"/>
      <c r="P61" s="2238"/>
      <c r="Q61" s="2238"/>
      <c r="R61" s="1770" t="str">
        <f>'Modèle Calcul A-R + miroir'!BJ11</f>
        <v>🟢</v>
      </c>
      <c r="S61" s="2238" t="str">
        <f>'Modèle Calcul A-R + miroir'!BK11</f>
        <v/>
      </c>
      <c r="T61" s="2238"/>
      <c r="U61" s="2238"/>
      <c r="V61" s="2238"/>
      <c r="W61" s="873"/>
      <c r="X61" s="873"/>
    </row>
    <row r="62" spans="1:24" ht="29" x14ac:dyDescent="0.2">
      <c r="A62" s="1767" t="str">
        <f>'Modèle Calcul A-R + miroir'!BD12</f>
        <v>Dénigre l'autre</v>
      </c>
      <c r="B62" s="1768"/>
      <c r="C62" s="1768"/>
      <c r="D62" s="1768"/>
      <c r="E62" s="1769">
        <f>'Modèle Calcul A-R + miroir'!BF12</f>
        <v>19</v>
      </c>
      <c r="F62" s="1770" t="str">
        <f>'Modèle Calcul A-R + miroir'!BE12</f>
        <v>🟥</v>
      </c>
      <c r="G62" s="1771" t="str">
        <f>'Modèle Calcul A-R + miroir'!BG12</f>
        <v/>
      </c>
      <c r="H62" s="1772"/>
      <c r="I62" s="1772"/>
      <c r="J62" s="1772"/>
      <c r="K62" s="1772"/>
      <c r="L62" s="1773" t="str">
        <f>'Modèle Calcul A-R + miroir'!BH12</f>
        <v>🔸</v>
      </c>
      <c r="M62" s="2238" t="str">
        <f>'Modèle Calcul A-R + miroir'!BI12</f>
        <v/>
      </c>
      <c r="N62" s="2238"/>
      <c r="O62" s="2238"/>
      <c r="P62" s="2238"/>
      <c r="Q62" s="2238"/>
      <c r="R62" s="1770" t="str">
        <f>'Modèle Calcul A-R + miroir'!BJ12</f>
        <v>🟢</v>
      </c>
      <c r="S62" s="2238" t="str">
        <f>'Modèle Calcul A-R + miroir'!BK12</f>
        <v>Bien que le parent dénigre vos compétences parentales devant l'enfant l'enfant ne semble pas s'ingérer</v>
      </c>
      <c r="T62" s="2238"/>
      <c r="U62" s="2238"/>
      <c r="V62" s="2238"/>
      <c r="W62" s="873"/>
      <c r="X62" s="873"/>
    </row>
    <row r="63" spans="1:24" ht="29" x14ac:dyDescent="0.2">
      <c r="A63" s="1767" t="str">
        <f>'Modèle Calcul A-R + miroir'!BD13</f>
        <v>Dénigre la nouvelle famille</v>
      </c>
      <c r="B63" s="1768"/>
      <c r="C63" s="1768"/>
      <c r="D63" s="1768"/>
      <c r="E63" s="1769">
        <f>'Modèle Calcul A-R + miroir'!BF13</f>
        <v>8</v>
      </c>
      <c r="F63" s="1770" t="str">
        <f>'Modèle Calcul A-R + miroir'!BE13</f>
        <v>🟥</v>
      </c>
      <c r="G63" s="1771" t="str">
        <f>'Modèle Calcul A-R + miroir'!BG13</f>
        <v/>
      </c>
      <c r="H63" s="1772"/>
      <c r="I63" s="1772"/>
      <c r="J63" s="1772"/>
      <c r="K63" s="1772"/>
      <c r="L63" s="1773" t="str">
        <f>'Modèle Calcul A-R + miroir'!BH13</f>
        <v>🔸</v>
      </c>
      <c r="M63" s="2238" t="str">
        <f>'Modèle Calcul A-R + miroir'!BI13</f>
        <v/>
      </c>
      <c r="N63" s="2238"/>
      <c r="O63" s="2238"/>
      <c r="P63" s="2238"/>
      <c r="Q63" s="2238"/>
      <c r="R63" s="1770" t="str">
        <f>'Modèle Calcul A-R + miroir'!BJ13</f>
        <v>🟢</v>
      </c>
      <c r="S63" s="2238" t="str">
        <f>'Modèle Calcul A-R + miroir'!BK13</f>
        <v>Bien que le parent entretient un discours haineux à l'égard de votre nouveau conjoint.e l'enfant ne semble pas s'ingérer</v>
      </c>
      <c r="T63" s="2238"/>
      <c r="U63" s="2238"/>
      <c r="V63" s="2238"/>
      <c r="W63" s="873"/>
      <c r="X63" s="873"/>
    </row>
    <row r="64" spans="1:24" ht="29" x14ac:dyDescent="0.2">
      <c r="A64" s="1767" t="str">
        <f>'Modèle Calcul A-R + miroir'!BD14</f>
        <v>La nouvelle famille est "LA vraie"</v>
      </c>
      <c r="B64" s="1768"/>
      <c r="C64" s="1768"/>
      <c r="D64" s="1768"/>
      <c r="E64" s="1769">
        <f>'Modèle Calcul A-R + miroir'!BF14</f>
        <v>8</v>
      </c>
      <c r="F64" s="1770" t="str">
        <f>'Modèle Calcul A-R + miroir'!BE14</f>
        <v>🟥</v>
      </c>
      <c r="G64" s="1771" t="str">
        <f>'Modèle Calcul A-R + miroir'!BG14</f>
        <v/>
      </c>
      <c r="H64" s="1772"/>
      <c r="I64" s="1772"/>
      <c r="J64" s="1772"/>
      <c r="K64" s="1772"/>
      <c r="L64" s="1773" t="str">
        <f>'Modèle Calcul A-R + miroir'!BH14</f>
        <v>🔸</v>
      </c>
      <c r="M64" s="2238" t="str">
        <f>'Modèle Calcul A-R + miroir'!BI14</f>
        <v>laisse entendre que la vraie famille est celle de l'autre parent sans signe de la participation du parent favorisé et|ou nouveau conjoint.e</v>
      </c>
      <c r="N64" s="2238"/>
      <c r="O64" s="2238"/>
      <c r="P64" s="2238"/>
      <c r="Q64" s="2238"/>
      <c r="R64" s="1770" t="str">
        <f>'Modèle Calcul A-R + miroir'!BJ14</f>
        <v>🟢</v>
      </c>
      <c r="S64" s="2238" t="str">
        <f>'Modèle Calcul A-R + miroir'!BK14</f>
        <v/>
      </c>
      <c r="T64" s="2238"/>
      <c r="U64" s="2238"/>
      <c r="V64" s="2238"/>
      <c r="W64" s="873"/>
      <c r="X64" s="873"/>
    </row>
    <row r="65" spans="1:24" ht="29" x14ac:dyDescent="0.2">
      <c r="A65" s="1767" t="str">
        <f>'Modèle Calcul A-R + miroir'!BD15</f>
        <v>Le nouveau ou la nouvelle conjoint.e se fait appeler "papa" ou "maman"</v>
      </c>
      <c r="B65" s="1768"/>
      <c r="C65" s="1768"/>
      <c r="D65" s="1768"/>
      <c r="E65" s="1769">
        <f>'Modèle Calcul A-R + miroir'!BF15</f>
        <v>2</v>
      </c>
      <c r="F65" s="1770" t="str">
        <f>'Modèle Calcul A-R + miroir'!BE15</f>
        <v>🟥</v>
      </c>
      <c r="G65" s="1771" t="str">
        <f>'Modèle Calcul A-R + miroir'!BG15</f>
        <v/>
      </c>
      <c r="H65" s="1772"/>
      <c r="I65" s="1772"/>
      <c r="J65" s="1772"/>
      <c r="K65" s="1772"/>
      <c r="L65" s="1773" t="str">
        <f>'Modèle Calcul A-R + miroir'!BH15</f>
        <v>🔸</v>
      </c>
      <c r="M65" s="2238" t="str">
        <f>'Modèle Calcul A-R + miroir'!BI15</f>
        <v/>
      </c>
      <c r="N65" s="2238"/>
      <c r="O65" s="2238"/>
      <c r="P65" s="2238"/>
      <c r="Q65" s="2238"/>
      <c r="R65" s="1770" t="str">
        <f>'Modèle Calcul A-R + miroir'!BJ15</f>
        <v>🟢</v>
      </c>
      <c r="S65" s="2238" t="str">
        <f>'Modèle Calcul A-R + miroir'!BK15</f>
        <v/>
      </c>
      <c r="T65" s="2238"/>
      <c r="U65" s="2238"/>
      <c r="V65" s="2238"/>
      <c r="W65" s="873"/>
      <c r="X65" s="873"/>
    </row>
    <row r="66" spans="1:24" ht="29" x14ac:dyDescent="0.2">
      <c r="A66" s="1767" t="str">
        <f>'Modèle Calcul A-R + miroir'!BD16</f>
        <v>Changement d'horaire de l'enfant</v>
      </c>
      <c r="B66" s="1768"/>
      <c r="C66" s="1768"/>
      <c r="D66" s="1768"/>
      <c r="E66" s="1769">
        <f>'Modèle Calcul A-R + miroir'!BF16</f>
        <v>22</v>
      </c>
      <c r="F66" s="1770" t="str">
        <f>'Modèle Calcul A-R + miroir'!BE16</f>
        <v>🟥</v>
      </c>
      <c r="G66" s="1771" t="str">
        <f>'Modèle Calcul A-R + miroir'!BG16</f>
        <v>impose des changements d'horaire sans consultation auprès de l'autre</v>
      </c>
      <c r="H66" s="1772"/>
      <c r="I66" s="1772"/>
      <c r="J66" s="1772"/>
      <c r="K66" s="1772"/>
      <c r="L66" s="1773" t="str">
        <f>'Modèle Calcul A-R + miroir'!BH16</f>
        <v>🔸</v>
      </c>
      <c r="M66" s="2238" t="str">
        <f>'Modèle Calcul A-R + miroir'!BI16</f>
        <v/>
      </c>
      <c r="N66" s="2238"/>
      <c r="O66" s="2238"/>
      <c r="P66" s="2238"/>
      <c r="Q66" s="2238"/>
      <c r="R66" s="1770" t="str">
        <f>'Modèle Calcul A-R + miroir'!BJ16</f>
        <v>🟢</v>
      </c>
      <c r="S66" s="2238" t="str">
        <f>'Modèle Calcul A-R + miroir'!BK16</f>
        <v/>
      </c>
      <c r="T66" s="2238"/>
      <c r="U66" s="2238"/>
      <c r="V66" s="2238"/>
      <c r="W66" s="873"/>
      <c r="X66" s="873"/>
    </row>
    <row r="67" spans="1:24" ht="29" x14ac:dyDescent="0.2">
      <c r="A67" s="1767" t="str">
        <f>'Modèle Calcul A-R + miroir'!BD17</f>
        <v>Organise des activités hors de sa garde</v>
      </c>
      <c r="B67" s="1768"/>
      <c r="C67" s="1768"/>
      <c r="D67" s="1768"/>
      <c r="E67" s="1769">
        <f>'Modèle Calcul A-R + miroir'!BF17</f>
        <v>34</v>
      </c>
      <c r="F67" s="1770" t="str">
        <f>'Modèle Calcul A-R + miroir'!BE17</f>
        <v>🟥</v>
      </c>
      <c r="G67" s="1771" t="str">
        <f>'Modèle Calcul A-R + miroir'!BG17</f>
        <v>subit de la pression pour passer plus de temps chez l'autre</v>
      </c>
      <c r="H67" s="1772"/>
      <c r="I67" s="1772"/>
      <c r="J67" s="1772"/>
      <c r="K67" s="1772"/>
      <c r="L67" s="1773" t="str">
        <f>'Modèle Calcul A-R + miroir'!BH17</f>
        <v>🔸</v>
      </c>
      <c r="M67" s="2238" t="str">
        <f>'Modèle Calcul A-R + miroir'!BI17</f>
        <v/>
      </c>
      <c r="N67" s="2238"/>
      <c r="O67" s="2238"/>
      <c r="P67" s="2238"/>
      <c r="Q67" s="2238"/>
      <c r="R67" s="1770" t="str">
        <f>'Modèle Calcul A-R + miroir'!BJ17</f>
        <v>🟢</v>
      </c>
      <c r="S67" s="2238" t="str">
        <f>'Modèle Calcul A-R + miroir'!BK17</f>
        <v/>
      </c>
      <c r="T67" s="2238"/>
      <c r="U67" s="2238"/>
      <c r="V67" s="2238"/>
      <c r="W67" s="873"/>
      <c r="X67" s="873"/>
    </row>
    <row r="68" spans="1:24" ht="36" customHeight="1" x14ac:dyDescent="0.2">
      <c r="A68" s="1767" t="str">
        <f>'Modèle Calcul A-R + miroir'!BD18</f>
        <v>Impose sa présence (appel, texto)</v>
      </c>
      <c r="B68" s="1768"/>
      <c r="C68" s="1768"/>
      <c r="D68" s="1768"/>
      <c r="E68" s="1769">
        <f>'Modèle Calcul A-R + miroir'!BF18</f>
        <v>21</v>
      </c>
      <c r="F68" s="1770" t="str">
        <f>'Modèle Calcul A-R + miroir'!BE18</f>
        <v>🟥</v>
      </c>
      <c r="G68" s="1771" t="str">
        <f>'Modèle Calcul A-R + miroir'!BG18</f>
        <v/>
      </c>
      <c r="H68" s="1772"/>
      <c r="I68" s="1772"/>
      <c r="J68" s="1772"/>
      <c r="K68" s="1772"/>
      <c r="L68" s="1773" t="str">
        <f>'Modèle Calcul A-R + miroir'!BH18</f>
        <v>🔸</v>
      </c>
      <c r="M68" s="2238" t="str">
        <f>'Modèle Calcul A-R + miroir'!BI18</f>
        <v/>
      </c>
      <c r="N68" s="2238"/>
      <c r="O68" s="2238"/>
      <c r="P68" s="2238"/>
      <c r="Q68" s="2238"/>
      <c r="R68" s="1770" t="str">
        <f>'Modèle Calcul A-R + miroir'!BJ18</f>
        <v>🟢</v>
      </c>
      <c r="S68" s="2238" t="str">
        <f>'Modèle Calcul A-R + miroir'!BK18</f>
        <v>Bien que le parent impose sa présence régulièrement durant votre temps de garde l'enfant ne semble pas s'ingérer</v>
      </c>
      <c r="T68" s="2238"/>
      <c r="U68" s="2238"/>
      <c r="V68" s="2238"/>
      <c r="W68" s="873"/>
      <c r="X68" s="873"/>
    </row>
    <row r="69" spans="1:24" ht="39" customHeight="1" x14ac:dyDescent="0.2">
      <c r="A69" s="1767" t="str">
        <f>'Modèle Calcul A-R + miroir'!BD19</f>
        <v>Contrôle des communications</v>
      </c>
      <c r="B69" s="1768"/>
      <c r="C69" s="1768"/>
      <c r="D69" s="1768"/>
      <c r="E69" s="1769">
        <f>'Modèle Calcul A-R + miroir'!BF19</f>
        <v>28</v>
      </c>
      <c r="F69" s="1770" t="str">
        <f>'Modèle Calcul A-R + miroir'!BE19</f>
        <v>🟥</v>
      </c>
      <c r="G69" s="1771" t="str">
        <f>'Modèle Calcul A-R + miroir'!BG19</f>
        <v>ne répond pas à vos messages lorsqu'il est chez l'autre</v>
      </c>
      <c r="H69" s="1772"/>
      <c r="I69" s="1772"/>
      <c r="J69" s="1772"/>
      <c r="K69" s="1772"/>
      <c r="L69" s="1773" t="str">
        <f>'Modèle Calcul A-R + miroir'!BH19</f>
        <v>🔸</v>
      </c>
      <c r="M69" s="2238" t="str">
        <f>'Modèle Calcul A-R + miroir'!BI19</f>
        <v/>
      </c>
      <c r="N69" s="2238"/>
      <c r="O69" s="2238"/>
      <c r="P69" s="2238"/>
      <c r="Q69" s="2238"/>
      <c r="R69" s="1770" t="str">
        <f>'Modèle Calcul A-R + miroir'!BJ19</f>
        <v>🟢</v>
      </c>
      <c r="S69" s="2238" t="str">
        <f>'Modèle Calcul A-R + miroir'!BK19</f>
        <v/>
      </c>
      <c r="T69" s="2238"/>
      <c r="U69" s="2238"/>
      <c r="V69" s="2238"/>
      <c r="W69" s="873"/>
      <c r="X69" s="873"/>
    </row>
    <row r="70" spans="1:24" ht="29" x14ac:dyDescent="0.35">
      <c r="A70" s="874" t="str">
        <f>'Modèle Calcul A-R + miroir'!BD20</f>
        <v>Contact de l'enfant avec la famille élargie</v>
      </c>
      <c r="B70" s="875"/>
      <c r="C70" s="875"/>
      <c r="D70" s="875"/>
      <c r="E70" s="876">
        <f>'Modèle Calcul A-R + miroir'!BF20</f>
        <v>4</v>
      </c>
      <c r="F70" s="877" t="str">
        <f>'Modèle Calcul A-R + miroir'!BE20</f>
        <v>🟥</v>
      </c>
      <c r="G70" s="878" t="str">
        <f>'Modèle Calcul A-R + miroir'!BG20</f>
        <v/>
      </c>
      <c r="H70" s="879"/>
      <c r="I70" s="879"/>
      <c r="J70" s="879"/>
      <c r="K70" s="879"/>
      <c r="L70" s="880" t="str">
        <f>'Modèle Calcul A-R + miroir'!BH20</f>
        <v>🔸</v>
      </c>
      <c r="M70" s="2237" t="str">
        <f>'Modèle Calcul A-R + miroir'!BI20</f>
        <v>refuse les contacts avec la famille élargie sans signe de la participation du parent favorisé et|ou nouveau conjoint.e</v>
      </c>
      <c r="N70" s="2237"/>
      <c r="O70" s="2237"/>
      <c r="P70" s="2237"/>
      <c r="Q70" s="2237"/>
      <c r="R70" s="877" t="str">
        <f>'Modèle Calcul A-R + miroir'!BJ20</f>
        <v>🟢</v>
      </c>
      <c r="S70" s="2237" t="str">
        <f>'Modèle Calcul A-R + miroir'!BK20</f>
        <v/>
      </c>
      <c r="T70" s="2237"/>
      <c r="U70" s="2237"/>
      <c r="V70" s="2237"/>
      <c r="W70" s="873"/>
      <c r="X70" s="873"/>
    </row>
    <row r="71" spans="1:24" ht="29" x14ac:dyDescent="0.35">
      <c r="A71" s="874" t="str">
        <f>'Modèle Calcul A-R + miroir'!BD21</f>
        <v>Sujet personnel|intime partagé à l'enfant</v>
      </c>
      <c r="B71" s="875"/>
      <c r="C71" s="875"/>
      <c r="D71" s="875"/>
      <c r="E71" s="876">
        <f>'Modèle Calcul A-R + miroir'!BF21</f>
        <v>8</v>
      </c>
      <c r="F71" s="877" t="str">
        <f>'Modèle Calcul A-R + miroir'!BE21</f>
        <v>🟥</v>
      </c>
      <c r="G71" s="878" t="str">
        <f>'Modèle Calcul A-R + miroir'!BG21</f>
        <v/>
      </c>
      <c r="H71" s="879"/>
      <c r="I71" s="879"/>
      <c r="J71" s="879"/>
      <c r="K71" s="879"/>
      <c r="L71" s="880" t="str">
        <f>'Modèle Calcul A-R + miroir'!BH21</f>
        <v>🔸</v>
      </c>
      <c r="M71" s="2237" t="str">
        <f>'Modèle Calcul A-R + miroir'!BI21</f>
        <v/>
      </c>
      <c r="N71" s="2237"/>
      <c r="O71" s="2237"/>
      <c r="P71" s="2237"/>
      <c r="Q71" s="2237"/>
      <c r="R71" s="877" t="str">
        <f>'Modèle Calcul A-R + miroir'!BJ21</f>
        <v>🟢</v>
      </c>
      <c r="S71" s="2237" t="str">
        <f>'Modèle Calcul A-R + miroir'!BK21</f>
        <v/>
      </c>
      <c r="T71" s="2237"/>
      <c r="U71" s="2237"/>
      <c r="V71" s="2237"/>
      <c r="W71" s="873"/>
      <c r="X71" s="873"/>
    </row>
    <row r="72" spans="1:24" ht="29" x14ac:dyDescent="0.35">
      <c r="A72" s="874" t="str">
        <f>'Modèle Calcul A-R + miroir'!BD22</f>
        <v>Fait lire les communications à l'enfant</v>
      </c>
      <c r="B72" s="875"/>
      <c r="C72" s="875"/>
      <c r="D72" s="875"/>
      <c r="E72" s="876">
        <f>'Modèle Calcul A-R + miroir'!BF22</f>
        <v>28</v>
      </c>
      <c r="F72" s="877" t="str">
        <f>'Modèle Calcul A-R + miroir'!BE22</f>
        <v>🟥</v>
      </c>
      <c r="G72" s="878" t="str">
        <f>'Modèle Calcul A-R + miroir'!BG22</f>
        <v>est informé du contexte juridique ou autre sujet associé au conflit</v>
      </c>
      <c r="H72" s="879"/>
      <c r="I72" s="879"/>
      <c r="J72" s="879"/>
      <c r="K72" s="879"/>
      <c r="L72" s="880" t="str">
        <f>'Modèle Calcul A-R + miroir'!BH22</f>
        <v>🔸</v>
      </c>
      <c r="M72" s="2237" t="str">
        <f>'Modèle Calcul A-R + miroir'!BI22</f>
        <v/>
      </c>
      <c r="N72" s="2237"/>
      <c r="O72" s="2237"/>
      <c r="P72" s="2237"/>
      <c r="Q72" s="2237"/>
      <c r="R72" s="877" t="str">
        <f>'Modèle Calcul A-R + miroir'!BJ22</f>
        <v>🟢</v>
      </c>
      <c r="S72" s="2237" t="str">
        <f>'Modèle Calcul A-R + miroir'!BK22</f>
        <v/>
      </c>
      <c r="T72" s="2237"/>
      <c r="U72" s="2237"/>
      <c r="V72" s="2237"/>
      <c r="W72" s="873"/>
      <c r="X72" s="873"/>
    </row>
    <row r="73" spans="1:24" ht="29" x14ac:dyDescent="0.35">
      <c r="A73" s="874" t="str">
        <f>'Modèle Calcul A-R + miroir'!BD23</f>
        <v>L'enfant est messager de la logistique</v>
      </c>
      <c r="B73" s="875"/>
      <c r="C73" s="875"/>
      <c r="D73" s="875"/>
      <c r="E73" s="876">
        <f>'Modèle Calcul A-R + miroir'!BF23</f>
        <v>20</v>
      </c>
      <c r="F73" s="877" t="str">
        <f>'Modèle Calcul A-R + miroir'!BE23</f>
        <v>🟥</v>
      </c>
      <c r="G73" s="2237" t="str">
        <f>'Modèle Calcul A-R + miroir'!BG23</f>
        <v/>
      </c>
      <c r="H73" s="2237"/>
      <c r="I73" s="2237"/>
      <c r="J73" s="2237"/>
      <c r="K73" s="2237"/>
      <c r="L73" s="880" t="str">
        <f>'Modèle Calcul A-R + miroir'!BH23</f>
        <v>🔸</v>
      </c>
      <c r="M73" s="2241" t="str">
        <f>'Modèle Calcul A-R + miroir'!BI23</f>
        <v/>
      </c>
      <c r="N73" s="2241"/>
      <c r="O73" s="2241"/>
      <c r="P73" s="2241"/>
      <c r="Q73" s="2241"/>
      <c r="R73" s="877" t="str">
        <f>'Modèle Calcul A-R + miroir'!BJ23</f>
        <v>🟢</v>
      </c>
      <c r="S73" s="2237" t="str">
        <f>'Modèle Calcul A-R + miroir'!BK23</f>
        <v>Bien que le parent Le nouveau conjoint.e est responsable de la logistique familiale l'enfant ne semble pas s'ingérer</v>
      </c>
      <c r="T73" s="2237"/>
      <c r="U73" s="2237"/>
      <c r="V73" s="2237"/>
      <c r="W73" s="873"/>
      <c r="X73" s="873"/>
    </row>
    <row r="74" spans="1:24" ht="29" x14ac:dyDescent="0.35">
      <c r="A74" s="874" t="str">
        <f>'Modèle Calcul A-R + miroir'!BD24</f>
        <v>Liberté du choix de l'enfant</v>
      </c>
      <c r="B74" s="875"/>
      <c r="C74" s="875"/>
      <c r="D74" s="875"/>
      <c r="E74" s="876">
        <f>'Modèle Calcul A-R + miroir'!BF24</f>
        <v>0</v>
      </c>
      <c r="F74" s="877" t="str">
        <f>'Modèle Calcul A-R + miroir'!BE24</f>
        <v>🟥</v>
      </c>
      <c r="G74" s="878" t="str">
        <f>'Modèle Calcul A-R + miroir'!BG24</f>
        <v/>
      </c>
      <c r="H74" s="879"/>
      <c r="I74" s="879"/>
      <c r="J74" s="879"/>
      <c r="K74" s="879"/>
      <c r="L74" s="880" t="str">
        <f>'Modèle Calcul A-R + miroir'!BH24</f>
        <v>🔸</v>
      </c>
      <c r="M74" s="2237" t="str">
        <f>'Modèle Calcul A-R + miroir'!BI24</f>
        <v/>
      </c>
      <c r="N74" s="2237"/>
      <c r="O74" s="2237"/>
      <c r="P74" s="2237"/>
      <c r="Q74" s="2237"/>
      <c r="R74" s="877" t="str">
        <f>'Modèle Calcul A-R + miroir'!BJ24</f>
        <v>🟢</v>
      </c>
      <c r="S74" s="2237" t="str">
        <f>'Modèle Calcul A-R + miroir'!BK24</f>
        <v/>
      </c>
      <c r="T74" s="2237"/>
      <c r="U74" s="2237"/>
      <c r="V74" s="2237"/>
      <c r="W74" s="873"/>
      <c r="X74" s="873"/>
    </row>
    <row r="75" spans="1:24" ht="29" x14ac:dyDescent="0.35">
      <c r="A75" s="874" t="str">
        <f>'Modèle Calcul A-R + miroir'!BD25</f>
        <v>Maturité de l'enfant de choisir</v>
      </c>
      <c r="B75" s="875"/>
      <c r="C75" s="875"/>
      <c r="D75" s="875"/>
      <c r="E75" s="876">
        <f>'Modèle Calcul A-R + miroir'!BF25</f>
        <v>3</v>
      </c>
      <c r="F75" s="877" t="str">
        <f>'Modèle Calcul A-R + miroir'!BE25</f>
        <v>🟥</v>
      </c>
      <c r="G75" s="878" t="str">
        <f>'Modèle Calcul A-R + miroir'!BG25</f>
        <v/>
      </c>
      <c r="H75" s="879"/>
      <c r="I75" s="879"/>
      <c r="J75" s="879"/>
      <c r="K75" s="879"/>
      <c r="L75" s="880" t="str">
        <f>'Modèle Calcul A-R + miroir'!BH25</f>
        <v>🔸</v>
      </c>
      <c r="M75" s="2241" t="str">
        <f>'Modèle Calcul A-R + miroir'!BI25</f>
        <v/>
      </c>
      <c r="N75" s="2241"/>
      <c r="O75" s="2241"/>
      <c r="P75" s="2241"/>
      <c r="Q75" s="2241"/>
      <c r="R75" s="877" t="str">
        <f>'Modèle Calcul A-R + miroir'!BJ25</f>
        <v>🟢</v>
      </c>
      <c r="S75" s="2237" t="str">
        <f>'Modèle Calcul A-R + miroir'!BK25</f>
        <v/>
      </c>
      <c r="T75" s="2237"/>
      <c r="U75" s="2237"/>
      <c r="V75" s="2237"/>
      <c r="W75" s="873"/>
      <c r="X75" s="873"/>
    </row>
    <row r="76" spans="1:24" ht="29" x14ac:dyDescent="0.35">
      <c r="A76" s="874" t="str">
        <f>'Modèle Calcul A-R + miroir'!BD26</f>
        <v>Respecter les désirs de l'enfant</v>
      </c>
      <c r="B76" s="875"/>
      <c r="C76" s="875"/>
      <c r="D76" s="875"/>
      <c r="E76" s="876">
        <f>'Modèle Calcul A-R + miroir'!BF26</f>
        <v>0</v>
      </c>
      <c r="F76" s="877" t="str">
        <f>'Modèle Calcul A-R + miroir'!BE26</f>
        <v>🟥</v>
      </c>
      <c r="G76" s="878" t="str">
        <f>'Modèle Calcul A-R + miroir'!BG26</f>
        <v/>
      </c>
      <c r="H76" s="879"/>
      <c r="I76" s="879"/>
      <c r="J76" s="879"/>
      <c r="K76" s="879"/>
      <c r="L76" s="880" t="str">
        <f>'Modèle Calcul A-R + miroir'!BH26</f>
        <v>🔸</v>
      </c>
      <c r="M76" s="2237" t="str">
        <f>'Modèle Calcul A-R + miroir'!BI26</f>
        <v/>
      </c>
      <c r="N76" s="2237"/>
      <c r="O76" s="2237"/>
      <c r="P76" s="2237"/>
      <c r="Q76" s="2237"/>
      <c r="R76" s="877" t="str">
        <f>'Modèle Calcul A-R + miroir'!BJ26</f>
        <v>🟢</v>
      </c>
      <c r="S76" s="2237" t="str">
        <f>'Modèle Calcul A-R + miroir'!BK26</f>
        <v/>
      </c>
      <c r="T76" s="2237"/>
      <c r="U76" s="2237"/>
      <c r="V76" s="2237"/>
      <c r="W76" s="873"/>
      <c r="X76" s="873"/>
    </row>
    <row r="77" spans="1:24" ht="29" x14ac:dyDescent="0.35">
      <c r="A77" s="874" t="str">
        <f>'Modèle Calcul A-R + miroir'!BD27</f>
        <v>Demande / force l'enfant à choisir</v>
      </c>
      <c r="B77" s="875"/>
      <c r="C77" s="875"/>
      <c r="D77" s="875"/>
      <c r="E77" s="876">
        <f>'Modèle Calcul A-R + miroir'!BF27</f>
        <v>0</v>
      </c>
      <c r="F77" s="877" t="str">
        <f>'Modèle Calcul A-R + miroir'!BE27</f>
        <v>🟥</v>
      </c>
      <c r="G77" s="878" t="str">
        <f>'Modèle Calcul A-R + miroir'!BG27</f>
        <v/>
      </c>
      <c r="H77" s="879"/>
      <c r="I77" s="879"/>
      <c r="J77" s="879"/>
      <c r="K77" s="879"/>
      <c r="L77" s="880" t="str">
        <f>'Modèle Calcul A-R + miroir'!BH27</f>
        <v>🔸</v>
      </c>
      <c r="M77" s="2237" t="str">
        <f>'Modèle Calcul A-R + miroir'!BI27</f>
        <v/>
      </c>
      <c r="N77" s="2237"/>
      <c r="O77" s="2237"/>
      <c r="P77" s="2237"/>
      <c r="Q77" s="2237"/>
      <c r="R77" s="877" t="str">
        <f>'Modèle Calcul A-R + miroir'!BJ27</f>
        <v>🟢</v>
      </c>
      <c r="S77" s="2237" t="str">
        <f>'Modèle Calcul A-R + miroir'!BK27</f>
        <v/>
      </c>
      <c r="T77" s="2237"/>
      <c r="U77" s="2237"/>
      <c r="V77" s="2237"/>
      <c r="W77" s="873"/>
      <c r="X77" s="873"/>
    </row>
    <row r="78" spans="1:24" ht="29" x14ac:dyDescent="0.35">
      <c r="A78" s="874" t="str">
        <f>'Modèle Calcul A-R + miroir'!BD28</f>
        <v>Transport d'objets d'un domicile à l'autre</v>
      </c>
      <c r="B78" s="875"/>
      <c r="C78" s="875"/>
      <c r="D78" s="875"/>
      <c r="E78" s="876">
        <f>'Modèle Calcul A-R + miroir'!BF28</f>
        <v>26</v>
      </c>
      <c r="F78" s="877" t="str">
        <f>'Modèle Calcul A-R + miroir'!BE28</f>
        <v>🟥</v>
      </c>
      <c r="G78" s="878" t="str">
        <f>'Modèle Calcul A-R + miroir'!BG28</f>
        <v/>
      </c>
      <c r="H78" s="879"/>
      <c r="I78" s="879"/>
      <c r="J78" s="879"/>
      <c r="K78" s="879"/>
      <c r="L78" s="880" t="str">
        <f>'Modèle Calcul A-R + miroir'!BH28</f>
        <v>🔸</v>
      </c>
      <c r="M78" s="2237" t="str">
        <f>'Modèle Calcul A-R + miroir'!BI28</f>
        <v/>
      </c>
      <c r="N78" s="2237"/>
      <c r="O78" s="2237"/>
      <c r="P78" s="2237"/>
      <c r="Q78" s="2237"/>
      <c r="R78" s="877" t="str">
        <f>'Modèle Calcul A-R + miroir'!BJ28</f>
        <v>🟢</v>
      </c>
      <c r="S78" s="2237" t="str">
        <f>'Modèle Calcul A-R + miroir'!BK28</f>
        <v/>
      </c>
      <c r="T78" s="2237"/>
      <c r="U78" s="2237"/>
      <c r="V78" s="2237"/>
      <c r="W78" s="873"/>
      <c r="X78" s="873"/>
    </row>
    <row r="79" spans="1:24" ht="29" x14ac:dyDescent="0.35">
      <c r="A79" s="103"/>
      <c r="B79" s="467"/>
      <c r="C79" s="467"/>
      <c r="D79" s="467"/>
      <c r="F79" s="873"/>
      <c r="G79" s="873"/>
      <c r="H79" s="873"/>
      <c r="I79" s="873"/>
      <c r="J79" s="873"/>
      <c r="K79" s="873"/>
      <c r="L79" s="873"/>
      <c r="M79" s="873"/>
      <c r="N79" s="873"/>
      <c r="O79" s="873"/>
      <c r="P79" s="873"/>
      <c r="Q79" s="873"/>
      <c r="R79" s="873"/>
      <c r="S79" s="873"/>
      <c r="T79" s="873"/>
      <c r="U79" s="873"/>
      <c r="V79" s="873"/>
      <c r="W79" s="873"/>
      <c r="X79" s="873"/>
    </row>
    <row r="80" spans="1:24" ht="29" x14ac:dyDescent="0.35">
      <c r="A80" s="467"/>
      <c r="B80" s="467"/>
      <c r="C80" s="467"/>
      <c r="D80" s="467"/>
      <c r="R80" s="466" t="s">
        <v>414</v>
      </c>
    </row>
    <row r="81" spans="1:22" ht="29" x14ac:dyDescent="0.35">
      <c r="A81" s="467"/>
      <c r="B81" s="467"/>
      <c r="C81" s="467"/>
      <c r="D81" s="467"/>
      <c r="R81" t="str">
        <f>'Modèle Calcul A-R + miroir'!BG4</f>
        <v>ne doit pas raconter ce qui se passe</v>
      </c>
      <c r="V81" s="72">
        <f>'Modèle Calcul A-R + miroir'!BF4</f>
        <v>34</v>
      </c>
    </row>
    <row r="82" spans="1:22" ht="29" x14ac:dyDescent="0.35">
      <c r="A82" s="467"/>
      <c r="B82" s="467"/>
      <c r="C82" s="467"/>
      <c r="D82" s="467"/>
      <c r="R82" s="1493" t="str">
        <f>'Modèle Calcul A-R + miroir'!BG5</f>
        <v/>
      </c>
      <c r="V82" s="72">
        <f>'Modèle Calcul A-R + miroir'!BF5</f>
        <v>8</v>
      </c>
    </row>
    <row r="83" spans="1:22" ht="29" x14ac:dyDescent="0.35">
      <c r="A83" s="467"/>
      <c r="B83" s="467"/>
      <c r="C83" s="467"/>
      <c r="D83" s="467"/>
      <c r="R83" s="1493" t="str">
        <f>'Modèle Calcul A-R + miroir'!BG6</f>
        <v/>
      </c>
      <c r="V83" s="72">
        <f>'Modèle Calcul A-R + miroir'!BF6</f>
        <v>12</v>
      </c>
    </row>
    <row r="84" spans="1:22" ht="29" x14ac:dyDescent="0.35">
      <c r="A84" s="467"/>
      <c r="B84" s="467"/>
      <c r="C84" s="467"/>
      <c r="D84" s="467"/>
      <c r="R84" s="1493" t="str">
        <f>'Modèle Calcul A-R + miroir'!BG7</f>
        <v/>
      </c>
      <c r="V84" s="72">
        <f>'Modèle Calcul A-R + miroir'!BF7</f>
        <v>2</v>
      </c>
    </row>
    <row r="85" spans="1:22" ht="29" x14ac:dyDescent="0.35">
      <c r="A85" s="467"/>
      <c r="B85" s="467"/>
      <c r="C85" s="467"/>
      <c r="D85" s="467"/>
      <c r="R85" s="1493" t="str">
        <f>'Modèle Calcul A-R + miroir'!BG8</f>
        <v>déforme les souvenirs</v>
      </c>
      <c r="V85" s="72">
        <f>'Modèle Calcul A-R + miroir'!BF8</f>
        <v>42</v>
      </c>
    </row>
    <row r="86" spans="1:22" ht="29" x14ac:dyDescent="0.35">
      <c r="A86" s="467"/>
      <c r="B86" s="467"/>
      <c r="C86" s="467"/>
      <c r="D86" s="467"/>
      <c r="R86" s="1493" t="str">
        <f>'Modèle Calcul A-R + miroir'!BG9</f>
        <v/>
      </c>
      <c r="V86" s="72">
        <f>'Modèle Calcul A-R + miroir'!BF9</f>
        <v>2</v>
      </c>
    </row>
    <row r="87" spans="1:22" ht="29" x14ac:dyDescent="0.35">
      <c r="A87" s="467"/>
      <c r="B87" s="467"/>
      <c r="C87" s="467"/>
      <c r="D87" s="467"/>
      <c r="R87" s="1493" t="str">
        <f>'Modèle Calcul A-R + miroir'!BG10</f>
        <v/>
      </c>
      <c r="V87" s="72">
        <f>'Modèle Calcul A-R + miroir'!BF10</f>
        <v>8</v>
      </c>
    </row>
    <row r="88" spans="1:22" ht="29" x14ac:dyDescent="0.35">
      <c r="A88" s="467"/>
      <c r="B88" s="467"/>
      <c r="C88" s="467"/>
      <c r="D88" s="467"/>
      <c r="R88" s="1493" t="str">
        <f>'Modèle Calcul A-R + miroir'!BG11</f>
        <v>vous salue lorsqu'il vous croise à l'école</v>
      </c>
      <c r="V88" s="72">
        <f>'Modèle Calcul A-R + miroir'!BF11</f>
        <v>22</v>
      </c>
    </row>
    <row r="89" spans="1:22" ht="29" x14ac:dyDescent="0.35">
      <c r="A89" s="467"/>
      <c r="B89" s="467"/>
      <c r="C89" s="467"/>
      <c r="D89" s="467"/>
      <c r="R89" s="1493" t="str">
        <f>'Modèle Calcul A-R + miroir'!BG14</f>
        <v/>
      </c>
      <c r="V89" s="72">
        <f>'Modèle Calcul A-R + miroir'!BF14</f>
        <v>8</v>
      </c>
    </row>
    <row r="90" spans="1:22" ht="29" x14ac:dyDescent="0.35">
      <c r="A90" s="467"/>
      <c r="B90" s="467"/>
      <c r="C90" s="467"/>
      <c r="D90" s="467"/>
      <c r="R90" s="1493" t="str">
        <f>'Modèle Calcul A-R + miroir'!BG18</f>
        <v/>
      </c>
      <c r="V90" s="72">
        <f>'Modèle Calcul A-R + miroir'!BF18</f>
        <v>21</v>
      </c>
    </row>
    <row r="91" spans="1:22" ht="29" x14ac:dyDescent="0.35">
      <c r="A91" s="467"/>
      <c r="B91" s="467"/>
      <c r="C91" s="467"/>
      <c r="D91" s="467"/>
      <c r="R91" s="1493" t="str">
        <f>'Modèle Calcul A-R + miroir'!BG22</f>
        <v>est informé du contexte juridique ou autre sujet associé au conflit</v>
      </c>
      <c r="V91" s="72">
        <f>'Modèle Calcul A-R + miroir'!BF22</f>
        <v>28</v>
      </c>
    </row>
    <row r="92" spans="1:22" ht="29" x14ac:dyDescent="0.35">
      <c r="A92" s="467"/>
      <c r="B92" s="467"/>
      <c r="C92" s="467"/>
      <c r="D92" s="467"/>
      <c r="R92" s="1493" t="str">
        <f>'Modèle Calcul A-R + miroir'!BG23</f>
        <v/>
      </c>
      <c r="V92" s="72">
        <f>'Modèle Calcul A-R + miroir'!BF23</f>
        <v>20</v>
      </c>
    </row>
    <row r="93" spans="1:22" ht="29" x14ac:dyDescent="0.35">
      <c r="A93" s="467"/>
      <c r="B93" s="467"/>
      <c r="C93" s="467"/>
      <c r="D93" s="467"/>
      <c r="R93" s="1493" t="str">
        <f>'Modèle Calcul A-R + miroir'!BG25</f>
        <v/>
      </c>
      <c r="V93" s="72">
        <f>'Modèle Calcul A-R + miroir'!BF25</f>
        <v>3</v>
      </c>
    </row>
    <row r="94" spans="1:22" ht="29" x14ac:dyDescent="0.35">
      <c r="A94" s="467"/>
      <c r="B94" s="467"/>
      <c r="C94" s="467"/>
      <c r="D94" s="467"/>
      <c r="R94" s="1493" t="str">
        <f>'Modèle Calcul A-R + miroir'!BG26</f>
        <v/>
      </c>
      <c r="V94" s="72">
        <f>'Modèle Calcul A-R + miroir'!BF26</f>
        <v>0</v>
      </c>
    </row>
    <row r="95" spans="1:22" ht="29" x14ac:dyDescent="0.35">
      <c r="A95" s="467"/>
      <c r="B95" s="467"/>
      <c r="C95" s="467"/>
      <c r="D95" s="467"/>
      <c r="R95" s="1493" t="str">
        <f>'Modèle Calcul A-R + miroir'!BG27</f>
        <v/>
      </c>
      <c r="U95" t="s">
        <v>609</v>
      </c>
      <c r="V95" s="72">
        <f>'Modèle Calcul A-R + miroir'!BF27</f>
        <v>0</v>
      </c>
    </row>
    <row r="96" spans="1:22" ht="29" x14ac:dyDescent="0.35">
      <c r="A96" s="467"/>
      <c r="B96" s="467"/>
      <c r="C96" s="467"/>
      <c r="D96" s="467"/>
    </row>
    <row r="97" spans="1:20" ht="29" x14ac:dyDescent="0.35">
      <c r="A97" s="467"/>
      <c r="B97" s="467"/>
      <c r="C97" s="467"/>
      <c r="D97" s="467"/>
    </row>
    <row r="98" spans="1:20" ht="29" x14ac:dyDescent="0.35">
      <c r="A98" s="467"/>
      <c r="B98" s="467"/>
      <c r="C98" s="467"/>
      <c r="D98" s="467"/>
    </row>
    <row r="99" spans="1:20" ht="30" customHeight="1" x14ac:dyDescent="0.35">
      <c r="A99" s="467"/>
      <c r="B99" s="467"/>
      <c r="C99" s="467"/>
      <c r="D99" s="467"/>
    </row>
    <row r="100" spans="1:20" ht="29" x14ac:dyDescent="0.35">
      <c r="A100" s="48" t="s">
        <v>852</v>
      </c>
      <c r="B100" s="467"/>
      <c r="C100" s="467"/>
      <c r="D100" s="467"/>
    </row>
    <row r="101" spans="1:20" ht="29" x14ac:dyDescent="0.35">
      <c r="A101" s="467"/>
      <c r="B101" s="467"/>
      <c r="C101" s="467"/>
      <c r="D101" s="467"/>
    </row>
    <row r="102" spans="1:20" ht="44" customHeight="1" x14ac:dyDescent="0.35">
      <c r="A102" s="467"/>
      <c r="B102" s="467"/>
      <c r="C102" s="467"/>
      <c r="D102" s="467"/>
      <c r="Q102" s="885" t="s">
        <v>859</v>
      </c>
    </row>
    <row r="103" spans="1:20" ht="44" customHeight="1" x14ac:dyDescent="0.35">
      <c r="A103" s="467"/>
      <c r="B103" s="467"/>
      <c r="C103" s="467"/>
      <c r="D103" s="467"/>
      <c r="Q103">
        <f>'Modèle Miroir_divergence'!B12</f>
        <v>0</v>
      </c>
      <c r="T103" s="871">
        <f>'Modèle Miroir_divergence'!K12</f>
        <v>0</v>
      </c>
    </row>
    <row r="104" spans="1:20" ht="44" customHeight="1" x14ac:dyDescent="0.35">
      <c r="A104" s="467"/>
      <c r="B104" s="467"/>
      <c r="C104" s="467"/>
      <c r="D104" s="467"/>
      <c r="Q104" t="str">
        <f>'Modèle Miroir_divergence'!B13</f>
        <v>Interrogatoires au retour de garde</v>
      </c>
      <c r="T104" s="871" t="str">
        <f>'Modèle Miroir_divergence'!K13</f>
        <v>Adéquat</v>
      </c>
    </row>
    <row r="105" spans="1:20" ht="44" customHeight="1" x14ac:dyDescent="0.35">
      <c r="A105" s="467"/>
      <c r="B105" s="467"/>
      <c r="C105" s="467"/>
      <c r="D105" s="467"/>
      <c r="Q105" t="str">
        <f>'Modèle Miroir_divergence'!B14</f>
        <v>Exigences de coparentalité</v>
      </c>
      <c r="T105" s="871" t="str">
        <f>'Modèle Miroir_divergence'!K14</f>
        <v>Adéquat</v>
      </c>
    </row>
    <row r="106" spans="1:20" ht="44" customHeight="1" x14ac:dyDescent="0.35">
      <c r="A106" s="467"/>
      <c r="B106" s="467"/>
      <c r="C106" s="467"/>
      <c r="D106" s="467"/>
      <c r="Q106" t="str">
        <f>'Modèle Miroir_divergence'!B15</f>
        <v>Valeur du co-parent et en compétition</v>
      </c>
      <c r="T106" s="871" t="str">
        <f>'Modèle Miroir_divergence'!K15</f>
        <v>Conseils prioritaires</v>
      </c>
    </row>
    <row r="107" spans="1:20" ht="44" customHeight="1" x14ac:dyDescent="0.35">
      <c r="A107" s="467"/>
      <c r="B107" s="467"/>
      <c r="C107" s="467"/>
      <c r="D107" s="467"/>
      <c r="Q107" t="str">
        <f>'Modèle Miroir_divergence'!B18</f>
        <v>Réaction en présence de l'autre parent</v>
      </c>
      <c r="T107" s="871" t="str">
        <f>'Modèle Miroir_divergence'!K18</f>
        <v>Conseils prioritaires</v>
      </c>
    </row>
    <row r="108" spans="1:20" ht="44" customHeight="1" x14ac:dyDescent="0.35">
      <c r="A108" s="467"/>
      <c r="B108" s="467"/>
      <c r="C108" s="467"/>
      <c r="D108" s="467"/>
      <c r="Q108" t="str">
        <f>'Modèle Miroir_divergence'!B19</f>
        <v>Reproche et dénigrement de l'autre devant l'enfant</v>
      </c>
      <c r="T108" s="871" t="str">
        <f>'Modèle Miroir_divergence'!K19</f>
        <v>Conseils prioritaires</v>
      </c>
    </row>
    <row r="109" spans="1:20" ht="44" customHeight="1" x14ac:dyDescent="0.35">
      <c r="A109" s="467"/>
      <c r="B109" s="467"/>
      <c r="C109" s="467"/>
      <c r="D109" s="467"/>
      <c r="Q109" t="str">
        <f>'Modèle Miroir_divergence'!B20</f>
        <v>Prise de décision sans consentement</v>
      </c>
      <c r="T109" s="871" t="str">
        <f>'Modèle Miroir_divergence'!K20</f>
        <v>Conseils prioritaires</v>
      </c>
    </row>
    <row r="110" spans="1:20" ht="44" customHeight="1" x14ac:dyDescent="0.35">
      <c r="A110" s="467"/>
      <c r="B110" s="467"/>
      <c r="C110" s="467"/>
      <c r="D110" s="467"/>
      <c r="Q110" t="str">
        <f>'Modèle Miroir_divergence'!B21</f>
        <v>Liberté du choix de l'enfant</v>
      </c>
      <c r="T110" s="871" t="str">
        <f>'Modèle Miroir_divergence'!K21</f>
        <v>Adéquat</v>
      </c>
    </row>
    <row r="111" spans="1:20" ht="44" customHeight="1" x14ac:dyDescent="0.35">
      <c r="A111" s="467"/>
      <c r="B111" s="467"/>
      <c r="C111" s="467"/>
      <c r="D111" s="467"/>
      <c r="Q111" t="str">
        <f>'Modèle Miroir_divergence'!B22</f>
        <v>Impose sa présence hors de son temps de garde</v>
      </c>
      <c r="T111" s="871" t="str">
        <f>'Modèle Miroir_divergence'!K22</f>
        <v>Conseils prioritaires</v>
      </c>
    </row>
    <row r="112" spans="1:20" ht="44" customHeight="1" x14ac:dyDescent="0.35">
      <c r="A112" s="467"/>
      <c r="B112" s="467"/>
      <c r="C112" s="467"/>
      <c r="D112" s="467"/>
      <c r="Q112" t="str">
        <f>'Modèle Miroir_divergence'!B23</f>
        <v>Intervention à la suite d'un retour de garde</v>
      </c>
      <c r="T112" s="871" t="str">
        <f>'Modèle Miroir_divergence'!K23</f>
        <v>Conseils prioritaires</v>
      </c>
    </row>
    <row r="113" spans="1:20" ht="44" customHeight="1" x14ac:dyDescent="0.35">
      <c r="A113" s="467"/>
      <c r="B113" s="467"/>
      <c r="C113" s="467"/>
      <c r="D113" s="467"/>
      <c r="Q113" t="str">
        <f>'Modèle Miroir_divergence'!B24</f>
        <v>Fait lire les communications à l'enfant</v>
      </c>
      <c r="T113" s="871" t="str">
        <f>'Modèle Miroir_divergence'!K24</f>
        <v>Conseils prioritaires</v>
      </c>
    </row>
    <row r="114" spans="1:20" ht="44" customHeight="1" x14ac:dyDescent="0.35">
      <c r="A114" s="467"/>
      <c r="B114" s="467"/>
      <c r="C114" s="467"/>
      <c r="D114" s="467"/>
      <c r="Q114" t="str">
        <f>'Modèle Miroir_divergence'!B25</f>
        <v>L'enfant comme messager de la logisitque</v>
      </c>
      <c r="T114" s="871" t="str">
        <f>'Modèle Miroir_divergence'!K25</f>
        <v>Conseils prioritaires</v>
      </c>
    </row>
    <row r="115" spans="1:20" ht="44" customHeight="1" x14ac:dyDescent="0.35">
      <c r="A115" s="467"/>
      <c r="B115" s="467"/>
      <c r="C115" s="467"/>
      <c r="D115" s="467"/>
      <c r="Q115" t="str">
        <f>'Modèle Miroir_divergence'!B26</f>
        <v>Maturité de l'enfant face à ses choix</v>
      </c>
      <c r="T115" s="871" t="str">
        <f>'Modèle Miroir_divergence'!K26</f>
        <v>Adéquat</v>
      </c>
    </row>
    <row r="116" spans="1:20" ht="44" customHeight="1" x14ac:dyDescent="0.35">
      <c r="A116" s="467"/>
      <c r="B116" s="467"/>
      <c r="C116" s="467"/>
      <c r="D116" s="467"/>
      <c r="Q116" t="str">
        <f>'Modèle Miroir_divergence'!B27</f>
        <v>Transport d'objets entre les deux domiciles</v>
      </c>
      <c r="T116" s="871" t="str">
        <f>'Modèle Miroir_divergence'!K27</f>
        <v>à surveiller</v>
      </c>
    </row>
    <row r="117" spans="1:20" ht="44" customHeight="1" x14ac:dyDescent="0.35">
      <c r="A117" s="467"/>
      <c r="B117" s="467"/>
      <c r="C117" s="467"/>
      <c r="D117" s="467"/>
    </row>
    <row r="118" spans="1:20" ht="29" x14ac:dyDescent="0.35">
      <c r="A118" s="467"/>
      <c r="B118" s="467"/>
      <c r="C118" s="467"/>
      <c r="D118" s="467"/>
    </row>
    <row r="119" spans="1:20" ht="29" x14ac:dyDescent="0.35">
      <c r="A119" s="467"/>
      <c r="C119" s="467"/>
      <c r="D119" s="467"/>
    </row>
    <row r="120" spans="1:20" ht="29" x14ac:dyDescent="0.35">
      <c r="A120" s="467"/>
      <c r="B120" s="467"/>
      <c r="C120" s="467"/>
      <c r="D120" s="467"/>
    </row>
    <row r="121" spans="1:20" x14ac:dyDescent="0.2">
      <c r="J121" s="11"/>
      <c r="K121" s="105"/>
    </row>
    <row r="122" spans="1:20" x14ac:dyDescent="0.2">
      <c r="H122" s="88"/>
      <c r="K122" s="88"/>
      <c r="L122" s="11"/>
    </row>
    <row r="125" spans="1:20" x14ac:dyDescent="0.2">
      <c r="G125" s="72"/>
    </row>
    <row r="126" spans="1:20" x14ac:dyDescent="0.2">
      <c r="E126" s="13"/>
      <c r="F126" s="13"/>
      <c r="G126" s="13"/>
      <c r="H126" s="13"/>
      <c r="I126" s="13"/>
    </row>
    <row r="127" spans="1:20" x14ac:dyDescent="0.2">
      <c r="E127" s="13"/>
      <c r="F127" s="13"/>
      <c r="G127" s="13"/>
      <c r="H127" s="13"/>
      <c r="I127" s="13"/>
    </row>
    <row r="128" spans="1:20" x14ac:dyDescent="0.2">
      <c r="E128" s="26"/>
      <c r="F128" s="26"/>
      <c r="G128" s="26"/>
      <c r="H128" s="26"/>
      <c r="I128" s="26"/>
    </row>
    <row r="129" spans="5:9" x14ac:dyDescent="0.2">
      <c r="E129" s="26"/>
      <c r="F129" s="26"/>
      <c r="G129" s="26"/>
      <c r="H129" s="26"/>
      <c r="I129" s="26"/>
    </row>
    <row r="130" spans="5:9" x14ac:dyDescent="0.2">
      <c r="E130" s="26"/>
      <c r="F130" s="26"/>
      <c r="G130" s="26"/>
      <c r="H130" s="26"/>
      <c r="I130" s="26"/>
    </row>
  </sheetData>
  <mergeCells count="57">
    <mergeCell ref="AA3:AF3"/>
    <mergeCell ref="I8:J8"/>
    <mergeCell ref="M76:Q76"/>
    <mergeCell ref="M75:Q75"/>
    <mergeCell ref="M74:Q74"/>
    <mergeCell ref="M70:Q70"/>
    <mergeCell ref="M69:Q69"/>
    <mergeCell ref="M68:Q68"/>
    <mergeCell ref="M67:Q67"/>
    <mergeCell ref="M66:Q66"/>
    <mergeCell ref="G53:K53"/>
    <mergeCell ref="M53:Q53"/>
    <mergeCell ref="G73:K73"/>
    <mergeCell ref="M65:Q65"/>
    <mergeCell ref="M64:Q64"/>
    <mergeCell ref="M63:Q63"/>
    <mergeCell ref="M62:Q62"/>
    <mergeCell ref="M61:Q61"/>
    <mergeCell ref="M60:Q60"/>
    <mergeCell ref="M73:Q73"/>
    <mergeCell ref="M72:Q72"/>
    <mergeCell ref="M71:Q71"/>
    <mergeCell ref="M78:Q78"/>
    <mergeCell ref="M77:Q77"/>
    <mergeCell ref="S53:V53"/>
    <mergeCell ref="G59:K59"/>
    <mergeCell ref="S59:V59"/>
    <mergeCell ref="S58:V58"/>
    <mergeCell ref="S57:V57"/>
    <mergeCell ref="S56:V56"/>
    <mergeCell ref="S55:V55"/>
    <mergeCell ref="S54:V54"/>
    <mergeCell ref="M54:Q54"/>
    <mergeCell ref="M57:Q57"/>
    <mergeCell ref="M56:Q56"/>
    <mergeCell ref="M55:Q55"/>
    <mergeCell ref="M59:Q59"/>
    <mergeCell ref="M58:Q58"/>
    <mergeCell ref="S69:V69"/>
    <mergeCell ref="S68:V68"/>
    <mergeCell ref="S67:V67"/>
    <mergeCell ref="S66:V66"/>
    <mergeCell ref="S65:V65"/>
    <mergeCell ref="S64:V64"/>
    <mergeCell ref="S63:V63"/>
    <mergeCell ref="S62:V62"/>
    <mergeCell ref="S61:V61"/>
    <mergeCell ref="S60:V60"/>
    <mergeCell ref="S73:V73"/>
    <mergeCell ref="S72:V72"/>
    <mergeCell ref="S71:V71"/>
    <mergeCell ref="S70:V70"/>
    <mergeCell ref="S78:V78"/>
    <mergeCell ref="S77:V77"/>
    <mergeCell ref="S76:V76"/>
    <mergeCell ref="S75:V75"/>
    <mergeCell ref="S74:V74"/>
  </mergeCells>
  <conditionalFormatting sqref="T103:T116">
    <cfRule type="iconSet" priority="4">
      <iconSet>
        <cfvo type="percent" val="0"/>
        <cfvo type="percent" val="33"/>
        <cfvo type="percent" val="67"/>
      </iconSet>
    </cfRule>
  </conditionalFormatting>
  <conditionalFormatting sqref="T103:T116">
    <cfRule type="containsText" dxfId="17" priority="3" operator="containsText" text="Conseils prioritaires">
      <formula>NOT(ISERROR(SEARCH("Conseils prioritaires",T103)))</formula>
    </cfRule>
  </conditionalFormatting>
  <conditionalFormatting sqref="T103:T116">
    <cfRule type="cellIs" dxfId="16" priority="1" operator="equal">
      <formula>"Adéquat"</formula>
    </cfRule>
    <cfRule type="containsText" dxfId="15" priority="2" operator="containsText" text="à surveiller">
      <formula>NOT(ISERROR(SEARCH("à surveiller",T103)))</formula>
    </cfRule>
  </conditionalFormatting>
  <pageMargins left="0.7" right="0.7" top="0.75" bottom="0.75" header="0.3" footer="0.3"/>
  <pageSetup orientation="portrait" horizontalDpi="0" verticalDpi="0" copies="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F899-4EA3-9748-91A1-5DE60CB36F91}">
  <sheetPr>
    <pageSetUpPr fitToPage="1"/>
  </sheetPr>
  <dimension ref="A1:O197"/>
  <sheetViews>
    <sheetView workbookViewId="0"/>
    <sheetView workbookViewId="1"/>
  </sheetViews>
  <sheetFormatPr baseColWidth="10" defaultColWidth="11" defaultRowHeight="40" customHeight="1" x14ac:dyDescent="0.2"/>
  <cols>
    <col min="1" max="1" width="20.33203125" style="8" customWidth="1"/>
    <col min="2" max="2" width="8.5" style="1250" bestFit="1" customWidth="1"/>
    <col min="3" max="3" width="63" style="17" customWidth="1"/>
    <col min="4" max="4" width="77.6640625" style="17" bestFit="1" customWidth="1"/>
    <col min="5" max="5" width="10.83203125" style="133" hidden="1" customWidth="1"/>
    <col min="6" max="6" width="14" style="133" hidden="1" customWidth="1"/>
    <col min="7" max="7" width="14.83203125" style="133" hidden="1" customWidth="1"/>
    <col min="8" max="8" width="65.5" style="586" hidden="1" customWidth="1"/>
    <col min="9" max="10" width="11.6640625" style="133" hidden="1" customWidth="1"/>
    <col min="11" max="11" width="19.33203125" bestFit="1" customWidth="1"/>
    <col min="12" max="15" width="20.1640625" customWidth="1"/>
  </cols>
  <sheetData>
    <row r="1" spans="1:15" ht="78" customHeight="1" x14ac:dyDescent="0.2">
      <c r="A1" s="1212"/>
      <c r="B1" s="1213"/>
      <c r="C1" s="1214" t="s">
        <v>926</v>
      </c>
      <c r="D1" s="1214"/>
      <c r="E1" s="1215" t="s">
        <v>925</v>
      </c>
      <c r="F1" s="1216" t="s">
        <v>569</v>
      </c>
      <c r="G1" s="501" t="s">
        <v>230</v>
      </c>
      <c r="H1" s="1217" t="s">
        <v>956</v>
      </c>
      <c r="I1" s="1218" t="s">
        <v>231</v>
      </c>
      <c r="J1" s="1218" t="s">
        <v>370</v>
      </c>
      <c r="K1" s="2245" t="s">
        <v>957</v>
      </c>
      <c r="L1" s="2245"/>
      <c r="M1" s="2245"/>
      <c r="N1" s="2245"/>
      <c r="O1" s="2245"/>
    </row>
    <row r="2" spans="1:15" ht="78" customHeight="1" x14ac:dyDescent="0.2">
      <c r="A2" s="1212"/>
      <c r="B2" s="1213"/>
      <c r="C2" s="1214"/>
      <c r="D2" s="1214"/>
      <c r="E2" s="1215"/>
      <c r="F2" s="1216"/>
      <c r="G2" s="501"/>
      <c r="H2" s="1217"/>
      <c r="I2" s="501"/>
      <c r="J2" s="501"/>
      <c r="K2" s="1257" t="s">
        <v>961</v>
      </c>
      <c r="L2" s="1257" t="s">
        <v>963</v>
      </c>
      <c r="M2" s="1257" t="s">
        <v>958</v>
      </c>
      <c r="N2" s="1257" t="s">
        <v>959</v>
      </c>
      <c r="O2" s="1257" t="s">
        <v>960</v>
      </c>
    </row>
    <row r="3" spans="1:15" ht="50" customHeight="1" x14ac:dyDescent="0.2">
      <c r="A3" s="78" t="s">
        <v>32</v>
      </c>
      <c r="B3" s="1210"/>
      <c r="C3" s="297"/>
      <c r="D3" s="297"/>
      <c r="E3" s="501"/>
      <c r="F3" s="501"/>
      <c r="G3" s="501"/>
      <c r="I3" s="501"/>
      <c r="J3" s="501"/>
    </row>
    <row r="4" spans="1:15" ht="102" x14ac:dyDescent="0.2">
      <c r="A4" s="542"/>
      <c r="B4" s="1365" t="str">
        <f>BIBLE!E20</f>
        <v>B00</v>
      </c>
      <c r="C4" s="1365" t="str">
        <f>BIBLE!F20</f>
        <v xml:space="preserve">Identification: Qui êtes-vous ? </v>
      </c>
      <c r="D4" s="1258" t="s">
        <v>564</v>
      </c>
      <c r="E4" s="501">
        <v>0</v>
      </c>
      <c r="F4" s="501"/>
      <c r="G4" s="501"/>
      <c r="I4" s="501"/>
      <c r="J4" s="501"/>
      <c r="K4" s="1251"/>
      <c r="L4" s="1251" t="s">
        <v>962</v>
      </c>
      <c r="M4" s="1252"/>
      <c r="N4" s="1252"/>
      <c r="O4" s="1252"/>
    </row>
    <row r="5" spans="1:15" ht="51" x14ac:dyDescent="0.2">
      <c r="A5" s="542"/>
      <c r="B5" s="1365" t="str">
        <f>BIBLE!E21</f>
        <v>B01</v>
      </c>
      <c r="C5" s="1365" t="str">
        <f>BIBLE!F21</f>
        <v>Vous répondez à ce questionnaire au nom de ?</v>
      </c>
      <c r="D5" s="1259" t="s">
        <v>565</v>
      </c>
      <c r="E5" s="619">
        <v>0</v>
      </c>
      <c r="F5" s="619"/>
      <c r="G5" s="501" t="s">
        <v>19</v>
      </c>
      <c r="I5" s="501"/>
      <c r="J5" s="501"/>
      <c r="K5" s="1251"/>
      <c r="L5" s="1251" t="s">
        <v>962</v>
      </c>
      <c r="M5" s="1252"/>
      <c r="N5" s="1252"/>
      <c r="O5" s="1251" t="s">
        <v>962</v>
      </c>
    </row>
    <row r="6" spans="1:15" ht="44" customHeight="1" x14ac:dyDescent="0.2">
      <c r="A6" s="542"/>
      <c r="B6" s="1365" t="str">
        <f>BIBLE!E22</f>
        <v>B02</v>
      </c>
      <c r="C6" s="1365" t="str">
        <f>BIBLE!F22</f>
        <v>Souhaitez-vous faire une analyse au présent ou de manière rétrospective ?</v>
      </c>
      <c r="D6" s="1259" t="s">
        <v>1220</v>
      </c>
      <c r="E6" s="619"/>
      <c r="F6" s="619"/>
      <c r="G6" s="501"/>
      <c r="I6" s="501"/>
      <c r="J6" s="501"/>
      <c r="K6" s="1251" t="s">
        <v>962</v>
      </c>
      <c r="L6" s="1251"/>
      <c r="M6" s="1252"/>
      <c r="N6" s="1252"/>
      <c r="O6" s="1251"/>
    </row>
    <row r="7" spans="1:15" ht="85" x14ac:dyDescent="0.2">
      <c r="A7" s="542"/>
      <c r="B7" s="1365" t="str">
        <f>BIBLE!E23</f>
        <v>B03</v>
      </c>
      <c r="C7" s="1365" t="str">
        <f>BIBLE!F23</f>
        <v xml:space="preserve">Quelle a été la durée de vie commune avec l'autre parent (coparent) ?
</v>
      </c>
      <c r="D7" s="1259" t="s">
        <v>605</v>
      </c>
      <c r="E7" s="619">
        <v>0</v>
      </c>
      <c r="F7" s="619"/>
      <c r="G7" s="501" t="s">
        <v>19</v>
      </c>
      <c r="I7" s="501"/>
      <c r="J7" s="501"/>
      <c r="K7" s="1252"/>
      <c r="L7" s="1251" t="s">
        <v>962</v>
      </c>
      <c r="M7" s="1252"/>
      <c r="N7" s="1252"/>
      <c r="O7" s="1252"/>
    </row>
    <row r="8" spans="1:15" ht="85" x14ac:dyDescent="0.2">
      <c r="A8" s="542"/>
      <c r="B8" s="1365" t="str">
        <f>BIBLE!E24</f>
        <v>B04</v>
      </c>
      <c r="C8" s="1365" t="str">
        <f>BIBLE!F24</f>
        <v xml:space="preserve">Depuis combien de temps êtes vous séparé·e de l'autre parent (coparent) ? </v>
      </c>
      <c r="D8" s="1259" t="s">
        <v>438</v>
      </c>
      <c r="E8" s="619">
        <v>0</v>
      </c>
      <c r="F8" s="619"/>
      <c r="G8" s="501" t="s">
        <v>19</v>
      </c>
      <c r="I8" s="501"/>
      <c r="J8" s="501"/>
      <c r="K8" s="1251" t="s">
        <v>962</v>
      </c>
      <c r="L8" s="1251" t="s">
        <v>962</v>
      </c>
      <c r="M8" s="1252"/>
      <c r="N8" s="1251" t="s">
        <v>962</v>
      </c>
      <c r="O8" s="1251" t="s">
        <v>962</v>
      </c>
    </row>
    <row r="9" spans="1:15" ht="68" x14ac:dyDescent="0.2">
      <c r="A9" s="542"/>
      <c r="B9" s="1365" t="str">
        <f>BIBLE!E25</f>
        <v>B05</v>
      </c>
      <c r="C9" s="1365" t="str">
        <f>BIBLE!F25</f>
        <v>Combien d'enfants compte la fratrie ?</v>
      </c>
      <c r="D9" s="1259" t="s">
        <v>974</v>
      </c>
      <c r="E9" s="619"/>
      <c r="F9" s="619"/>
      <c r="G9" s="501"/>
      <c r="I9" s="501"/>
      <c r="J9" s="501"/>
      <c r="K9" s="1251"/>
      <c r="L9" s="1251" t="s">
        <v>962</v>
      </c>
      <c r="M9" s="1252"/>
      <c r="N9" s="1251"/>
      <c r="O9" s="1251"/>
    </row>
    <row r="10" spans="1:15" ht="40" customHeight="1" x14ac:dyDescent="0.2">
      <c r="A10" s="542"/>
      <c r="B10" s="1365" t="str">
        <f>BIBLE!E26</f>
        <v>B06</v>
      </c>
      <c r="C10" s="1365" t="str">
        <f>BIBLE!F26</f>
        <v>Quel âge a l'enfant qui fait l'objet de l'analyse ?</v>
      </c>
      <c r="D10" s="1258" t="s">
        <v>967</v>
      </c>
      <c r="E10" s="619">
        <v>0</v>
      </c>
      <c r="F10" s="619"/>
      <c r="G10" s="501" t="s">
        <v>19</v>
      </c>
      <c r="I10" s="501"/>
      <c r="J10" s="501"/>
      <c r="K10" s="1251" t="s">
        <v>962</v>
      </c>
      <c r="L10" s="1251" t="s">
        <v>962</v>
      </c>
      <c r="M10" s="1252"/>
      <c r="N10" s="1251" t="s">
        <v>962</v>
      </c>
      <c r="O10" s="1251" t="s">
        <v>962</v>
      </c>
    </row>
    <row r="11" spans="1:15" ht="51" x14ac:dyDescent="0.2">
      <c r="A11" s="542"/>
      <c r="B11" s="1365" t="str">
        <f>BIBLE!E27</f>
        <v>B07</v>
      </c>
      <c r="C11" s="1365" t="str">
        <f>BIBLE!F27</f>
        <v xml:space="preserve">Quelle est votre situation familiale actuelle ? </v>
      </c>
      <c r="D11" s="1259" t="s">
        <v>541</v>
      </c>
      <c r="E11" s="619">
        <v>0</v>
      </c>
      <c r="F11" s="619"/>
      <c r="G11" s="501" t="s">
        <v>19</v>
      </c>
      <c r="I11" s="501"/>
      <c r="J11" s="501"/>
      <c r="K11" s="1251" t="s">
        <v>962</v>
      </c>
      <c r="L11" s="1251" t="s">
        <v>962</v>
      </c>
      <c r="M11" s="1252"/>
      <c r="N11" s="1252"/>
      <c r="O11" s="1252"/>
    </row>
    <row r="12" spans="1:15" ht="51" x14ac:dyDescent="0.2">
      <c r="A12" s="542"/>
      <c r="B12" s="1365" t="str">
        <f>BIBLE!E28</f>
        <v>B08</v>
      </c>
      <c r="C12" s="1365" t="str">
        <f>BIBLE!F28</f>
        <v xml:space="preserve">Quelle est la situation familiale actuelle de l'autre parent (coparent) ?
</v>
      </c>
      <c r="D12" s="1259" t="s">
        <v>436</v>
      </c>
      <c r="E12" s="619">
        <v>0</v>
      </c>
      <c r="F12" s="619"/>
      <c r="G12" s="501" t="s">
        <v>19</v>
      </c>
      <c r="I12" s="501"/>
      <c r="J12" s="501"/>
      <c r="K12" s="1251" t="s">
        <v>962</v>
      </c>
      <c r="L12" s="1251" t="s">
        <v>962</v>
      </c>
      <c r="M12" s="1252"/>
      <c r="N12" s="1252"/>
      <c r="O12" s="1252"/>
    </row>
    <row r="13" spans="1:15" ht="40" customHeight="1" x14ac:dyDescent="0.2">
      <c r="A13" s="542"/>
      <c r="B13" s="1365" t="str">
        <f>BIBLE!E29</f>
        <v>B11</v>
      </c>
      <c r="C13" s="1365" t="str">
        <f>BIBLE!F29</f>
        <v>Dans quelle mesure l'entente de garde et/ou les droits d'accès sont-ils respectés ?</v>
      </c>
      <c r="D13" s="1260"/>
      <c r="E13" s="587">
        <v>3</v>
      </c>
      <c r="F13" s="587"/>
      <c r="G13" s="501" t="s">
        <v>43</v>
      </c>
      <c r="H13" s="584" t="s">
        <v>12</v>
      </c>
      <c r="I13" s="1220">
        <f>Test_Bible!P53</f>
        <v>2</v>
      </c>
      <c r="J13" s="1220">
        <f>Test_Bible!Q53</f>
        <v>6</v>
      </c>
      <c r="K13" s="1253"/>
      <c r="L13" s="1253"/>
      <c r="M13" s="1253"/>
      <c r="N13" s="1253"/>
      <c r="O13" s="1253"/>
    </row>
    <row r="14" spans="1:15" ht="40" customHeight="1" x14ac:dyDescent="0.2">
      <c r="A14" s="542"/>
      <c r="B14" s="1366" t="str">
        <f>BIBLE!E30</f>
        <v>B11a</v>
      </c>
      <c r="C14" s="1366" t="str">
        <f>BIBLE!F30</f>
        <v>Un jugement concernant la garde des enfants a-t-il été rendu par le tribunal ?</v>
      </c>
      <c r="D14" s="1261" t="s">
        <v>965</v>
      </c>
      <c r="E14" s="1221">
        <v>0</v>
      </c>
      <c r="F14" s="1221"/>
      <c r="G14" s="501" t="s">
        <v>46</v>
      </c>
      <c r="I14" s="501"/>
      <c r="J14" s="501"/>
      <c r="K14" s="1251" t="s">
        <v>962</v>
      </c>
      <c r="L14" s="1252"/>
      <c r="M14" s="1252"/>
      <c r="N14" s="1251"/>
      <c r="O14" s="1252"/>
    </row>
    <row r="15" spans="1:15" ht="40" customHeight="1" x14ac:dyDescent="0.2">
      <c r="A15" s="542"/>
      <c r="B15" s="1366" t="str">
        <f>BIBLE!E31</f>
        <v>B11a1</v>
      </c>
      <c r="C15" s="1366" t="str">
        <f>BIBLE!F31</f>
        <v>Est-ce que l'autre parent (coparent) respecte les ordonnances ou les jugements de la Cour ?</v>
      </c>
      <c r="D15" s="1261"/>
      <c r="E15" s="588">
        <v>2</v>
      </c>
      <c r="F15" s="588"/>
      <c r="G15" s="501" t="s">
        <v>43</v>
      </c>
      <c r="H15" s="584" t="s">
        <v>12</v>
      </c>
      <c r="I15" s="1220">
        <f>Test_Bible!P56</f>
        <v>0</v>
      </c>
      <c r="J15" s="1220">
        <f>Test_Bible!Q56</f>
        <v>0</v>
      </c>
      <c r="K15" s="1253"/>
      <c r="L15" s="1253"/>
      <c r="M15" s="1253"/>
      <c r="N15" s="1253"/>
      <c r="O15" s="1253"/>
    </row>
    <row r="16" spans="1:15" ht="40" customHeight="1" x14ac:dyDescent="0.2">
      <c r="A16" s="542"/>
      <c r="B16" s="1366" t="str">
        <f>BIBLE!E32</f>
        <v>B11b</v>
      </c>
      <c r="C16" s="1366" t="str">
        <f>BIBLE!F32</f>
        <v>De votre côté-vous, respectez-vous les ordonnances et l'entente de garde ?</v>
      </c>
      <c r="D16" s="1262"/>
      <c r="E16" s="588">
        <v>2</v>
      </c>
      <c r="F16" s="588"/>
      <c r="G16" s="501" t="s">
        <v>43</v>
      </c>
      <c r="H16" s="584" t="s">
        <v>12</v>
      </c>
      <c r="I16" s="1220">
        <f>Test_Bible!P57</f>
        <v>0</v>
      </c>
      <c r="J16" s="1220">
        <f>Test_Bible!Q57</f>
        <v>0</v>
      </c>
      <c r="K16" s="1253"/>
      <c r="L16" s="1253"/>
      <c r="M16" s="1253"/>
      <c r="N16" s="1253"/>
      <c r="O16" s="1253"/>
    </row>
    <row r="17" spans="1:15" ht="96" customHeight="1" x14ac:dyDescent="0.2">
      <c r="A17" s="542"/>
      <c r="B17" s="1365" t="str">
        <f>BIBLE!E33</f>
        <v>B12</v>
      </c>
      <c r="C17" s="1365" t="str">
        <f>BIBLE!F33</f>
        <v xml:space="preserve">Comment qualifieriez-vous votre relation avec votre enfant ? 
</v>
      </c>
      <c r="D17" s="1693" t="str">
        <f>BIBLE!H33</f>
        <v>J'ai une très bonne relation
J'ai une bonne relation
J'ai une relation difficile
Mon lien est fragilisé par le contexte familial
Je suis en rupture de lien affectif 
Je suis en rupture de contact physique</v>
      </c>
      <c r="E17" s="1221">
        <v>0</v>
      </c>
      <c r="F17" s="1221"/>
      <c r="G17" s="501" t="s">
        <v>19</v>
      </c>
      <c r="I17" s="501"/>
      <c r="J17" s="501"/>
      <c r="K17" s="1251" t="s">
        <v>962</v>
      </c>
      <c r="L17" s="1251" t="s">
        <v>962</v>
      </c>
      <c r="M17" s="1252"/>
      <c r="N17" s="1251" t="s">
        <v>962</v>
      </c>
      <c r="O17" s="1251" t="s">
        <v>962</v>
      </c>
    </row>
    <row r="18" spans="1:15" ht="140" customHeight="1" x14ac:dyDescent="0.2">
      <c r="A18" s="542"/>
      <c r="B18" s="1366" t="str">
        <f>BIBLE!E34</f>
        <v>B12a</v>
      </c>
      <c r="C18" s="1366" t="str">
        <f>BIBLE!F34</f>
        <v>Quels types de difficultés relationnelles rencontrez-vous ?</v>
      </c>
      <c r="D18" s="1263" t="str">
        <f>BIBLE!H34</f>
        <v>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v>
      </c>
      <c r="E18" s="1221">
        <v>0</v>
      </c>
      <c r="F18" s="1221"/>
      <c r="G18" s="501" t="s">
        <v>51</v>
      </c>
      <c r="I18" s="501"/>
      <c r="J18" s="501"/>
      <c r="K18" s="1252"/>
      <c r="L18" s="1252"/>
      <c r="M18" s="1251" t="s">
        <v>962</v>
      </c>
      <c r="N18" s="1252"/>
      <c r="O18" s="1251"/>
    </row>
    <row r="19" spans="1:15" ht="87" customHeight="1" x14ac:dyDescent="0.2">
      <c r="A19" s="542"/>
      <c r="B19" s="1366" t="str">
        <f>BIBLE!E35</f>
        <v>B12b</v>
      </c>
      <c r="C19" s="1366" t="str">
        <f>BIBLE!F35</f>
        <v xml:space="preserve">Ces difficultés relationnelles sont-elles récentes ? </v>
      </c>
      <c r="D19" s="1262" t="s">
        <v>552</v>
      </c>
      <c r="E19" s="1221">
        <v>0</v>
      </c>
      <c r="F19" s="1221"/>
      <c r="G19" s="501" t="s">
        <v>51</v>
      </c>
      <c r="I19" s="501"/>
      <c r="J19" s="501"/>
      <c r="K19" s="1252"/>
      <c r="L19" s="1252"/>
      <c r="M19" s="1251" t="s">
        <v>962</v>
      </c>
      <c r="N19" s="1252"/>
      <c r="O19" s="1251"/>
    </row>
    <row r="20" spans="1:15" ht="48" customHeight="1" x14ac:dyDescent="0.2">
      <c r="A20" s="542"/>
      <c r="B20" s="1366" t="str">
        <f>BIBLE!E36</f>
        <v>B12c</v>
      </c>
      <c r="C20" s="1366" t="str">
        <f>BIBLE!F36</f>
        <v>Est-ce qu'il y a d'autres enfants en rupture de lien ou de contact?</v>
      </c>
      <c r="D20" s="1261" t="s">
        <v>965</v>
      </c>
      <c r="E20" s="1221">
        <v>0</v>
      </c>
      <c r="F20" s="1221"/>
      <c r="G20" s="501" t="s">
        <v>46</v>
      </c>
      <c r="I20" s="501"/>
      <c r="J20" s="501"/>
      <c r="K20" s="1252"/>
      <c r="L20" s="1251" t="s">
        <v>962</v>
      </c>
      <c r="M20" s="1251" t="s">
        <v>962</v>
      </c>
      <c r="N20" s="1252"/>
      <c r="O20" s="1252"/>
    </row>
    <row r="21" spans="1:15" ht="130" customHeight="1" x14ac:dyDescent="0.2">
      <c r="A21" s="542"/>
      <c r="B21" s="1366" t="str">
        <f>BIBLE!E37</f>
        <v>B12d</v>
      </c>
      <c r="C21" s="1366" t="str">
        <f>BIBLE!F37</f>
        <v>Un traumatisme vécu par vous, le coparent ou l'enfant pourrait-il expliquer la rupture de contact ou de lien avec votre enfant ? Choix multiples</v>
      </c>
      <c r="D21" s="1263" t="s">
        <v>629</v>
      </c>
      <c r="E21" s="1221">
        <v>0</v>
      </c>
      <c r="F21" s="1221"/>
      <c r="G21" s="501" t="s">
        <v>51</v>
      </c>
      <c r="I21" s="501"/>
      <c r="J21" s="501"/>
      <c r="K21" s="1252"/>
      <c r="L21" s="1251" t="s">
        <v>962</v>
      </c>
      <c r="M21" s="1251" t="s">
        <v>962</v>
      </c>
      <c r="N21" s="1252"/>
      <c r="O21" s="1251"/>
    </row>
    <row r="22" spans="1:15" ht="40" customHeight="1" x14ac:dyDescent="0.2">
      <c r="A22" s="16"/>
      <c r="B22" s="1210"/>
      <c r="C22" s="297"/>
      <c r="D22" s="297"/>
      <c r="E22" s="16"/>
      <c r="F22" s="16"/>
      <c r="G22" s="501"/>
      <c r="I22" s="501"/>
      <c r="J22" s="501"/>
    </row>
    <row r="23" spans="1:15" s="105" customFormat="1" ht="30" customHeight="1" x14ac:dyDescent="0.2">
      <c r="A23" s="1256" t="s">
        <v>488</v>
      </c>
      <c r="B23" s="365"/>
      <c r="C23" s="366"/>
      <c r="D23" s="366"/>
      <c r="E23" s="365"/>
      <c r="F23" s="365"/>
      <c r="G23" s="985"/>
      <c r="H23" s="585"/>
      <c r="I23" s="985"/>
      <c r="J23" s="985"/>
      <c r="K23" s="1222"/>
      <c r="L23" s="1222"/>
      <c r="M23" s="1222"/>
      <c r="N23" s="1222"/>
      <c r="O23" s="1222"/>
    </row>
    <row r="24" spans="1:15" ht="51" x14ac:dyDescent="0.2">
      <c r="A24" s="1223"/>
      <c r="B24" s="1364" t="str">
        <f>BIBLE!E58</f>
        <v>PCR06</v>
      </c>
      <c r="C24" s="1364" t="str">
        <f>BIBLE!F58</f>
        <v xml:space="preserve">Vous faites un retour sur les interventions de l'autre parent (nutrition, hygiène, logistique, etc.) au retour des enfants, par courriel ou message texte. </v>
      </c>
      <c r="D24" s="1265"/>
      <c r="E24" s="588">
        <v>2</v>
      </c>
      <c r="F24" s="588"/>
      <c r="G24" s="501" t="s">
        <v>3</v>
      </c>
      <c r="H24" s="584" t="s">
        <v>448</v>
      </c>
      <c r="I24" s="1224">
        <f>Test_Bible!P126</f>
        <v>4</v>
      </c>
      <c r="J24" s="1224">
        <f>Test_Bible!Q126</f>
        <v>8</v>
      </c>
      <c r="K24" s="1253"/>
      <c r="L24" s="1253"/>
      <c r="M24" s="1253"/>
      <c r="N24" s="1253"/>
      <c r="O24" s="1253"/>
    </row>
    <row r="25" spans="1:15" ht="98" customHeight="1" x14ac:dyDescent="0.2">
      <c r="A25" s="1223"/>
      <c r="B25" s="1366" t="str">
        <f>BIBLE!E54</f>
        <v>PCR01b</v>
      </c>
      <c r="C25" s="1366" t="str">
        <f>BIBLE!F54</f>
        <v>Quels sont les sujets délicats entre vous et l'autre parent ?</v>
      </c>
      <c r="D25" s="1266" t="s">
        <v>1434</v>
      </c>
      <c r="E25" s="580">
        <v>1</v>
      </c>
      <c r="F25" s="580"/>
      <c r="G25" s="501" t="s">
        <v>66</v>
      </c>
      <c r="H25" s="586" t="s">
        <v>449</v>
      </c>
      <c r="I25" s="1225"/>
      <c r="J25" s="1225"/>
      <c r="K25" s="1252"/>
      <c r="L25" s="1251" t="s">
        <v>962</v>
      </c>
      <c r="M25" s="1251" t="s">
        <v>962</v>
      </c>
      <c r="N25" s="1252"/>
      <c r="O25" s="1251"/>
    </row>
    <row r="26" spans="1:15" s="7" customFormat="1" ht="17" x14ac:dyDescent="0.2">
      <c r="A26" s="1223"/>
      <c r="B26" s="1364" t="str">
        <f>BIBLE!E66</f>
        <v>PCR12</v>
      </c>
      <c r="C26" s="1364" t="str">
        <f>BIBLE!F66</f>
        <v>Il vous arrive de prendre des décisions sans consulter l'autre parent.</v>
      </c>
      <c r="D26" s="1267"/>
      <c r="E26" s="588">
        <v>2</v>
      </c>
      <c r="F26" s="588"/>
      <c r="G26" s="501" t="s">
        <v>3</v>
      </c>
      <c r="H26" s="584" t="s">
        <v>448</v>
      </c>
      <c r="I26" s="1224">
        <f>Test_Bible!P140</f>
        <v>4</v>
      </c>
      <c r="J26" s="1224">
        <f>Test_Bible!Q140</f>
        <v>8</v>
      </c>
      <c r="K26" s="1255"/>
      <c r="L26" s="1255"/>
      <c r="M26" s="1255"/>
      <c r="N26" s="1255"/>
      <c r="O26" s="1255"/>
    </row>
    <row r="27" spans="1:15" s="7" customFormat="1" ht="102" x14ac:dyDescent="0.2">
      <c r="A27" s="1223"/>
      <c r="B27" s="1366" t="str">
        <f>BIBLE!E67</f>
        <v>PCR12a</v>
      </c>
      <c r="C27" s="1366" t="str">
        <f>BIBLE!F67</f>
        <v>Quel type de décisions avez-vous pris sans consulter l'autre parent ou sans attendre son approbation ?</v>
      </c>
      <c r="D27" s="1268" t="s">
        <v>82</v>
      </c>
      <c r="E27" s="588">
        <v>2</v>
      </c>
      <c r="F27" s="588"/>
      <c r="G27" s="501" t="s">
        <v>66</v>
      </c>
      <c r="H27" s="584"/>
      <c r="I27" s="1226"/>
      <c r="J27" s="1226"/>
      <c r="K27" s="1254"/>
      <c r="L27" s="1254"/>
      <c r="M27" s="1251" t="s">
        <v>962</v>
      </c>
      <c r="N27" s="1486" t="s">
        <v>1222</v>
      </c>
      <c r="O27" s="1251" t="s">
        <v>962</v>
      </c>
    </row>
    <row r="28" spans="1:15" ht="34" x14ac:dyDescent="0.2">
      <c r="A28" s="1223"/>
      <c r="B28" s="1364" t="str">
        <f>BIBLE!E70</f>
        <v>PCR15</v>
      </c>
      <c r="C28" s="1364" t="str">
        <f>BIBLE!F70</f>
        <v>Il est important que votre enfant soit au courant des enjeux de la séparation et/ou du conflit qui vous oppose à l'autre parent.</v>
      </c>
      <c r="D28" s="1265"/>
      <c r="E28" s="588">
        <v>2</v>
      </c>
      <c r="F28" s="587">
        <v>3</v>
      </c>
      <c r="G28" s="501" t="s">
        <v>6</v>
      </c>
      <c r="H28" s="584" t="s">
        <v>451</v>
      </c>
      <c r="I28" s="1224">
        <f>Test_Bible!P151</f>
        <v>1</v>
      </c>
      <c r="J28" s="1224">
        <f>Test_Bible!Q151</f>
        <v>3</v>
      </c>
      <c r="K28" s="1253"/>
      <c r="L28" s="1253"/>
      <c r="M28" s="1253"/>
      <c r="N28" s="1253"/>
      <c r="O28" s="1253"/>
    </row>
    <row r="29" spans="1:15" ht="61" customHeight="1" x14ac:dyDescent="0.2">
      <c r="A29" s="1223"/>
      <c r="B29" s="1366" t="str">
        <f>BIBLE!E71</f>
        <v>PCR15a</v>
      </c>
      <c r="C29" s="1366" t="str">
        <f>BIBLE!F71</f>
        <v>Avez-vous mis votre enfant au courant des enjeux juridiques (pension alimentaire, modalité de garde, etc.) qui vous oppose à l’autre parent ?</v>
      </c>
      <c r="D29" s="1269" t="s">
        <v>965</v>
      </c>
      <c r="E29" s="646">
        <v>0</v>
      </c>
      <c r="F29" s="646"/>
      <c r="G29" s="501" t="s">
        <v>46</v>
      </c>
      <c r="I29" s="1224"/>
      <c r="J29" s="1224"/>
      <c r="K29" s="1252"/>
      <c r="L29" s="1252"/>
      <c r="M29" s="1251" t="s">
        <v>962</v>
      </c>
      <c r="N29" s="1252"/>
      <c r="O29" s="1251" t="s">
        <v>962</v>
      </c>
    </row>
    <row r="30" spans="1:15" ht="31" x14ac:dyDescent="0.2">
      <c r="A30" s="1227"/>
      <c r="B30" s="16"/>
      <c r="C30" s="297"/>
      <c r="D30" s="1228"/>
      <c r="E30" s="501"/>
      <c r="F30" s="501"/>
      <c r="G30" s="501"/>
      <c r="I30" s="1224"/>
      <c r="J30" s="1224"/>
      <c r="M30" s="1219"/>
      <c r="O30" s="1219"/>
    </row>
    <row r="31" spans="1:15" ht="36" customHeight="1" x14ac:dyDescent="0.2">
      <c r="A31" s="1229" t="s">
        <v>487</v>
      </c>
      <c r="B31" s="574"/>
      <c r="C31" s="1077"/>
      <c r="D31" s="1077"/>
      <c r="E31" s="1077"/>
      <c r="F31" s="1077"/>
      <c r="G31" s="1077"/>
      <c r="H31" s="1077"/>
      <c r="I31" s="1077"/>
      <c r="J31" s="1077"/>
    </row>
    <row r="32" spans="1:15" ht="34" x14ac:dyDescent="0.2">
      <c r="A32" s="1230"/>
      <c r="B32" s="1270" t="str">
        <f>BIBLE!E82</f>
        <v>PFA02</v>
      </c>
      <c r="C32" s="1271" t="s">
        <v>542</v>
      </c>
      <c r="D32" s="1272"/>
      <c r="E32" s="1231">
        <v>1</v>
      </c>
      <c r="F32" s="1231"/>
      <c r="G32" s="1232" t="s">
        <v>54</v>
      </c>
      <c r="H32" s="1233" t="s">
        <v>410</v>
      </c>
      <c r="I32" s="1234">
        <f>Test_Bible!P166</f>
        <v>5</v>
      </c>
      <c r="J32" s="1234">
        <f>Test_Bible!Q166</f>
        <v>5</v>
      </c>
      <c r="K32" s="1253"/>
      <c r="L32" s="1253"/>
      <c r="M32" s="1253"/>
      <c r="N32" s="1253"/>
      <c r="O32" s="1253"/>
    </row>
    <row r="33" spans="1:15" ht="90" customHeight="1" x14ac:dyDescent="0.2">
      <c r="A33" s="421"/>
      <c r="B33" s="1270" t="str">
        <f>BIBLE!E83</f>
        <v>PFA02a</v>
      </c>
      <c r="C33" s="1047" t="s">
        <v>543</v>
      </c>
      <c r="D33" s="1266" t="s">
        <v>968</v>
      </c>
      <c r="E33" s="1231">
        <v>1</v>
      </c>
      <c r="F33" s="1231"/>
      <c r="G33" s="501" t="s">
        <v>94</v>
      </c>
      <c r="I33" s="501"/>
      <c r="J33" s="501"/>
      <c r="K33" s="1252"/>
      <c r="L33" s="1252"/>
      <c r="M33" s="1251"/>
      <c r="N33" s="1251" t="s">
        <v>1313</v>
      </c>
      <c r="O33" s="1251" t="s">
        <v>962</v>
      </c>
    </row>
    <row r="34" spans="1:15" s="7" customFormat="1" ht="34" x14ac:dyDescent="0.2">
      <c r="A34" s="421"/>
      <c r="B34" s="1270" t="str">
        <f>BIBLE!E125</f>
        <v>PFA25</v>
      </c>
      <c r="C34" s="1271" t="s">
        <v>442</v>
      </c>
      <c r="D34" s="1272"/>
      <c r="E34" s="580">
        <v>1</v>
      </c>
      <c r="F34" s="580"/>
      <c r="G34" s="501" t="s">
        <v>3</v>
      </c>
      <c r="H34" s="584" t="s">
        <v>448</v>
      </c>
      <c r="I34" s="1220">
        <f>Test_Bible!P211</f>
        <v>4</v>
      </c>
      <c r="J34" s="1220">
        <f>Test_Bible!Q211</f>
        <v>4</v>
      </c>
      <c r="K34" s="1255"/>
      <c r="L34" s="1255"/>
      <c r="M34" s="1255"/>
      <c r="N34" s="1255"/>
      <c r="O34" s="1255"/>
    </row>
    <row r="35" spans="1:15" s="7" customFormat="1" ht="45" customHeight="1" x14ac:dyDescent="0.2">
      <c r="A35" s="421"/>
      <c r="B35" s="1270" t="str">
        <f>BIBLE!E126</f>
        <v>PFA25a</v>
      </c>
      <c r="C35" s="1047" t="s">
        <v>546</v>
      </c>
      <c r="D35" s="1273" t="s">
        <v>447</v>
      </c>
      <c r="E35" s="588">
        <v>2</v>
      </c>
      <c r="F35" s="588"/>
      <c r="G35" s="501" t="s">
        <v>133</v>
      </c>
      <c r="H35" s="586" t="s">
        <v>453</v>
      </c>
      <c r="I35" s="133"/>
      <c r="J35" s="133"/>
      <c r="K35" s="1254"/>
      <c r="L35" s="1254"/>
      <c r="M35" s="1254"/>
      <c r="N35" s="1251" t="s">
        <v>962</v>
      </c>
      <c r="O35" s="1254"/>
    </row>
    <row r="36" spans="1:15" s="7" customFormat="1" ht="51" x14ac:dyDescent="0.2">
      <c r="A36" s="421"/>
      <c r="B36" s="1367" t="str">
        <f>BIBLE!E131</f>
        <v>PFA39</v>
      </c>
      <c r="C36" s="1367" t="str">
        <f>BIBLE!F131</f>
        <v xml:space="preserve">Dans quelle mesure est-ce que l'autre parent se dit impuissant et non responsable de la décision de votre enfant de ne plus respecter l'entente de garde ? </v>
      </c>
      <c r="D36" s="1274"/>
      <c r="E36" s="587">
        <v>3</v>
      </c>
      <c r="F36" s="587"/>
      <c r="G36" s="501" t="s">
        <v>6</v>
      </c>
      <c r="H36" s="584" t="s">
        <v>451</v>
      </c>
      <c r="I36" s="624">
        <f>Test_Bible!P220</f>
        <v>0</v>
      </c>
      <c r="J36" s="624">
        <f>Test_Bible!Q220</f>
        <v>0</v>
      </c>
      <c r="K36" s="1255"/>
      <c r="L36" s="1255"/>
      <c r="M36" s="1255"/>
      <c r="N36" s="1255"/>
      <c r="O36" s="1255"/>
    </row>
    <row r="37" spans="1:15" s="7" customFormat="1" ht="106" customHeight="1" x14ac:dyDescent="0.2">
      <c r="A37" s="421"/>
      <c r="B37" s="1366" t="str">
        <f>BIBLE!E133</f>
        <v>PFA29a</v>
      </c>
      <c r="C37" s="1366" t="str">
        <f>BIBLE!F133</f>
        <v>Quels types de décisions ont été prises sans votre consentement ou connaissance de votre part ?</v>
      </c>
      <c r="D37" s="1268" t="s">
        <v>571</v>
      </c>
      <c r="E37" s="605">
        <v>0</v>
      </c>
      <c r="F37" s="605"/>
      <c r="G37" s="501" t="s">
        <v>51</v>
      </c>
      <c r="H37" s="584"/>
      <c r="I37" s="1235"/>
      <c r="J37" s="1235"/>
      <c r="K37" s="1254"/>
      <c r="L37" s="1254"/>
      <c r="M37" s="1251" t="s">
        <v>962</v>
      </c>
      <c r="N37" s="1486" t="s">
        <v>1221</v>
      </c>
      <c r="O37" s="1251" t="s">
        <v>962</v>
      </c>
    </row>
    <row r="38" spans="1:15" s="7" customFormat="1" ht="41" customHeight="1" x14ac:dyDescent="0.2">
      <c r="A38" s="421"/>
      <c r="B38" s="1366" t="str">
        <f>BIBLE!E134</f>
        <v>PFA29b</v>
      </c>
      <c r="C38" s="1366" t="str">
        <f>BIBLE!F134</f>
        <v>Avez-vous été déchu·e (totalement ou en partie) de votre autorité parentale ?</v>
      </c>
      <c r="D38" s="1275" t="s">
        <v>966</v>
      </c>
      <c r="E38" s="580">
        <v>1</v>
      </c>
      <c r="F38" s="580"/>
      <c r="G38" s="501" t="s">
        <v>46</v>
      </c>
      <c r="H38" s="584"/>
      <c r="I38" s="1226"/>
      <c r="J38" s="1226"/>
      <c r="K38" s="1254"/>
      <c r="L38" s="1254"/>
      <c r="M38" s="1254"/>
      <c r="N38" s="1254"/>
      <c r="O38" s="1251" t="s">
        <v>962</v>
      </c>
    </row>
    <row r="39" spans="1:15" ht="46" customHeight="1" x14ac:dyDescent="0.2">
      <c r="A39" s="421"/>
      <c r="B39" s="1366" t="str">
        <f>BIBLE!E136</f>
        <v>PFA30a</v>
      </c>
      <c r="C39" s="1366" t="str">
        <f>BIBLE!F136</f>
        <v>L’autre parent cherche à vous exclure de la vie de votre enfant.</v>
      </c>
      <c r="D39" s="1276"/>
      <c r="E39" s="587">
        <v>3</v>
      </c>
      <c r="F39" s="587"/>
      <c r="G39" s="501" t="s">
        <v>7</v>
      </c>
      <c r="H39" s="584" t="s">
        <v>452</v>
      </c>
      <c r="I39" s="1220">
        <f>Test_Bible!P235</f>
        <v>0</v>
      </c>
      <c r="J39" s="1220">
        <f>Test_Bible!Q235</f>
        <v>0</v>
      </c>
      <c r="K39" s="1253"/>
      <c r="L39" s="1253"/>
      <c r="M39" s="1253"/>
      <c r="N39" s="1253"/>
      <c r="O39" s="1253"/>
    </row>
    <row r="40" spans="1:15" ht="46" customHeight="1" x14ac:dyDescent="0.2">
      <c r="A40" s="421"/>
      <c r="B40" s="1366" t="str">
        <f>BIBLE!E137</f>
        <v>PFA30a1</v>
      </c>
      <c r="C40" s="1368" t="str">
        <f>BIBLE!F137</f>
        <v>Est-ce que l'autre parent fait ou a déjà fait des menaces (claires ou voilées) de vous enlever les enfants ?</v>
      </c>
      <c r="D40" s="1277"/>
      <c r="E40" s="587">
        <v>3</v>
      </c>
      <c r="F40" s="587"/>
      <c r="G40" s="501" t="s">
        <v>3</v>
      </c>
      <c r="H40" s="584" t="s">
        <v>448</v>
      </c>
      <c r="I40" s="1220">
        <f>Test_Bible!P236</f>
        <v>0</v>
      </c>
      <c r="J40" s="1220">
        <f>Test_Bible!Q236</f>
        <v>0</v>
      </c>
      <c r="K40" s="1252"/>
      <c r="L40" s="1252"/>
      <c r="M40" s="1252"/>
      <c r="N40" s="1252"/>
      <c r="O40" s="1252"/>
    </row>
    <row r="41" spans="1:15" ht="136" x14ac:dyDescent="0.2">
      <c r="A41" s="421"/>
      <c r="B41" s="1366" t="str">
        <f>BIBLE!E138</f>
        <v>PFA30a2</v>
      </c>
      <c r="C41" s="1366" t="str">
        <f>BIBLE!F138</f>
        <v>Quels sont les comportements ou attitudes qui vous laissent croire que l'autre parent cherche à vous exclure de la vie de votre enfant ?</v>
      </c>
      <c r="D41" s="1266" t="s">
        <v>570</v>
      </c>
      <c r="E41" s="605">
        <v>0</v>
      </c>
      <c r="F41" s="605"/>
      <c r="G41" s="501" t="s">
        <v>51</v>
      </c>
      <c r="I41" s="501"/>
      <c r="J41" s="501"/>
      <c r="K41" s="1252"/>
      <c r="L41" s="1252"/>
      <c r="M41" s="1251" t="s">
        <v>962</v>
      </c>
      <c r="N41" s="1251" t="s">
        <v>1313</v>
      </c>
      <c r="O41" s="1251" t="s">
        <v>962</v>
      </c>
    </row>
    <row r="42" spans="1:15" s="7" customFormat="1" ht="34" x14ac:dyDescent="0.2">
      <c r="A42" s="421"/>
      <c r="B42" s="1367" t="str">
        <f>BIBLE!E146</f>
        <v>PFA36</v>
      </c>
      <c r="C42" s="1367" t="str">
        <f>BIBLE!F146</f>
        <v>L’autre parent demande à votre enfant de choisir avec quel parent il veut vivre.</v>
      </c>
      <c r="D42" s="1278"/>
      <c r="E42" s="604">
        <v>3</v>
      </c>
      <c r="F42" s="604"/>
      <c r="G42" s="501" t="s">
        <v>6</v>
      </c>
      <c r="H42" s="584" t="s">
        <v>451</v>
      </c>
      <c r="I42" s="1236">
        <f>Test_Bible!P234</f>
        <v>0</v>
      </c>
      <c r="J42" s="1236">
        <f>Test_Bible!Q234</f>
        <v>0</v>
      </c>
      <c r="K42" s="1255"/>
      <c r="L42" s="1255"/>
      <c r="M42" s="1255"/>
      <c r="N42" s="1255"/>
      <c r="O42" s="1255"/>
    </row>
    <row r="43" spans="1:15" ht="102" x14ac:dyDescent="0.2">
      <c r="A43" s="421"/>
      <c r="B43" s="1367" t="str">
        <f>BIBLE!E147</f>
        <v>PFA38</v>
      </c>
      <c r="C43" s="1367" t="str">
        <f>BIBLE!F147</f>
        <v>Selon vous, quels sont les enjeux les plus importants pour l'autre parent au niveau de la garde des enfants ?</v>
      </c>
      <c r="D43" s="1279" t="s">
        <v>445</v>
      </c>
      <c r="E43" s="1237" t="s">
        <v>154</v>
      </c>
      <c r="F43" s="1237"/>
      <c r="G43" s="501" t="s">
        <v>51</v>
      </c>
      <c r="H43" s="586" t="s">
        <v>454</v>
      </c>
      <c r="I43" s="501"/>
      <c r="J43" s="501"/>
      <c r="K43" s="1252"/>
      <c r="L43" s="1252"/>
      <c r="M43" s="1251" t="s">
        <v>962</v>
      </c>
      <c r="N43" s="1251" t="s">
        <v>1313</v>
      </c>
      <c r="O43" s="1251" t="s">
        <v>962</v>
      </c>
    </row>
    <row r="44" spans="1:15" ht="55" customHeight="1" x14ac:dyDescent="0.2">
      <c r="A44" s="16"/>
      <c r="B44" s="1210"/>
      <c r="C44" s="297"/>
      <c r="D44" s="1211"/>
      <c r="E44" s="501"/>
      <c r="F44" s="501"/>
      <c r="G44" s="501"/>
      <c r="I44" s="501"/>
      <c r="J44" s="501"/>
    </row>
    <row r="45" spans="1:15" ht="42" customHeight="1" x14ac:dyDescent="0.2">
      <c r="A45" s="1238" t="s">
        <v>155</v>
      </c>
      <c r="B45" s="551"/>
      <c r="C45" s="1239"/>
      <c r="D45" s="1080"/>
      <c r="E45" s="606"/>
      <c r="F45" s="606"/>
      <c r="G45" s="1240"/>
      <c r="H45" s="1241"/>
      <c r="I45" s="1240"/>
      <c r="J45" s="1240"/>
    </row>
    <row r="46" spans="1:15" s="162" customFormat="1" ht="42" customHeight="1" x14ac:dyDescent="0.2">
      <c r="A46" s="1242" t="s">
        <v>68</v>
      </c>
      <c r="B46" s="1280" t="str">
        <f>BIBLE!E159</f>
        <v>E05</v>
      </c>
      <c r="C46" s="1369" t="str">
        <f>BIBLE!F159</f>
        <v>Votre enfant s’exprime avec des expressions ou des paroles empruntées à l’autre parent.</v>
      </c>
      <c r="D46" s="1281"/>
      <c r="E46" s="588">
        <v>2</v>
      </c>
      <c r="F46" s="588"/>
      <c r="G46" s="501" t="s">
        <v>3</v>
      </c>
      <c r="H46" s="584" t="s">
        <v>448</v>
      </c>
      <c r="I46" s="1224">
        <f>Test_Bible!P272</f>
        <v>4</v>
      </c>
      <c r="J46" s="1224">
        <f>Test_Bible!Q272</f>
        <v>8</v>
      </c>
      <c r="K46" s="1253"/>
      <c r="L46" s="1253"/>
      <c r="M46" s="1253"/>
      <c r="N46" s="1253"/>
      <c r="O46" s="1253"/>
    </row>
    <row r="47" spans="1:15" s="162" customFormat="1" ht="86" customHeight="1" x14ac:dyDescent="0.2">
      <c r="A47" s="1242" t="s">
        <v>68</v>
      </c>
      <c r="B47" s="1280" t="str">
        <f>BIBLE!E160</f>
        <v>E05a</v>
      </c>
      <c r="C47" s="1366" t="str">
        <f>BIBLE!F160</f>
        <v>Dans quels contextes ou à quelles occasions cela se produit-il ?</v>
      </c>
      <c r="D47" s="1273" t="s">
        <v>446</v>
      </c>
      <c r="E47" s="588">
        <v>2</v>
      </c>
      <c r="F47" s="588"/>
      <c r="G47" s="501" t="s">
        <v>572</v>
      </c>
      <c r="H47" s="586" t="s">
        <v>455</v>
      </c>
      <c r="I47" s="433"/>
      <c r="J47" s="433"/>
      <c r="K47" s="1252"/>
      <c r="L47" s="1252"/>
      <c r="M47" s="1251" t="s">
        <v>962</v>
      </c>
      <c r="N47" s="1252"/>
      <c r="O47" s="1251" t="s">
        <v>962</v>
      </c>
    </row>
    <row r="48" spans="1:15" s="162" customFormat="1" ht="44" customHeight="1" x14ac:dyDescent="0.2">
      <c r="A48" s="1242"/>
      <c r="B48" s="1280" t="str">
        <f>BIBLE!E173</f>
        <v>E16</v>
      </c>
      <c r="C48" s="1369" t="str">
        <f>BIBLE!F173</f>
        <v>Votre enfant demande à modifier les horaires de garde et de visite.</v>
      </c>
      <c r="D48" s="1694"/>
      <c r="E48" s="588"/>
      <c r="F48" s="588"/>
      <c r="G48" s="501"/>
      <c r="H48" s="586"/>
      <c r="I48" s="433"/>
      <c r="J48" s="433"/>
      <c r="K48" s="1253"/>
      <c r="L48" s="1253"/>
      <c r="M48" s="1253"/>
      <c r="N48" s="1253"/>
      <c r="O48" s="1253"/>
    </row>
    <row r="49" spans="1:15" s="162" customFormat="1" ht="41" customHeight="1" x14ac:dyDescent="0.2">
      <c r="A49" s="1242"/>
      <c r="B49" s="1700" t="str">
        <f>BIBLE!E174</f>
        <v>E16a</v>
      </c>
      <c r="C49" s="1706" t="str">
        <f>BIBLE!F174</f>
        <v>Dans quel contexte votre enfant demande-t-il ou elle à changer les horaires de garde et de visite chez l'un et l'autre des parents ?</v>
      </c>
      <c r="D49" s="1707"/>
      <c r="E49" s="587"/>
      <c r="F49" s="587"/>
      <c r="G49" s="587"/>
      <c r="H49" s="1708"/>
      <c r="I49" s="1709"/>
      <c r="J49" s="1709"/>
      <c r="K49" s="1705" t="s">
        <v>962</v>
      </c>
      <c r="L49" s="1704"/>
      <c r="M49" s="1705"/>
      <c r="N49" s="1704"/>
      <c r="O49" s="1705"/>
    </row>
    <row r="50" spans="1:15" s="162" customFormat="1" ht="42" customHeight="1" x14ac:dyDescent="0.2">
      <c r="A50" s="1242" t="s">
        <v>68</v>
      </c>
      <c r="B50" s="1280" t="str">
        <f>BIBLE!E191</f>
        <v>E27</v>
      </c>
      <c r="C50" s="1369" t="str">
        <f>BIBLE!F191</f>
        <v>Dans quelle mesure notez-vous un changement au niveau du comportement de votre enfant à son retour de garde ?</v>
      </c>
      <c r="D50" s="1281"/>
      <c r="E50" s="588">
        <v>2</v>
      </c>
      <c r="F50" s="588"/>
      <c r="G50" s="501" t="s">
        <v>3</v>
      </c>
      <c r="H50" s="584" t="s">
        <v>448</v>
      </c>
      <c r="I50" s="1224">
        <f>Test_Bible!P312</f>
        <v>4</v>
      </c>
      <c r="J50" s="1224">
        <f>Test_Bible!Q312</f>
        <v>8</v>
      </c>
      <c r="K50" s="1253"/>
      <c r="L50" s="1253"/>
      <c r="M50" s="1253"/>
      <c r="N50" s="1253"/>
      <c r="O50" s="1253"/>
    </row>
    <row r="51" spans="1:15" s="162" customFormat="1" ht="34" x14ac:dyDescent="0.2">
      <c r="A51" s="1242" t="s">
        <v>68</v>
      </c>
      <c r="B51" s="1280" t="str">
        <f>BIBLE!E192</f>
        <v>E27a</v>
      </c>
      <c r="C51" s="1366" t="str">
        <f>BIBLE!F192</f>
        <v>De manière générale, au retour d'un séjour chez l'autre parent, votre enfant vous paraît :</v>
      </c>
      <c r="D51" s="1268" t="s">
        <v>187</v>
      </c>
      <c r="E51" s="547">
        <v>0</v>
      </c>
      <c r="F51" s="547"/>
      <c r="G51" s="501" t="s">
        <v>188</v>
      </c>
      <c r="H51" s="584"/>
      <c r="I51" s="1243"/>
      <c r="J51" s="1243"/>
      <c r="K51" s="1252"/>
      <c r="L51" s="1252"/>
      <c r="M51" s="1251" t="s">
        <v>962</v>
      </c>
      <c r="N51" s="1252"/>
      <c r="O51" s="1251" t="s">
        <v>962</v>
      </c>
    </row>
    <row r="52" spans="1:15" ht="42" customHeight="1" x14ac:dyDescent="0.2">
      <c r="A52" s="1244"/>
      <c r="B52" s="1280" t="str">
        <f>BIBLE!E206</f>
        <v>E36</v>
      </c>
      <c r="C52" s="1280" t="str">
        <f>BIBLE!F206</f>
        <v>Est-ce que votre enfant présente des troubles psychosomatiques en ce moment?</v>
      </c>
      <c r="D52" s="1282" t="s">
        <v>965</v>
      </c>
      <c r="E52" s="594">
        <v>0</v>
      </c>
      <c r="F52" s="594"/>
      <c r="G52" s="501" t="s">
        <v>46</v>
      </c>
      <c r="H52" s="584"/>
      <c r="I52" s="1225"/>
      <c r="J52" s="1225"/>
      <c r="K52" s="1253"/>
      <c r="L52" s="1253"/>
      <c r="M52" s="1253"/>
      <c r="N52" s="1253"/>
      <c r="O52" s="1253"/>
    </row>
    <row r="53" spans="1:15" ht="170" x14ac:dyDescent="0.2">
      <c r="A53" s="1244"/>
      <c r="B53" s="1280" t="str">
        <f>BIBLE!E207</f>
        <v>E36a</v>
      </c>
      <c r="C53" s="1366" t="str">
        <f>BIBLE!F207</f>
        <v>Quelles sont les manifestations ou troubles psychosomatiques présents chez votre enfant et à quelle fréquence?</v>
      </c>
      <c r="D53" s="1283" t="s">
        <v>502</v>
      </c>
      <c r="E53" s="594">
        <v>0</v>
      </c>
      <c r="F53" s="594"/>
      <c r="G53" s="501" t="s">
        <v>520</v>
      </c>
      <c r="H53" s="584" t="s">
        <v>448</v>
      </c>
      <c r="I53" s="1225"/>
      <c r="J53" s="1225"/>
      <c r="K53" s="1252"/>
      <c r="L53" s="1251" t="s">
        <v>962</v>
      </c>
      <c r="M53" s="1251" t="s">
        <v>962</v>
      </c>
      <c r="N53" s="1252"/>
      <c r="O53" s="1251" t="s">
        <v>962</v>
      </c>
    </row>
    <row r="54" spans="1:15" ht="170" x14ac:dyDescent="0.2">
      <c r="A54" s="1244"/>
      <c r="B54" s="1280" t="str">
        <f>BIBLE!E207</f>
        <v>E36a</v>
      </c>
      <c r="C54" s="1366" t="str">
        <f>BIBLE!F207</f>
        <v>Quelles sont les manifestations ou troubles psychosomatiques présents chez votre enfant et à quelle fréquence?</v>
      </c>
      <c r="D54" s="1283" t="s">
        <v>502</v>
      </c>
      <c r="E54" s="594">
        <v>0</v>
      </c>
      <c r="F54" s="594"/>
      <c r="G54" s="501" t="s">
        <v>520</v>
      </c>
      <c r="H54" s="584" t="s">
        <v>448</v>
      </c>
      <c r="I54" s="501"/>
      <c r="J54" s="501"/>
      <c r="K54" s="1254"/>
      <c r="L54" s="1254"/>
      <c r="M54" s="1251" t="s">
        <v>962</v>
      </c>
      <c r="N54" s="1254"/>
      <c r="O54" s="1251" t="s">
        <v>962</v>
      </c>
    </row>
    <row r="55" spans="1:15" ht="77" customHeight="1" x14ac:dyDescent="0.2">
      <c r="A55" s="1244"/>
      <c r="B55" s="1280" t="str">
        <f>BIBLE!E209</f>
        <v>E37</v>
      </c>
      <c r="C55" s="1366" t="str">
        <f>BIBLE!F209</f>
        <v xml:space="preserve">Vous notez un changement de comportement chez votre enfant au moment de retouner chez l'autre parent (changement de garde). </v>
      </c>
      <c r="D55" s="1283"/>
      <c r="E55" s="594"/>
      <c r="F55" s="594"/>
      <c r="G55" s="501"/>
      <c r="H55" s="584"/>
      <c r="I55" s="501"/>
      <c r="J55" s="501"/>
      <c r="K55" s="1255"/>
      <c r="L55" s="1255"/>
      <c r="M55" s="1523"/>
      <c r="N55" s="1255"/>
      <c r="O55" s="1523"/>
    </row>
    <row r="56" spans="1:15" s="7" customFormat="1" ht="39" customHeight="1" x14ac:dyDescent="0.2">
      <c r="A56" s="1244"/>
      <c r="B56" s="1280" t="str">
        <f>BIBLE!E210</f>
        <v>E37a</v>
      </c>
      <c r="C56" s="1366" t="str">
        <f>BIBLE!F210</f>
        <v>Au moment de retouner chez l'autre parent (changement de garde), votre enfant vous paraît :</v>
      </c>
      <c r="D56" s="1268" t="s">
        <v>187</v>
      </c>
      <c r="E56" s="594"/>
      <c r="F56" s="594"/>
      <c r="G56" s="501"/>
      <c r="H56" s="584"/>
      <c r="I56" s="501"/>
      <c r="J56" s="501"/>
      <c r="K56" s="1254"/>
      <c r="L56" s="1254"/>
      <c r="M56" s="1251" t="s">
        <v>962</v>
      </c>
      <c r="N56" s="1252"/>
      <c r="O56" s="1251" t="s">
        <v>962</v>
      </c>
    </row>
    <row r="57" spans="1:15" s="7" customFormat="1" ht="39" customHeight="1" x14ac:dyDescent="0.2">
      <c r="A57" s="1227"/>
      <c r="B57" s="16"/>
      <c r="C57" s="297"/>
      <c r="D57" s="1384"/>
      <c r="E57" s="501"/>
      <c r="F57" s="501"/>
      <c r="G57" s="501"/>
      <c r="H57" s="584"/>
      <c r="I57" s="501"/>
      <c r="J57" s="501"/>
      <c r="M57" s="1219"/>
      <c r="N57"/>
      <c r="O57" s="1219"/>
    </row>
    <row r="58" spans="1:15" s="7" customFormat="1" ht="51" x14ac:dyDescent="0.2">
      <c r="A58" s="1695" t="s">
        <v>1421</v>
      </c>
      <c r="B58" s="1696"/>
      <c r="C58" s="1697"/>
      <c r="D58" s="1698"/>
      <c r="E58" s="606"/>
      <c r="F58" s="606"/>
      <c r="G58" s="1240"/>
      <c r="H58" s="1241"/>
      <c r="I58" s="1240"/>
      <c r="J58" s="1240"/>
      <c r="K58"/>
      <c r="L58"/>
      <c r="M58"/>
      <c r="N58"/>
      <c r="O58"/>
    </row>
    <row r="59" spans="1:15" ht="95" customHeight="1" x14ac:dyDescent="0.2">
      <c r="A59" s="1699" t="s">
        <v>68</v>
      </c>
      <c r="B59" s="1700" t="str">
        <f>BIBLE!E221</f>
        <v>NC04</v>
      </c>
      <c r="C59" s="1700" t="str">
        <f>BIBLE!F221</f>
        <v>Comment qualifieriez-vous votre relation avec le nouveau ou nouvelle conjoint·e de l'autre parent ?</v>
      </c>
      <c r="D59" s="1701">
        <f>BIBLE!L221</f>
        <v>0</v>
      </c>
      <c r="E59" s="587">
        <v>2</v>
      </c>
      <c r="F59" s="587"/>
      <c r="G59" s="587" t="s">
        <v>3</v>
      </c>
      <c r="H59" s="1702" t="s">
        <v>448</v>
      </c>
      <c r="I59" s="1703">
        <f>Test_Bible!P284</f>
        <v>4</v>
      </c>
      <c r="J59" s="1703">
        <f>Test_Bible!Q284</f>
        <v>8</v>
      </c>
      <c r="K59" s="1704"/>
      <c r="L59" s="1704"/>
      <c r="M59" s="1705" t="s">
        <v>962</v>
      </c>
      <c r="N59" s="1704"/>
      <c r="O59" s="1705"/>
    </row>
    <row r="60" spans="1:15" ht="55" customHeight="1" x14ac:dyDescent="0.2">
      <c r="A60" s="1227"/>
      <c r="B60" s="1210"/>
      <c r="C60" s="297"/>
      <c r="D60" s="1245"/>
      <c r="E60" s="501"/>
      <c r="F60" s="501"/>
      <c r="G60" s="501"/>
      <c r="H60" s="584"/>
      <c r="I60" s="501"/>
      <c r="J60" s="501"/>
      <c r="K60" s="7"/>
      <c r="L60" s="7"/>
      <c r="M60" s="7"/>
      <c r="N60" s="7"/>
      <c r="O60" s="7"/>
    </row>
    <row r="61" spans="1:15" ht="150" x14ac:dyDescent="0.2">
      <c r="A61" s="2246"/>
      <c r="B61" s="1264" t="str">
        <f>BIBLE!E213</f>
        <v>PCR20</v>
      </c>
      <c r="C61" s="1364" t="str">
        <f>BIBLE!F213</f>
        <v xml:space="preserve">Au retour d’un séjour chez l’autre parent : 
Votre enfant est agressif envers vous et vous accable de reproches. Comment réagissez-vous ?
</v>
      </c>
      <c r="D61" s="1284" t="s">
        <v>430</v>
      </c>
      <c r="E61" s="607">
        <v>0</v>
      </c>
      <c r="F61" s="607"/>
      <c r="G61" s="1225" t="s">
        <v>66</v>
      </c>
      <c r="H61" s="586" t="s">
        <v>456</v>
      </c>
      <c r="I61" s="433"/>
      <c r="J61" s="433"/>
      <c r="K61" s="1252"/>
      <c r="L61" s="1252"/>
      <c r="M61" s="1251"/>
      <c r="N61" s="1601" t="s">
        <v>1264</v>
      </c>
      <c r="O61" s="1251" t="s">
        <v>962</v>
      </c>
    </row>
    <row r="62" spans="1:15" ht="85" customHeight="1" x14ac:dyDescent="0.2">
      <c r="A62" s="2246"/>
      <c r="B62" s="1264" t="str">
        <f>BIBLE!E214</f>
        <v>PCR21</v>
      </c>
      <c r="C62" s="1364" t="str">
        <f>BIBLE!F214</f>
        <v>Au retour d’un séjour chez l’autre parent :
Votre enfant vous accuse de mentir ou de voler l'argent de l'autre parent. Comment réagissez-vous ?</v>
      </c>
      <c r="D62" s="1285" t="s">
        <v>964</v>
      </c>
      <c r="E62" s="607">
        <v>0</v>
      </c>
      <c r="F62" s="607"/>
      <c r="G62" s="1225" t="s">
        <v>66</v>
      </c>
      <c r="H62" s="586" t="s">
        <v>457</v>
      </c>
      <c r="I62" s="433"/>
      <c r="J62" s="433"/>
      <c r="K62" s="1252"/>
      <c r="L62" s="1252"/>
      <c r="M62" s="1252"/>
      <c r="N62" s="1602"/>
      <c r="O62" s="1251" t="s">
        <v>962</v>
      </c>
    </row>
    <row r="63" spans="1:15" ht="49" customHeight="1" x14ac:dyDescent="0.2">
      <c r="A63" s="534"/>
      <c r="B63" s="16"/>
      <c r="C63" s="297"/>
      <c r="D63" s="1246"/>
      <c r="E63" s="662"/>
      <c r="F63" s="662"/>
      <c r="G63" s="1225"/>
      <c r="I63" s="1225"/>
      <c r="J63" s="1225"/>
      <c r="N63" s="1292"/>
      <c r="O63" s="1219"/>
    </row>
    <row r="64" spans="1:15" ht="86" customHeight="1" x14ac:dyDescent="0.2">
      <c r="A64" s="1754"/>
      <c r="B64" s="1754" t="str">
        <f>BIBLE!E221</f>
        <v>NC04</v>
      </c>
      <c r="C64" s="1754" t="str">
        <f>BIBLE!F221</f>
        <v>Comment qualifieriez-vous votre relation avec le nouveau ou nouvelle conjoint·e de l'autre parent ?</v>
      </c>
      <c r="D64" s="1755">
        <f>BIBLE!L221</f>
        <v>0</v>
      </c>
      <c r="E64" s="1756"/>
      <c r="F64" s="1756"/>
      <c r="G64" s="1757"/>
      <c r="H64" s="1758"/>
      <c r="I64" s="1757"/>
      <c r="J64" s="1757"/>
      <c r="K64" s="111"/>
      <c r="L64" s="111"/>
      <c r="M64" s="111"/>
      <c r="N64" s="1759"/>
      <c r="O64" s="1760"/>
    </row>
    <row r="65" spans="1:15" ht="49" customHeight="1" x14ac:dyDescent="0.2">
      <c r="A65" s="1754"/>
      <c r="B65" s="1754"/>
      <c r="C65" s="1754"/>
      <c r="D65" s="1755"/>
      <c r="E65" s="1756"/>
      <c r="F65" s="1756"/>
      <c r="G65" s="1757"/>
      <c r="H65" s="1758"/>
      <c r="I65" s="1757"/>
      <c r="J65" s="1757"/>
      <c r="K65" s="111"/>
      <c r="L65" s="111"/>
      <c r="M65" s="111"/>
      <c r="N65" s="1759"/>
      <c r="O65" s="1760"/>
    </row>
    <row r="66" spans="1:15" ht="49" customHeight="1" x14ac:dyDescent="0.2">
      <c r="A66" s="1754"/>
      <c r="B66" s="1754"/>
      <c r="C66" s="1754"/>
      <c r="D66" s="1755"/>
      <c r="E66" s="1756"/>
      <c r="F66" s="1756"/>
      <c r="G66" s="1757"/>
      <c r="H66" s="1758"/>
      <c r="I66" s="1757"/>
      <c r="J66" s="1757"/>
      <c r="K66" s="111"/>
      <c r="L66" s="111"/>
      <c r="M66" s="111"/>
      <c r="N66" s="1759"/>
      <c r="O66" s="1760"/>
    </row>
    <row r="67" spans="1:15" ht="16" x14ac:dyDescent="0.2">
      <c r="A67" s="534"/>
      <c r="B67" s="1210"/>
      <c r="C67" s="297"/>
      <c r="D67" s="1246"/>
      <c r="E67" s="662"/>
      <c r="F67" s="662"/>
      <c r="G67" s="1225"/>
      <c r="I67" s="1225"/>
      <c r="J67" s="1225"/>
    </row>
    <row r="68" spans="1:15" ht="102" x14ac:dyDescent="0.2">
      <c r="A68" s="2190" t="s">
        <v>506</v>
      </c>
      <c r="B68" s="1286" t="s">
        <v>1206</v>
      </c>
      <c r="C68" s="208" t="s">
        <v>491</v>
      </c>
      <c r="D68" s="1259" t="s">
        <v>437</v>
      </c>
      <c r="E68" s="619">
        <v>0</v>
      </c>
      <c r="F68" s="619"/>
      <c r="G68" s="501" t="s">
        <v>19</v>
      </c>
      <c r="I68" s="501"/>
      <c r="J68" s="501"/>
      <c r="K68" s="1251"/>
      <c r="L68" s="1251" t="s">
        <v>962</v>
      </c>
      <c r="M68" s="1252"/>
      <c r="N68" s="1252"/>
      <c r="O68" s="1252"/>
    </row>
    <row r="69" spans="1:15" ht="189" customHeight="1" x14ac:dyDescent="0.2">
      <c r="A69" s="2190"/>
      <c r="B69" s="1286" t="s">
        <v>1207</v>
      </c>
      <c r="C69" s="208" t="s">
        <v>550</v>
      </c>
      <c r="D69" s="1259" t="s">
        <v>431</v>
      </c>
      <c r="E69" s="619">
        <v>0</v>
      </c>
      <c r="F69" s="619"/>
      <c r="G69" s="501" t="s">
        <v>19</v>
      </c>
      <c r="I69" s="501"/>
      <c r="J69" s="501"/>
      <c r="K69" s="1252"/>
      <c r="L69" s="1251" t="s">
        <v>962</v>
      </c>
      <c r="M69" s="1252"/>
      <c r="N69" s="1252"/>
      <c r="O69" s="1252"/>
    </row>
    <row r="70" spans="1:15" ht="54" customHeight="1" x14ac:dyDescent="0.2">
      <c r="A70" s="2190"/>
      <c r="B70" s="1286" t="s">
        <v>1208</v>
      </c>
      <c r="C70" s="208" t="s">
        <v>432</v>
      </c>
      <c r="D70" s="1259" t="s">
        <v>433</v>
      </c>
      <c r="E70" s="619">
        <v>0</v>
      </c>
      <c r="F70" s="619"/>
      <c r="G70" s="501" t="s">
        <v>19</v>
      </c>
      <c r="I70" s="501"/>
      <c r="J70" s="501"/>
      <c r="K70" s="1252"/>
      <c r="L70" s="1251" t="s">
        <v>962</v>
      </c>
      <c r="M70" s="1252"/>
      <c r="N70" s="1252"/>
      <c r="O70" s="1252"/>
    </row>
    <row r="71" spans="1:15" ht="40" customHeight="1" x14ac:dyDescent="0.2">
      <c r="A71" s="2190"/>
      <c r="B71" s="1286" t="s">
        <v>1209</v>
      </c>
      <c r="C71" s="1047" t="s">
        <v>434</v>
      </c>
      <c r="D71" s="1263" t="s">
        <v>435</v>
      </c>
      <c r="E71" s="1221">
        <v>0</v>
      </c>
      <c r="F71" s="1221"/>
      <c r="G71" s="501" t="s">
        <v>19</v>
      </c>
      <c r="I71" s="501"/>
      <c r="J71" s="501"/>
      <c r="K71" s="1252"/>
      <c r="L71" s="1251" t="s">
        <v>962</v>
      </c>
      <c r="M71" s="1252"/>
      <c r="N71" s="1252"/>
      <c r="O71" s="1252"/>
    </row>
    <row r="72" spans="1:15" ht="69" customHeight="1" x14ac:dyDescent="0.2">
      <c r="A72" s="2190"/>
      <c r="B72" s="1286" t="s">
        <v>1210</v>
      </c>
      <c r="C72" s="208" t="s">
        <v>557</v>
      </c>
      <c r="D72" s="1259" t="s">
        <v>510</v>
      </c>
      <c r="E72" s="619"/>
      <c r="F72" s="619"/>
      <c r="G72" s="619" t="s">
        <v>165</v>
      </c>
      <c r="H72" s="1247"/>
      <c r="I72" s="501"/>
      <c r="J72" s="501"/>
      <c r="K72" s="1252"/>
      <c r="L72" s="1251" t="s">
        <v>962</v>
      </c>
      <c r="M72" s="1252"/>
      <c r="N72" s="1252"/>
      <c r="O72" s="1252"/>
    </row>
    <row r="73" spans="1:15" ht="40" customHeight="1" x14ac:dyDescent="0.2">
      <c r="A73" s="16" t="s">
        <v>505</v>
      </c>
      <c r="B73" s="1210"/>
      <c r="C73" s="297"/>
      <c r="D73" s="622"/>
      <c r="E73" s="501"/>
      <c r="F73" s="501"/>
      <c r="G73" s="501"/>
      <c r="I73" s="501"/>
      <c r="J73" s="501"/>
    </row>
    <row r="75" spans="1:15" ht="40" customHeight="1" x14ac:dyDescent="0.2">
      <c r="A75" s="16"/>
      <c r="B75" s="1210"/>
      <c r="C75" s="1248"/>
      <c r="D75" s="297"/>
      <c r="E75" s="501"/>
      <c r="F75" s="501"/>
      <c r="G75" s="501"/>
      <c r="I75" s="501"/>
      <c r="J75" s="501"/>
    </row>
    <row r="76" spans="1:15" ht="40" customHeight="1" x14ac:dyDescent="0.2">
      <c r="B76" s="1249"/>
      <c r="C76" s="8"/>
      <c r="D76" s="8"/>
      <c r="E76" s="618"/>
      <c r="H76" s="986"/>
      <c r="I76" s="318"/>
      <c r="J76" s="318"/>
    </row>
    <row r="77" spans="1:15" ht="40" customHeight="1" x14ac:dyDescent="0.2">
      <c r="B77" s="1249"/>
      <c r="C77" s="8"/>
      <c r="D77" s="8"/>
      <c r="E77" s="618"/>
      <c r="H77" s="986"/>
      <c r="I77" s="318"/>
      <c r="J77" s="318"/>
    </row>
    <row r="78" spans="1:15" ht="40" customHeight="1" x14ac:dyDescent="0.2">
      <c r="B78" s="1249"/>
      <c r="C78" s="8"/>
      <c r="D78" s="8"/>
      <c r="E78" s="618"/>
      <c r="H78" s="986"/>
      <c r="I78" s="318"/>
      <c r="J78" s="318"/>
    </row>
    <row r="79" spans="1:15" ht="40" customHeight="1" x14ac:dyDescent="0.2">
      <c r="B79" s="1249"/>
      <c r="C79" s="8"/>
      <c r="D79" s="8"/>
      <c r="E79" s="618"/>
      <c r="H79" s="986"/>
      <c r="I79" s="318"/>
      <c r="J79" s="318"/>
    </row>
    <row r="80" spans="1:15" ht="40" customHeight="1" x14ac:dyDescent="0.2">
      <c r="B80" s="1249"/>
      <c r="C80" s="8"/>
      <c r="D80" s="8"/>
      <c r="E80" s="618"/>
      <c r="H80" s="986"/>
      <c r="I80" s="318"/>
      <c r="J80" s="318"/>
    </row>
    <row r="81" spans="1:15" ht="40" customHeight="1" x14ac:dyDescent="0.2">
      <c r="B81" s="1249"/>
      <c r="C81" s="8"/>
      <c r="D81" s="8"/>
      <c r="E81" s="618"/>
      <c r="H81" s="986"/>
      <c r="I81" s="318"/>
      <c r="J81" s="318"/>
    </row>
    <row r="82" spans="1:15" ht="40" customHeight="1" x14ac:dyDescent="0.2">
      <c r="B82" s="1249"/>
      <c r="C82" s="8"/>
      <c r="D82" s="8"/>
      <c r="E82" s="618"/>
      <c r="H82" s="986"/>
      <c r="I82" s="318"/>
      <c r="J82" s="318"/>
    </row>
    <row r="83" spans="1:15" ht="40" customHeight="1" x14ac:dyDescent="0.2">
      <c r="B83" s="1249"/>
      <c r="C83" s="8"/>
      <c r="D83" s="8"/>
      <c r="E83" s="618"/>
      <c r="H83" s="986"/>
      <c r="I83" s="318"/>
      <c r="J83" s="318"/>
    </row>
    <row r="84" spans="1:15" ht="40" customHeight="1" x14ac:dyDescent="0.2">
      <c r="B84" s="1249"/>
      <c r="C84" s="8"/>
      <c r="D84" s="8"/>
      <c r="E84" s="618"/>
      <c r="H84" s="986"/>
      <c r="I84" s="318"/>
      <c r="J84" s="318"/>
    </row>
    <row r="85" spans="1:15" ht="40" customHeight="1" x14ac:dyDescent="0.2">
      <c r="B85" s="1249"/>
      <c r="C85" s="8"/>
      <c r="D85" s="8"/>
      <c r="E85" s="618"/>
      <c r="H85" s="986"/>
      <c r="I85" s="318"/>
      <c r="J85" s="318"/>
    </row>
    <row r="86" spans="1:15" ht="40" customHeight="1" x14ac:dyDescent="0.2">
      <c r="B86" s="1249"/>
      <c r="C86" s="8"/>
      <c r="D86" s="8"/>
      <c r="E86" s="618"/>
      <c r="H86" s="986"/>
      <c r="I86" s="318"/>
      <c r="J86" s="318"/>
    </row>
    <row r="87" spans="1:15" ht="40" customHeight="1" x14ac:dyDescent="0.2">
      <c r="B87" s="1249"/>
      <c r="C87" s="8"/>
      <c r="D87" s="8"/>
      <c r="E87" s="618"/>
      <c r="H87" s="986"/>
      <c r="I87" s="318"/>
      <c r="J87" s="318"/>
    </row>
    <row r="88" spans="1:15" ht="40" customHeight="1" x14ac:dyDescent="0.2">
      <c r="B88" s="1249"/>
      <c r="C88" s="8"/>
      <c r="D88" s="8"/>
      <c r="E88" s="618"/>
      <c r="H88" s="986"/>
      <c r="I88" s="318"/>
      <c r="J88" s="318"/>
    </row>
    <row r="89" spans="1:15" ht="40" customHeight="1" x14ac:dyDescent="0.2">
      <c r="H89" s="618"/>
    </row>
    <row r="90" spans="1:15" ht="40" customHeight="1" x14ac:dyDescent="0.2">
      <c r="H90" s="618"/>
    </row>
    <row r="91" spans="1:15" ht="40" customHeight="1" x14ac:dyDescent="0.2">
      <c r="H91" s="618"/>
    </row>
    <row r="92" spans="1:15" ht="40" customHeight="1" x14ac:dyDescent="0.2">
      <c r="H92" s="618"/>
    </row>
    <row r="93" spans="1:15" ht="40" customHeight="1" x14ac:dyDescent="0.2">
      <c r="H93" s="618"/>
    </row>
    <row r="94" spans="1:15" ht="40" customHeight="1" x14ac:dyDescent="0.2">
      <c r="H94" s="618"/>
    </row>
    <row r="95" spans="1:15" s="133" customFormat="1" ht="40" customHeight="1" x14ac:dyDescent="0.2">
      <c r="A95" s="8"/>
      <c r="B95" s="1250"/>
      <c r="C95" s="17"/>
      <c r="D95" s="17"/>
      <c r="H95" s="618"/>
      <c r="K95"/>
      <c r="L95"/>
      <c r="M95"/>
      <c r="N95"/>
      <c r="O95"/>
    </row>
    <row r="96" spans="1:15" s="133" customFormat="1" ht="40" customHeight="1" x14ac:dyDescent="0.2">
      <c r="A96" s="8"/>
      <c r="B96" s="1250"/>
      <c r="C96" s="17"/>
      <c r="D96" s="17"/>
      <c r="H96" s="618"/>
      <c r="K96"/>
      <c r="L96"/>
      <c r="M96"/>
      <c r="N96"/>
      <c r="O96"/>
    </row>
    <row r="97" spans="1:15" s="133" customFormat="1" ht="40" customHeight="1" x14ac:dyDescent="0.2">
      <c r="A97" s="8"/>
      <c r="B97" s="1250"/>
      <c r="C97" s="17"/>
      <c r="D97" s="17"/>
      <c r="H97" s="618"/>
      <c r="K97"/>
      <c r="L97"/>
      <c r="M97"/>
      <c r="N97"/>
      <c r="O97"/>
    </row>
    <row r="98" spans="1:15" s="133" customFormat="1" ht="40" customHeight="1" x14ac:dyDescent="0.2">
      <c r="A98" s="8"/>
      <c r="B98" s="1250"/>
      <c r="C98" s="17"/>
      <c r="D98" s="17"/>
      <c r="H98" s="618"/>
      <c r="K98"/>
      <c r="L98"/>
      <c r="M98"/>
      <c r="N98"/>
      <c r="O98"/>
    </row>
    <row r="99" spans="1:15" s="133" customFormat="1" ht="40" customHeight="1" x14ac:dyDescent="0.2">
      <c r="A99" s="8"/>
      <c r="B99" s="1250"/>
      <c r="C99" s="17"/>
      <c r="D99" s="17"/>
      <c r="H99" s="618"/>
      <c r="K99"/>
      <c r="L99"/>
      <c r="M99"/>
      <c r="N99"/>
      <c r="O99"/>
    </row>
    <row r="100" spans="1:15" s="133" customFormat="1" ht="40" customHeight="1" x14ac:dyDescent="0.2">
      <c r="A100" s="8"/>
      <c r="B100" s="1250"/>
      <c r="C100" s="17"/>
      <c r="D100" s="17"/>
      <c r="H100" s="618"/>
      <c r="K100"/>
      <c r="L100"/>
      <c r="M100"/>
      <c r="N100"/>
      <c r="O100"/>
    </row>
    <row r="101" spans="1:15" s="133" customFormat="1" ht="40" customHeight="1" x14ac:dyDescent="0.2">
      <c r="A101" s="8"/>
      <c r="B101" s="1250"/>
      <c r="C101" s="17"/>
      <c r="D101" s="17"/>
      <c r="H101" s="618"/>
      <c r="K101"/>
      <c r="L101"/>
      <c r="M101"/>
      <c r="N101"/>
      <c r="O101"/>
    </row>
    <row r="102" spans="1:15" s="133" customFormat="1" ht="40" customHeight="1" x14ac:dyDescent="0.2">
      <c r="A102" s="8"/>
      <c r="B102" s="1250"/>
      <c r="C102" s="17"/>
      <c r="D102" s="17"/>
      <c r="H102" s="618"/>
      <c r="K102"/>
      <c r="L102"/>
      <c r="M102"/>
      <c r="N102"/>
      <c r="O102"/>
    </row>
    <row r="103" spans="1:15" s="133" customFormat="1" ht="40" customHeight="1" x14ac:dyDescent="0.2">
      <c r="A103" s="8"/>
      <c r="B103" s="1250"/>
      <c r="C103" s="17"/>
      <c r="D103" s="17"/>
      <c r="H103" s="618"/>
      <c r="K103"/>
      <c r="L103"/>
      <c r="M103"/>
      <c r="N103"/>
      <c r="O103"/>
    </row>
    <row r="104" spans="1:15" s="133" customFormat="1" ht="40" customHeight="1" x14ac:dyDescent="0.2">
      <c r="A104" s="8"/>
      <c r="B104" s="1250"/>
      <c r="C104" s="17"/>
      <c r="D104" s="17"/>
      <c r="H104" s="618"/>
      <c r="K104"/>
      <c r="L104"/>
      <c r="M104"/>
      <c r="N104"/>
      <c r="O104"/>
    </row>
    <row r="105" spans="1:15" s="133" customFormat="1" ht="40" customHeight="1" x14ac:dyDescent="0.2">
      <c r="A105" s="8"/>
      <c r="B105" s="1250"/>
      <c r="C105" s="17"/>
      <c r="D105" s="17"/>
      <c r="H105" s="618"/>
      <c r="K105"/>
      <c r="L105"/>
      <c r="M105"/>
      <c r="N105"/>
      <c r="O105"/>
    </row>
    <row r="106" spans="1:15" s="133" customFormat="1" ht="40" customHeight="1" x14ac:dyDescent="0.2">
      <c r="A106" s="8"/>
      <c r="B106" s="1250"/>
      <c r="C106" s="17"/>
      <c r="D106" s="17"/>
      <c r="H106" s="618"/>
      <c r="K106"/>
      <c r="L106"/>
      <c r="M106"/>
      <c r="N106"/>
      <c r="O106"/>
    </row>
    <row r="107" spans="1:15" s="133" customFormat="1" ht="40" customHeight="1" x14ac:dyDescent="0.2">
      <c r="A107" s="8"/>
      <c r="B107" s="1250"/>
      <c r="C107" s="17"/>
      <c r="D107" s="17"/>
      <c r="H107" s="618"/>
      <c r="K107"/>
      <c r="L107"/>
      <c r="M107"/>
      <c r="N107"/>
      <c r="O107"/>
    </row>
    <row r="108" spans="1:15" s="133" customFormat="1" ht="40" customHeight="1" x14ac:dyDescent="0.2">
      <c r="A108" s="8"/>
      <c r="B108" s="1250"/>
      <c r="C108" s="17"/>
      <c r="D108" s="17"/>
      <c r="H108" s="618"/>
      <c r="K108"/>
      <c r="L108"/>
      <c r="M108"/>
      <c r="N108"/>
      <c r="O108"/>
    </row>
    <row r="109" spans="1:15" s="133" customFormat="1" ht="40" customHeight="1" x14ac:dyDescent="0.2">
      <c r="A109" s="8"/>
      <c r="B109" s="1250"/>
      <c r="C109" s="17"/>
      <c r="D109" s="17"/>
      <c r="H109" s="618"/>
      <c r="K109"/>
      <c r="L109"/>
      <c r="M109"/>
      <c r="N109"/>
      <c r="O109"/>
    </row>
    <row r="110" spans="1:15" s="133" customFormat="1" ht="40" customHeight="1" x14ac:dyDescent="0.2">
      <c r="A110" s="8"/>
      <c r="B110" s="1250"/>
      <c r="C110" s="17"/>
      <c r="D110" s="17"/>
      <c r="H110" s="618"/>
      <c r="K110"/>
      <c r="L110"/>
      <c r="M110"/>
      <c r="N110"/>
      <c r="O110"/>
    </row>
    <row r="111" spans="1:15" s="133" customFormat="1" ht="40" customHeight="1" x14ac:dyDescent="0.2">
      <c r="A111" s="8"/>
      <c r="B111" s="1250"/>
      <c r="C111" s="17"/>
      <c r="D111" s="17"/>
      <c r="H111" s="618"/>
      <c r="K111"/>
      <c r="L111"/>
      <c r="M111"/>
      <c r="N111"/>
      <c r="O111"/>
    </row>
    <row r="112" spans="1:15" s="133" customFormat="1" ht="40" customHeight="1" x14ac:dyDescent="0.2">
      <c r="A112" s="8"/>
      <c r="B112" s="1250"/>
      <c r="C112" s="17"/>
      <c r="D112" s="17"/>
      <c r="H112" s="618"/>
      <c r="K112"/>
      <c r="L112"/>
      <c r="M112"/>
      <c r="N112"/>
      <c r="O112"/>
    </row>
    <row r="113" spans="1:15" s="133" customFormat="1" ht="40" customHeight="1" x14ac:dyDescent="0.2">
      <c r="A113" s="8"/>
      <c r="B113" s="1250"/>
      <c r="C113" s="17"/>
      <c r="D113" s="17"/>
      <c r="H113" s="618"/>
      <c r="K113"/>
      <c r="L113"/>
      <c r="M113"/>
      <c r="N113"/>
      <c r="O113"/>
    </row>
    <row r="114" spans="1:15" s="133" customFormat="1" ht="40" customHeight="1" x14ac:dyDescent="0.2">
      <c r="A114" s="8"/>
      <c r="B114" s="1250"/>
      <c r="C114" s="17"/>
      <c r="D114" s="17"/>
      <c r="H114" s="618"/>
      <c r="K114"/>
      <c r="L114"/>
      <c r="M114"/>
      <c r="N114"/>
      <c r="O114"/>
    </row>
    <row r="115" spans="1:15" s="133" customFormat="1" ht="40" customHeight="1" x14ac:dyDescent="0.2">
      <c r="A115" s="8"/>
      <c r="B115" s="1250"/>
      <c r="C115" s="17"/>
      <c r="D115" s="17"/>
      <c r="H115" s="618"/>
      <c r="K115"/>
      <c r="L115"/>
      <c r="M115"/>
      <c r="N115"/>
      <c r="O115"/>
    </row>
    <row r="116" spans="1:15" s="133" customFormat="1" ht="40" customHeight="1" x14ac:dyDescent="0.2">
      <c r="A116" s="8"/>
      <c r="B116" s="1250"/>
      <c r="C116" s="17"/>
      <c r="D116" s="17"/>
      <c r="H116" s="618"/>
      <c r="K116"/>
      <c r="L116"/>
      <c r="M116"/>
      <c r="N116"/>
      <c r="O116"/>
    </row>
    <row r="117" spans="1:15" s="133" customFormat="1" ht="40" customHeight="1" x14ac:dyDescent="0.2">
      <c r="A117" s="8"/>
      <c r="B117" s="1250"/>
      <c r="C117" s="17"/>
      <c r="D117" s="17"/>
      <c r="H117" s="618"/>
      <c r="K117"/>
      <c r="L117"/>
      <c r="M117"/>
      <c r="N117"/>
      <c r="O117"/>
    </row>
    <row r="118" spans="1:15" s="133" customFormat="1" ht="40" customHeight="1" x14ac:dyDescent="0.2">
      <c r="A118" s="8"/>
      <c r="B118" s="1250"/>
      <c r="C118" s="17"/>
      <c r="D118" s="17"/>
      <c r="H118" s="618"/>
      <c r="K118"/>
      <c r="L118"/>
      <c r="M118"/>
      <c r="N118"/>
      <c r="O118"/>
    </row>
    <row r="119" spans="1:15" s="133" customFormat="1" ht="40" customHeight="1" x14ac:dyDescent="0.2">
      <c r="A119" s="8"/>
      <c r="B119" s="1250"/>
      <c r="C119" s="17"/>
      <c r="D119" s="17"/>
      <c r="H119" s="618"/>
      <c r="K119"/>
      <c r="L119"/>
      <c r="M119"/>
      <c r="N119"/>
      <c r="O119"/>
    </row>
    <row r="120" spans="1:15" s="133" customFormat="1" ht="40" customHeight="1" x14ac:dyDescent="0.2">
      <c r="A120" s="8"/>
      <c r="B120" s="1250"/>
      <c r="C120" s="17"/>
      <c r="D120" s="17"/>
      <c r="H120" s="618"/>
      <c r="K120"/>
      <c r="L120"/>
      <c r="M120"/>
      <c r="N120"/>
      <c r="O120"/>
    </row>
    <row r="121" spans="1:15" s="133" customFormat="1" ht="40" customHeight="1" x14ac:dyDescent="0.2">
      <c r="A121" s="8"/>
      <c r="B121" s="1250"/>
      <c r="C121" s="17"/>
      <c r="D121" s="17"/>
      <c r="H121" s="618"/>
      <c r="K121"/>
      <c r="L121"/>
      <c r="M121"/>
      <c r="N121"/>
      <c r="O121"/>
    </row>
    <row r="122" spans="1:15" s="133" customFormat="1" ht="40" customHeight="1" x14ac:dyDescent="0.2">
      <c r="A122" s="8"/>
      <c r="B122" s="1250"/>
      <c r="C122" s="17"/>
      <c r="D122" s="17"/>
      <c r="H122" s="618"/>
      <c r="K122"/>
      <c r="L122"/>
      <c r="M122"/>
      <c r="N122"/>
      <c r="O122"/>
    </row>
    <row r="123" spans="1:15" s="133" customFormat="1" ht="40" customHeight="1" x14ac:dyDescent="0.2">
      <c r="A123" s="8"/>
      <c r="B123" s="1250"/>
      <c r="C123" s="17"/>
      <c r="D123" s="17"/>
      <c r="H123" s="618"/>
      <c r="K123"/>
      <c r="L123"/>
      <c r="M123"/>
      <c r="N123"/>
      <c r="O123"/>
    </row>
    <row r="124" spans="1:15" s="133" customFormat="1" ht="40" customHeight="1" x14ac:dyDescent="0.2">
      <c r="A124" s="8"/>
      <c r="B124" s="1250"/>
      <c r="C124" s="17"/>
      <c r="D124" s="17"/>
      <c r="H124" s="618"/>
      <c r="K124"/>
      <c r="L124"/>
      <c r="M124"/>
      <c r="N124"/>
      <c r="O124"/>
    </row>
    <row r="125" spans="1:15" s="133" customFormat="1" ht="40" customHeight="1" x14ac:dyDescent="0.2">
      <c r="A125" s="8"/>
      <c r="B125" s="1250"/>
      <c r="C125" s="17"/>
      <c r="D125" s="17"/>
      <c r="H125" s="618"/>
      <c r="K125"/>
      <c r="L125"/>
      <c r="M125"/>
      <c r="N125"/>
      <c r="O125"/>
    </row>
    <row r="126" spans="1:15" s="133" customFormat="1" ht="40" customHeight="1" x14ac:dyDescent="0.2">
      <c r="A126" s="8"/>
      <c r="B126" s="1250"/>
      <c r="C126" s="17"/>
      <c r="D126" s="17"/>
      <c r="H126" s="618"/>
      <c r="K126"/>
      <c r="L126"/>
      <c r="M126"/>
      <c r="N126"/>
      <c r="O126"/>
    </row>
    <row r="127" spans="1:15" s="133" customFormat="1" ht="40" customHeight="1" x14ac:dyDescent="0.2">
      <c r="A127" s="8"/>
      <c r="B127" s="1250"/>
      <c r="C127" s="17"/>
      <c r="D127" s="17"/>
      <c r="H127" s="618"/>
      <c r="K127"/>
      <c r="L127"/>
      <c r="M127"/>
      <c r="N127"/>
      <c r="O127"/>
    </row>
    <row r="128" spans="1:15" s="133" customFormat="1" ht="40" customHeight="1" x14ac:dyDescent="0.2">
      <c r="A128" s="8"/>
      <c r="B128" s="1250"/>
      <c r="C128" s="17"/>
      <c r="D128" s="17"/>
      <c r="H128" s="618"/>
      <c r="K128"/>
      <c r="L128"/>
      <c r="M128"/>
      <c r="N128"/>
      <c r="O128"/>
    </row>
    <row r="129" spans="1:15" s="133" customFormat="1" ht="40" customHeight="1" x14ac:dyDescent="0.2">
      <c r="A129" s="8"/>
      <c r="B129" s="1250"/>
      <c r="C129" s="17"/>
      <c r="D129" s="17"/>
      <c r="H129" s="618"/>
      <c r="K129"/>
      <c r="L129"/>
      <c r="M129"/>
      <c r="N129"/>
      <c r="O129"/>
    </row>
    <row r="130" spans="1:15" s="133" customFormat="1" ht="40" customHeight="1" x14ac:dyDescent="0.2">
      <c r="A130" s="8"/>
      <c r="B130" s="1250"/>
      <c r="C130" s="17"/>
      <c r="D130" s="17"/>
      <c r="H130" s="618"/>
      <c r="K130"/>
      <c r="L130"/>
      <c r="M130"/>
      <c r="N130"/>
      <c r="O130"/>
    </row>
    <row r="131" spans="1:15" s="133" customFormat="1" ht="40" customHeight="1" x14ac:dyDescent="0.2">
      <c r="A131" s="8"/>
      <c r="B131" s="1250"/>
      <c r="C131" s="17"/>
      <c r="D131" s="17"/>
      <c r="H131" s="618"/>
      <c r="K131"/>
      <c r="L131"/>
      <c r="M131"/>
      <c r="N131"/>
      <c r="O131"/>
    </row>
    <row r="132" spans="1:15" s="133" customFormat="1" ht="40" customHeight="1" x14ac:dyDescent="0.2">
      <c r="A132" s="8"/>
      <c r="B132" s="1250"/>
      <c r="C132" s="17"/>
      <c r="D132" s="17"/>
      <c r="H132" s="618"/>
      <c r="K132"/>
      <c r="L132"/>
      <c r="M132"/>
      <c r="N132"/>
      <c r="O132"/>
    </row>
    <row r="133" spans="1:15" s="133" customFormat="1" ht="40" customHeight="1" x14ac:dyDescent="0.2">
      <c r="A133" s="8"/>
      <c r="B133" s="1250"/>
      <c r="C133" s="17"/>
      <c r="D133" s="17"/>
      <c r="H133" s="618"/>
      <c r="K133"/>
      <c r="L133"/>
      <c r="M133"/>
      <c r="N133"/>
      <c r="O133"/>
    </row>
    <row r="134" spans="1:15" s="133" customFormat="1" ht="40" customHeight="1" x14ac:dyDescent="0.2">
      <c r="A134" s="8"/>
      <c r="B134" s="1250"/>
      <c r="C134" s="17"/>
      <c r="D134" s="17"/>
      <c r="H134" s="618"/>
      <c r="K134"/>
      <c r="L134"/>
      <c r="M134"/>
      <c r="N134"/>
      <c r="O134"/>
    </row>
    <row r="135" spans="1:15" s="133" customFormat="1" ht="40" customHeight="1" x14ac:dyDescent="0.2">
      <c r="A135" s="8"/>
      <c r="B135" s="1250"/>
      <c r="C135" s="17"/>
      <c r="D135" s="17"/>
      <c r="H135" s="618"/>
      <c r="K135"/>
      <c r="L135"/>
      <c r="M135"/>
      <c r="N135"/>
      <c r="O135"/>
    </row>
    <row r="136" spans="1:15" s="133" customFormat="1" ht="40" customHeight="1" x14ac:dyDescent="0.2">
      <c r="A136" s="8"/>
      <c r="B136" s="1250"/>
      <c r="C136" s="17"/>
      <c r="D136" s="17"/>
      <c r="H136" s="618"/>
      <c r="K136"/>
      <c r="L136"/>
      <c r="M136"/>
      <c r="N136"/>
      <c r="O136"/>
    </row>
    <row r="137" spans="1:15" s="133" customFormat="1" ht="40" customHeight="1" x14ac:dyDescent="0.2">
      <c r="A137" s="8"/>
      <c r="B137" s="1250"/>
      <c r="C137" s="17"/>
      <c r="D137" s="17"/>
      <c r="H137" s="618"/>
      <c r="K137"/>
      <c r="L137"/>
      <c r="M137"/>
      <c r="N137"/>
      <c r="O137"/>
    </row>
    <row r="138" spans="1:15" s="133" customFormat="1" ht="40" customHeight="1" x14ac:dyDescent="0.2">
      <c r="A138" s="8"/>
      <c r="B138" s="1250"/>
      <c r="C138" s="17"/>
      <c r="D138" s="17"/>
      <c r="H138" s="618"/>
      <c r="K138"/>
      <c r="L138"/>
      <c r="M138"/>
      <c r="N138"/>
      <c r="O138"/>
    </row>
    <row r="139" spans="1:15" s="133" customFormat="1" ht="40" customHeight="1" x14ac:dyDescent="0.2">
      <c r="A139" s="8"/>
      <c r="B139" s="1250"/>
      <c r="C139" s="17"/>
      <c r="D139" s="17"/>
      <c r="H139" s="618"/>
      <c r="K139"/>
      <c r="L139"/>
      <c r="M139"/>
      <c r="N139"/>
      <c r="O139"/>
    </row>
    <row r="140" spans="1:15" s="133" customFormat="1" ht="40" customHeight="1" x14ac:dyDescent="0.2">
      <c r="A140" s="8"/>
      <c r="B140" s="1250"/>
      <c r="C140" s="17"/>
      <c r="D140" s="17"/>
      <c r="H140" s="618"/>
      <c r="K140"/>
      <c r="L140"/>
      <c r="M140"/>
      <c r="N140"/>
      <c r="O140"/>
    </row>
    <row r="141" spans="1:15" s="133" customFormat="1" ht="40" customHeight="1" x14ac:dyDescent="0.2">
      <c r="A141" s="8"/>
      <c r="B141" s="1250"/>
      <c r="C141" s="17"/>
      <c r="D141" s="17"/>
      <c r="H141" s="618"/>
      <c r="K141"/>
      <c r="L141"/>
      <c r="M141"/>
      <c r="N141"/>
      <c r="O141"/>
    </row>
    <row r="142" spans="1:15" s="133" customFormat="1" ht="40" customHeight="1" x14ac:dyDescent="0.2">
      <c r="A142" s="8"/>
      <c r="B142" s="1250"/>
      <c r="C142" s="17"/>
      <c r="D142" s="17"/>
      <c r="H142" s="618"/>
      <c r="K142"/>
      <c r="L142"/>
      <c r="M142"/>
      <c r="N142"/>
      <c r="O142"/>
    </row>
    <row r="143" spans="1:15" s="133" customFormat="1" ht="40" customHeight="1" x14ac:dyDescent="0.2">
      <c r="A143" s="8"/>
      <c r="B143" s="1250"/>
      <c r="C143" s="17"/>
      <c r="D143" s="17"/>
      <c r="H143" s="618"/>
      <c r="K143"/>
      <c r="L143"/>
      <c r="M143"/>
      <c r="N143"/>
      <c r="O143"/>
    </row>
    <row r="144" spans="1:15" s="133" customFormat="1" ht="40" customHeight="1" x14ac:dyDescent="0.2">
      <c r="A144" s="8"/>
      <c r="B144" s="1250"/>
      <c r="C144" s="17"/>
      <c r="D144" s="17"/>
      <c r="H144" s="618"/>
      <c r="K144"/>
      <c r="L144"/>
      <c r="M144"/>
      <c r="N144"/>
      <c r="O144"/>
    </row>
    <row r="145" spans="1:15" s="133" customFormat="1" ht="40" customHeight="1" x14ac:dyDescent="0.2">
      <c r="A145" s="8"/>
      <c r="B145" s="1250"/>
      <c r="C145" s="17"/>
      <c r="D145" s="17"/>
      <c r="H145" s="618"/>
      <c r="K145"/>
      <c r="L145"/>
      <c r="M145"/>
      <c r="N145"/>
      <c r="O145"/>
    </row>
    <row r="146" spans="1:15" s="133" customFormat="1" ht="40" customHeight="1" x14ac:dyDescent="0.2">
      <c r="A146" s="8"/>
      <c r="B146" s="1250"/>
      <c r="C146" s="17"/>
      <c r="D146" s="17"/>
      <c r="H146" s="618"/>
      <c r="K146"/>
      <c r="L146"/>
      <c r="M146"/>
      <c r="N146"/>
      <c r="O146"/>
    </row>
    <row r="147" spans="1:15" s="133" customFormat="1" ht="40" customHeight="1" x14ac:dyDescent="0.2">
      <c r="A147" s="8"/>
      <c r="B147" s="1250"/>
      <c r="C147" s="17"/>
      <c r="D147" s="17"/>
      <c r="H147" s="618"/>
      <c r="K147"/>
      <c r="L147"/>
      <c r="M147"/>
      <c r="N147"/>
      <c r="O147"/>
    </row>
    <row r="148" spans="1:15" s="133" customFormat="1" ht="40" customHeight="1" x14ac:dyDescent="0.2">
      <c r="A148" s="8"/>
      <c r="B148" s="1250"/>
      <c r="C148" s="17"/>
      <c r="D148" s="17"/>
      <c r="H148" s="618"/>
      <c r="K148"/>
      <c r="L148"/>
      <c r="M148"/>
      <c r="N148"/>
      <c r="O148"/>
    </row>
    <row r="149" spans="1:15" s="133" customFormat="1" ht="40" customHeight="1" x14ac:dyDescent="0.2">
      <c r="A149" s="8"/>
      <c r="B149" s="1250"/>
      <c r="C149" s="17"/>
      <c r="D149" s="17"/>
      <c r="H149" s="618"/>
      <c r="K149"/>
      <c r="L149"/>
      <c r="M149"/>
      <c r="N149"/>
      <c r="O149"/>
    </row>
    <row r="150" spans="1:15" s="133" customFormat="1" ht="40" customHeight="1" x14ac:dyDescent="0.2">
      <c r="A150" s="8"/>
      <c r="B150" s="1250"/>
      <c r="C150" s="17"/>
      <c r="D150" s="17"/>
      <c r="H150" s="618"/>
      <c r="K150"/>
      <c r="L150"/>
      <c r="M150"/>
      <c r="N150"/>
      <c r="O150"/>
    </row>
    <row r="151" spans="1:15" s="133" customFormat="1" ht="40" customHeight="1" x14ac:dyDescent="0.2">
      <c r="A151" s="8"/>
      <c r="B151" s="1250"/>
      <c r="C151" s="17"/>
      <c r="D151" s="17"/>
      <c r="H151" s="618"/>
      <c r="K151"/>
      <c r="L151"/>
      <c r="M151"/>
      <c r="N151"/>
      <c r="O151"/>
    </row>
    <row r="152" spans="1:15" s="133" customFormat="1" ht="40" customHeight="1" x14ac:dyDescent="0.2">
      <c r="A152" s="8"/>
      <c r="B152" s="1250"/>
      <c r="C152" s="17"/>
      <c r="D152" s="17"/>
      <c r="H152" s="618"/>
      <c r="K152"/>
      <c r="L152"/>
      <c r="M152"/>
      <c r="N152"/>
      <c r="O152"/>
    </row>
    <row r="153" spans="1:15" s="133" customFormat="1" ht="40" customHeight="1" x14ac:dyDescent="0.2">
      <c r="A153" s="8"/>
      <c r="B153" s="1250"/>
      <c r="C153" s="17"/>
      <c r="D153" s="17"/>
      <c r="H153" s="618"/>
      <c r="K153"/>
      <c r="L153"/>
      <c r="M153"/>
      <c r="N153"/>
      <c r="O153"/>
    </row>
    <row r="154" spans="1:15" s="133" customFormat="1" ht="40" customHeight="1" x14ac:dyDescent="0.2">
      <c r="A154" s="8"/>
      <c r="B154" s="1250"/>
      <c r="C154" s="17"/>
      <c r="D154" s="17"/>
      <c r="H154" s="618"/>
      <c r="K154"/>
      <c r="L154"/>
      <c r="M154"/>
      <c r="N154"/>
      <c r="O154"/>
    </row>
    <row r="155" spans="1:15" s="133" customFormat="1" ht="40" customHeight="1" x14ac:dyDescent="0.2">
      <c r="A155" s="8"/>
      <c r="B155" s="1250"/>
      <c r="C155" s="17"/>
      <c r="D155" s="17"/>
      <c r="H155" s="618"/>
      <c r="K155"/>
      <c r="L155"/>
      <c r="M155"/>
      <c r="N155"/>
      <c r="O155"/>
    </row>
    <row r="156" spans="1:15" s="133" customFormat="1" ht="40" customHeight="1" x14ac:dyDescent="0.2">
      <c r="A156" s="8"/>
      <c r="B156" s="1250"/>
      <c r="C156" s="17"/>
      <c r="D156" s="17"/>
      <c r="H156" s="618"/>
      <c r="K156"/>
      <c r="L156"/>
      <c r="M156"/>
      <c r="N156"/>
      <c r="O156"/>
    </row>
    <row r="157" spans="1:15" s="133" customFormat="1" ht="40" customHeight="1" x14ac:dyDescent="0.2">
      <c r="A157" s="8"/>
      <c r="B157" s="1250"/>
      <c r="C157" s="17"/>
      <c r="D157" s="17"/>
      <c r="H157" s="618"/>
      <c r="K157"/>
      <c r="L157"/>
      <c r="M157"/>
      <c r="N157"/>
      <c r="O157"/>
    </row>
    <row r="158" spans="1:15" s="133" customFormat="1" ht="40" customHeight="1" x14ac:dyDescent="0.2">
      <c r="A158" s="8"/>
      <c r="B158" s="1250"/>
      <c r="C158" s="17"/>
      <c r="D158" s="17"/>
      <c r="H158" s="618"/>
      <c r="K158"/>
      <c r="L158"/>
      <c r="M158"/>
      <c r="N158"/>
      <c r="O158"/>
    </row>
    <row r="159" spans="1:15" s="133" customFormat="1" ht="40" customHeight="1" x14ac:dyDescent="0.2">
      <c r="A159" s="8"/>
      <c r="B159" s="1250"/>
      <c r="C159" s="17"/>
      <c r="D159" s="17"/>
      <c r="H159" s="618"/>
      <c r="K159"/>
      <c r="L159"/>
      <c r="M159"/>
      <c r="N159"/>
      <c r="O159"/>
    </row>
    <row r="160" spans="1:15" s="133" customFormat="1" ht="40" customHeight="1" x14ac:dyDescent="0.2">
      <c r="A160" s="8"/>
      <c r="B160" s="1250"/>
      <c r="C160" s="17"/>
      <c r="D160" s="17"/>
      <c r="H160" s="618"/>
      <c r="K160"/>
      <c r="L160"/>
      <c r="M160"/>
      <c r="N160"/>
      <c r="O160"/>
    </row>
    <row r="161" spans="1:15" s="133" customFormat="1" ht="40" customHeight="1" x14ac:dyDescent="0.2">
      <c r="A161" s="8"/>
      <c r="B161" s="1250"/>
      <c r="C161" s="17"/>
      <c r="D161" s="17"/>
      <c r="H161" s="618"/>
      <c r="K161"/>
      <c r="L161"/>
      <c r="M161"/>
      <c r="N161"/>
      <c r="O161"/>
    </row>
    <row r="162" spans="1:15" s="133" customFormat="1" ht="40" customHeight="1" x14ac:dyDescent="0.2">
      <c r="A162" s="8"/>
      <c r="B162" s="1250"/>
      <c r="C162" s="17"/>
      <c r="D162" s="17"/>
      <c r="H162" s="618"/>
      <c r="K162"/>
      <c r="L162"/>
      <c r="M162"/>
      <c r="N162"/>
      <c r="O162"/>
    </row>
    <row r="163" spans="1:15" s="133" customFormat="1" ht="40" customHeight="1" x14ac:dyDescent="0.2">
      <c r="A163" s="8"/>
      <c r="B163" s="1250"/>
      <c r="C163" s="17"/>
      <c r="D163" s="17"/>
      <c r="H163" s="618"/>
      <c r="K163"/>
      <c r="L163"/>
      <c r="M163"/>
      <c r="N163"/>
      <c r="O163"/>
    </row>
    <row r="164" spans="1:15" s="133" customFormat="1" ht="40" customHeight="1" x14ac:dyDescent="0.2">
      <c r="A164" s="8"/>
      <c r="B164" s="1250"/>
      <c r="C164" s="17"/>
      <c r="D164" s="17"/>
      <c r="H164" s="618"/>
      <c r="K164"/>
      <c r="L164"/>
      <c r="M164"/>
      <c r="N164"/>
      <c r="O164"/>
    </row>
    <row r="165" spans="1:15" s="133" customFormat="1" ht="40" customHeight="1" x14ac:dyDescent="0.2">
      <c r="A165" s="8"/>
      <c r="B165" s="1250"/>
      <c r="C165" s="17"/>
      <c r="D165" s="17"/>
      <c r="H165" s="618"/>
      <c r="K165"/>
      <c r="L165"/>
      <c r="M165"/>
      <c r="N165"/>
      <c r="O165"/>
    </row>
    <row r="166" spans="1:15" s="133" customFormat="1" ht="40" customHeight="1" x14ac:dyDescent="0.2">
      <c r="A166" s="8"/>
      <c r="B166" s="1250"/>
      <c r="C166" s="17"/>
      <c r="D166" s="17"/>
      <c r="H166" s="618"/>
      <c r="K166"/>
      <c r="L166"/>
      <c r="M166"/>
      <c r="N166"/>
      <c r="O166"/>
    </row>
    <row r="167" spans="1:15" s="133" customFormat="1" ht="40" customHeight="1" x14ac:dyDescent="0.2">
      <c r="A167" s="8"/>
      <c r="B167" s="1250"/>
      <c r="C167" s="17"/>
      <c r="D167" s="17"/>
      <c r="H167" s="618"/>
      <c r="K167"/>
      <c r="L167"/>
      <c r="M167"/>
      <c r="N167"/>
      <c r="O167"/>
    </row>
    <row r="168" spans="1:15" s="133" customFormat="1" ht="40" customHeight="1" x14ac:dyDescent="0.2">
      <c r="A168" s="8"/>
      <c r="B168" s="1250"/>
      <c r="C168" s="17"/>
      <c r="D168" s="17"/>
      <c r="H168" s="618"/>
      <c r="K168"/>
      <c r="L168"/>
      <c r="M168"/>
      <c r="N168"/>
      <c r="O168"/>
    </row>
    <row r="169" spans="1:15" s="133" customFormat="1" ht="40" customHeight="1" x14ac:dyDescent="0.2">
      <c r="A169" s="8"/>
      <c r="B169" s="1250"/>
      <c r="C169" s="17"/>
      <c r="D169" s="17"/>
      <c r="H169" s="618"/>
      <c r="K169"/>
      <c r="L169"/>
      <c r="M169"/>
      <c r="N169"/>
      <c r="O169"/>
    </row>
    <row r="170" spans="1:15" s="133" customFormat="1" ht="40" customHeight="1" x14ac:dyDescent="0.2">
      <c r="A170" s="8"/>
      <c r="B170" s="1250"/>
      <c r="C170" s="17"/>
      <c r="D170" s="17"/>
      <c r="H170" s="618"/>
      <c r="K170"/>
      <c r="L170"/>
      <c r="M170"/>
      <c r="N170"/>
      <c r="O170"/>
    </row>
    <row r="171" spans="1:15" s="133" customFormat="1" ht="40" customHeight="1" x14ac:dyDescent="0.2">
      <c r="A171" s="8"/>
      <c r="B171" s="1250"/>
      <c r="C171" s="17"/>
      <c r="D171" s="17"/>
      <c r="H171" s="618"/>
      <c r="K171"/>
      <c r="L171"/>
      <c r="M171"/>
      <c r="N171"/>
      <c r="O171"/>
    </row>
    <row r="172" spans="1:15" s="133" customFormat="1" ht="40" customHeight="1" x14ac:dyDescent="0.2">
      <c r="A172" s="8"/>
      <c r="B172" s="1250"/>
      <c r="C172" s="17"/>
      <c r="D172" s="17"/>
      <c r="H172" s="618"/>
      <c r="K172"/>
      <c r="L172"/>
      <c r="M172"/>
      <c r="N172"/>
      <c r="O172"/>
    </row>
    <row r="173" spans="1:15" s="133" customFormat="1" ht="40" customHeight="1" x14ac:dyDescent="0.2">
      <c r="A173" s="8"/>
      <c r="B173" s="1250"/>
      <c r="C173" s="17"/>
      <c r="D173" s="17"/>
      <c r="H173" s="618"/>
      <c r="K173"/>
      <c r="L173"/>
      <c r="M173"/>
      <c r="N173"/>
      <c r="O173"/>
    </row>
    <row r="174" spans="1:15" s="133" customFormat="1" ht="40" customHeight="1" x14ac:dyDescent="0.2">
      <c r="A174" s="8"/>
      <c r="B174" s="1250"/>
      <c r="C174" s="17"/>
      <c r="D174" s="17"/>
      <c r="H174" s="618"/>
      <c r="K174"/>
      <c r="L174"/>
      <c r="M174"/>
      <c r="N174"/>
      <c r="O174"/>
    </row>
    <row r="175" spans="1:15" s="133" customFormat="1" ht="40" customHeight="1" x14ac:dyDescent="0.2">
      <c r="A175" s="8"/>
      <c r="B175" s="1250"/>
      <c r="C175" s="17"/>
      <c r="D175" s="17"/>
      <c r="H175" s="618"/>
      <c r="K175"/>
      <c r="L175"/>
      <c r="M175"/>
      <c r="N175"/>
      <c r="O175"/>
    </row>
    <row r="176" spans="1:15" s="133" customFormat="1" ht="40" customHeight="1" x14ac:dyDescent="0.2">
      <c r="A176" s="8"/>
      <c r="B176" s="1250"/>
      <c r="C176" s="17"/>
      <c r="D176" s="17"/>
      <c r="H176" s="618"/>
      <c r="K176"/>
      <c r="L176"/>
      <c r="M176"/>
      <c r="N176"/>
      <c r="O176"/>
    </row>
    <row r="177" spans="1:15" s="133" customFormat="1" ht="40" customHeight="1" x14ac:dyDescent="0.2">
      <c r="A177" s="8"/>
      <c r="B177" s="1250"/>
      <c r="C177" s="17"/>
      <c r="D177" s="17"/>
      <c r="H177" s="618"/>
      <c r="K177"/>
      <c r="L177"/>
      <c r="M177"/>
      <c r="N177"/>
      <c r="O177"/>
    </row>
    <row r="178" spans="1:15" s="133" customFormat="1" ht="40" customHeight="1" x14ac:dyDescent="0.2">
      <c r="A178" s="8"/>
      <c r="B178" s="1250"/>
      <c r="C178" s="17"/>
      <c r="D178" s="17"/>
      <c r="H178" s="618"/>
      <c r="K178"/>
      <c r="L178"/>
      <c r="M178"/>
      <c r="N178"/>
      <c r="O178"/>
    </row>
    <row r="179" spans="1:15" s="133" customFormat="1" ht="40" customHeight="1" x14ac:dyDescent="0.2">
      <c r="A179" s="8"/>
      <c r="B179" s="1250"/>
      <c r="C179" s="17"/>
      <c r="D179" s="17"/>
      <c r="H179" s="618"/>
      <c r="K179"/>
      <c r="L179"/>
      <c r="M179"/>
      <c r="N179"/>
      <c r="O179"/>
    </row>
    <row r="180" spans="1:15" s="133" customFormat="1" ht="40" customHeight="1" x14ac:dyDescent="0.2">
      <c r="A180" s="8"/>
      <c r="B180" s="1250"/>
      <c r="C180" s="17"/>
      <c r="D180" s="17"/>
      <c r="H180" s="618"/>
      <c r="K180"/>
      <c r="L180"/>
      <c r="M180"/>
      <c r="N180"/>
      <c r="O180"/>
    </row>
    <row r="181" spans="1:15" s="133" customFormat="1" ht="40" customHeight="1" x14ac:dyDescent="0.2">
      <c r="A181" s="8"/>
      <c r="B181" s="1250"/>
      <c r="C181" s="17"/>
      <c r="D181" s="17"/>
      <c r="H181" s="618"/>
      <c r="K181"/>
      <c r="L181"/>
      <c r="M181"/>
      <c r="N181"/>
      <c r="O181"/>
    </row>
    <row r="182" spans="1:15" s="133" customFormat="1" ht="40" customHeight="1" x14ac:dyDescent="0.2">
      <c r="A182" s="8"/>
      <c r="B182" s="1250"/>
      <c r="C182" s="17"/>
      <c r="D182" s="17"/>
      <c r="H182" s="618"/>
      <c r="K182"/>
      <c r="L182"/>
      <c r="M182"/>
      <c r="N182"/>
      <c r="O182"/>
    </row>
    <row r="183" spans="1:15" s="133" customFormat="1" ht="40" customHeight="1" x14ac:dyDescent="0.2">
      <c r="A183" s="8"/>
      <c r="B183" s="1250"/>
      <c r="C183" s="17"/>
      <c r="D183" s="17"/>
      <c r="H183" s="618"/>
      <c r="K183"/>
      <c r="L183"/>
      <c r="M183"/>
      <c r="N183"/>
      <c r="O183"/>
    </row>
    <row r="184" spans="1:15" s="133" customFormat="1" ht="40" customHeight="1" x14ac:dyDescent="0.2">
      <c r="A184" s="8"/>
      <c r="B184" s="1250"/>
      <c r="C184" s="17"/>
      <c r="D184" s="17"/>
      <c r="H184" s="618"/>
      <c r="K184"/>
      <c r="L184"/>
      <c r="M184"/>
      <c r="N184"/>
      <c r="O184"/>
    </row>
    <row r="185" spans="1:15" s="133" customFormat="1" ht="40" customHeight="1" x14ac:dyDescent="0.2">
      <c r="A185" s="8"/>
      <c r="B185" s="1250"/>
      <c r="C185" s="17"/>
      <c r="D185" s="17"/>
      <c r="H185" s="618"/>
      <c r="K185"/>
      <c r="L185"/>
      <c r="M185"/>
      <c r="N185"/>
      <c r="O185"/>
    </row>
    <row r="186" spans="1:15" s="133" customFormat="1" ht="40" customHeight="1" x14ac:dyDescent="0.2">
      <c r="A186" s="8"/>
      <c r="B186" s="1250"/>
      <c r="C186" s="17"/>
      <c r="D186" s="17"/>
      <c r="H186" s="618"/>
      <c r="K186"/>
      <c r="L186"/>
      <c r="M186"/>
      <c r="N186"/>
      <c r="O186"/>
    </row>
    <row r="187" spans="1:15" s="133" customFormat="1" ht="40" customHeight="1" x14ac:dyDescent="0.2">
      <c r="A187" s="8"/>
      <c r="B187" s="1250"/>
      <c r="C187" s="17"/>
      <c r="D187" s="17"/>
      <c r="H187" s="618"/>
      <c r="K187"/>
      <c r="L187"/>
      <c r="M187"/>
      <c r="N187"/>
      <c r="O187"/>
    </row>
    <row r="188" spans="1:15" s="133" customFormat="1" ht="40" customHeight="1" x14ac:dyDescent="0.2">
      <c r="A188" s="8"/>
      <c r="B188" s="1250"/>
      <c r="C188" s="17"/>
      <c r="D188" s="17"/>
      <c r="H188" s="618"/>
      <c r="K188"/>
      <c r="L188"/>
      <c r="M188"/>
      <c r="N188"/>
      <c r="O188"/>
    </row>
    <row r="189" spans="1:15" s="133" customFormat="1" ht="40" customHeight="1" x14ac:dyDescent="0.2">
      <c r="A189" s="8"/>
      <c r="B189" s="1250"/>
      <c r="C189" s="17"/>
      <c r="D189" s="17"/>
      <c r="H189" s="618"/>
      <c r="K189"/>
      <c r="L189"/>
      <c r="M189"/>
      <c r="N189"/>
      <c r="O189"/>
    </row>
    <row r="190" spans="1:15" s="133" customFormat="1" ht="40" customHeight="1" x14ac:dyDescent="0.2">
      <c r="A190" s="8"/>
      <c r="B190" s="1250"/>
      <c r="C190" s="17"/>
      <c r="D190" s="17"/>
      <c r="H190" s="618"/>
      <c r="K190"/>
      <c r="L190"/>
      <c r="M190"/>
      <c r="N190"/>
      <c r="O190"/>
    </row>
    <row r="191" spans="1:15" s="133" customFormat="1" ht="40" customHeight="1" x14ac:dyDescent="0.2">
      <c r="A191" s="8"/>
      <c r="B191" s="1250"/>
      <c r="C191" s="17"/>
      <c r="D191" s="17"/>
      <c r="H191" s="618"/>
      <c r="K191"/>
      <c r="L191"/>
      <c r="M191"/>
      <c r="N191"/>
      <c r="O191"/>
    </row>
    <row r="192" spans="1:15" s="133" customFormat="1" ht="40" customHeight="1" x14ac:dyDescent="0.2">
      <c r="A192" s="8"/>
      <c r="B192" s="1250"/>
      <c r="C192" s="17"/>
      <c r="D192" s="17"/>
      <c r="H192" s="618"/>
      <c r="K192"/>
      <c r="L192"/>
      <c r="M192"/>
      <c r="N192"/>
      <c r="O192"/>
    </row>
    <row r="193" spans="1:15" s="133" customFormat="1" ht="40" customHeight="1" x14ac:dyDescent="0.2">
      <c r="A193" s="8"/>
      <c r="B193" s="1250"/>
      <c r="C193" s="17"/>
      <c r="D193" s="17"/>
      <c r="H193" s="618"/>
      <c r="K193"/>
      <c r="L193"/>
      <c r="M193"/>
      <c r="N193"/>
      <c r="O193"/>
    </row>
    <row r="194" spans="1:15" s="133" customFormat="1" ht="40" customHeight="1" x14ac:dyDescent="0.2">
      <c r="A194" s="8"/>
      <c r="B194" s="1250"/>
      <c r="C194" s="17"/>
      <c r="D194" s="17"/>
      <c r="H194" s="618"/>
      <c r="K194"/>
      <c r="L194"/>
      <c r="M194"/>
      <c r="N194"/>
      <c r="O194"/>
    </row>
    <row r="195" spans="1:15" ht="40" customHeight="1" x14ac:dyDescent="0.2">
      <c r="H195" s="618"/>
    </row>
    <row r="196" spans="1:15" ht="40" customHeight="1" x14ac:dyDescent="0.2">
      <c r="H196" s="618"/>
    </row>
    <row r="197" spans="1:15" ht="40" customHeight="1" x14ac:dyDescent="0.2">
      <c r="H197" s="618"/>
    </row>
  </sheetData>
  <mergeCells count="3">
    <mergeCell ref="K1:O1"/>
    <mergeCell ref="A61:A62"/>
    <mergeCell ref="A68:A72"/>
  </mergeCells>
  <phoneticPr fontId="11" type="noConversion"/>
  <pageMargins left="0.7" right="0.7" top="0.75" bottom="0.75" header="0.3" footer="0.3"/>
  <pageSetup scale="10" orientation="landscape"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06-9CDC-4B48-85D5-903A1F8A7898}">
  <dimension ref="D1:AK82"/>
  <sheetViews>
    <sheetView workbookViewId="0"/>
    <sheetView workbookViewId="1"/>
  </sheetViews>
  <sheetFormatPr baseColWidth="10" defaultRowHeight="16" x14ac:dyDescent="0.2"/>
  <cols>
    <col min="6" max="6" width="114.33203125" customWidth="1"/>
    <col min="7" max="7" width="5.33203125" customWidth="1"/>
    <col min="8" max="8" width="5.6640625" customWidth="1"/>
    <col min="9" max="9" width="12.33203125" style="5" customWidth="1"/>
    <col min="10" max="10" width="3.33203125" style="1573" customWidth="1"/>
    <col min="11" max="11" width="9.33203125" style="5" customWidth="1"/>
    <col min="12" max="14" width="12.33203125" style="5" customWidth="1"/>
    <col min="15" max="15" width="10.83203125" style="5"/>
    <col min="16" max="16" width="9" customWidth="1"/>
    <col min="18" max="18" width="8.1640625" customWidth="1"/>
  </cols>
  <sheetData>
    <row r="1" spans="4:37" ht="21" x14ac:dyDescent="0.25">
      <c r="D1" s="48" t="s">
        <v>1272</v>
      </c>
    </row>
    <row r="2" spans="4:37" ht="48" thickBot="1" x14ac:dyDescent="0.25">
      <c r="I2" s="16" t="s">
        <v>1317</v>
      </c>
      <c r="K2" s="2180" t="s">
        <v>1284</v>
      </c>
      <c r="L2" s="2180"/>
      <c r="M2" s="2180"/>
      <c r="N2" s="2180"/>
      <c r="O2" s="2180"/>
    </row>
    <row r="3" spans="4:37" ht="62" customHeight="1" x14ac:dyDescent="0.2">
      <c r="G3" s="1551" t="s">
        <v>231</v>
      </c>
      <c r="H3" s="1552" t="s">
        <v>1278</v>
      </c>
      <c r="I3" s="1548" t="s">
        <v>1316</v>
      </c>
      <c r="K3" s="1487" t="s">
        <v>1277</v>
      </c>
      <c r="L3" s="1487" t="s">
        <v>407</v>
      </c>
      <c r="M3" s="1487" t="s">
        <v>1275</v>
      </c>
      <c r="N3" s="1487" t="s">
        <v>1276</v>
      </c>
      <c r="O3" s="1487" t="s">
        <v>574</v>
      </c>
      <c r="Q3" s="1"/>
    </row>
    <row r="4" spans="4:37" x14ac:dyDescent="0.2">
      <c r="G4" s="1553"/>
      <c r="H4" s="1554"/>
      <c r="I4" s="1498"/>
      <c r="K4" s="631"/>
      <c r="L4" s="631"/>
      <c r="M4" s="631"/>
      <c r="N4" s="631"/>
      <c r="O4" s="631"/>
    </row>
    <row r="5" spans="4:37" x14ac:dyDescent="0.2">
      <c r="D5" t="str">
        <f>Test_Bible!A181</f>
        <v>PFA09a</v>
      </c>
      <c r="E5" t="str">
        <f>Test_Bible!B181</f>
        <v/>
      </c>
      <c r="G5" s="1556">
        <f>Test_Bible!P181</f>
        <v>0</v>
      </c>
      <c r="H5" s="1554"/>
      <c r="I5" s="1550">
        <f>G5</f>
        <v>0</v>
      </c>
      <c r="J5" s="1576"/>
      <c r="K5" s="631">
        <v>0</v>
      </c>
      <c r="L5" s="631">
        <v>1</v>
      </c>
      <c r="M5" s="631" t="s">
        <v>1318</v>
      </c>
      <c r="N5" s="631" t="s">
        <v>1321</v>
      </c>
      <c r="O5" s="1489">
        <v>10</v>
      </c>
    </row>
    <row r="6" spans="4:37" x14ac:dyDescent="0.2">
      <c r="G6" s="1553"/>
      <c r="H6" s="1554"/>
      <c r="I6" s="1549"/>
      <c r="K6" s="631"/>
      <c r="L6" s="631"/>
      <c r="M6" s="631"/>
      <c r="N6" s="631"/>
      <c r="O6" s="631"/>
    </row>
    <row r="7" spans="4:37" x14ac:dyDescent="0.2">
      <c r="D7" t="str">
        <f>Test_Bible!A183</f>
        <v>PFA11</v>
      </c>
      <c r="E7" t="str">
        <f>Test_Bible!B183</f>
        <v xml:space="preserve">L'autre parent est d'avis que votre enfant est assez mature pour choisir où il doit vivre et avec quel parent.  </v>
      </c>
      <c r="G7" s="1556">
        <f>Test_Bible!P183</f>
        <v>1</v>
      </c>
      <c r="H7" s="1554"/>
      <c r="I7" s="1550">
        <f>MAX(G7,G8)</f>
        <v>1</v>
      </c>
      <c r="J7" s="1577" t="s">
        <v>574</v>
      </c>
      <c r="K7" s="631" t="s">
        <v>1319</v>
      </c>
      <c r="L7" s="1520" t="s">
        <v>1304</v>
      </c>
      <c r="M7" s="631" t="s">
        <v>1301</v>
      </c>
      <c r="N7" s="631"/>
      <c r="O7" s="1489">
        <v>10</v>
      </c>
    </row>
    <row r="8" spans="4:37" x14ac:dyDescent="0.2">
      <c r="D8" s="59" t="str">
        <f>Test_Bible!A184</f>
        <v>PFA11a</v>
      </c>
      <c r="E8" s="59" t="str">
        <f>Test_Bible!B184</f>
        <v/>
      </c>
      <c r="F8" s="59"/>
      <c r="G8" s="1556">
        <f>Test_Bible!P184</f>
        <v>0</v>
      </c>
      <c r="H8" s="1555"/>
      <c r="I8" s="1550"/>
      <c r="J8" s="1576"/>
      <c r="K8" s="631"/>
      <c r="L8" s="631"/>
      <c r="M8" s="631"/>
      <c r="N8" s="631"/>
      <c r="O8" s="631"/>
    </row>
    <row r="9" spans="4:37" x14ac:dyDescent="0.2">
      <c r="G9" s="1557"/>
      <c r="H9" s="1554"/>
      <c r="I9" s="1549"/>
      <c r="K9" s="631"/>
      <c r="L9" s="631"/>
      <c r="M9" s="631"/>
      <c r="N9" s="631"/>
      <c r="O9" s="631"/>
    </row>
    <row r="10" spans="4:37" x14ac:dyDescent="0.2">
      <c r="D10" t="str">
        <f>Test_Bible!A191</f>
        <v>PFA15</v>
      </c>
      <c r="E10" t="str">
        <f>Test_Bible!B191</f>
        <v>L'autre parent laisse entendre qu'il ou elle représente la vraie famille de votre enfant.</v>
      </c>
      <c r="G10" s="1556">
        <f>Test_Bible!P191</f>
        <v>1</v>
      </c>
      <c r="H10" s="1554"/>
      <c r="I10" s="1550">
        <f>MAX(G10,G11)</f>
        <v>1</v>
      </c>
      <c r="J10" s="1577" t="s">
        <v>574</v>
      </c>
      <c r="K10" s="631" t="s">
        <v>1319</v>
      </c>
      <c r="L10" s="1520" t="s">
        <v>1304</v>
      </c>
      <c r="M10" s="631" t="s">
        <v>1301</v>
      </c>
      <c r="N10" s="631"/>
      <c r="O10" s="1489">
        <v>10</v>
      </c>
    </row>
    <row r="11" spans="4:37" x14ac:dyDescent="0.2">
      <c r="D11" s="59" t="str">
        <f>Test_Bible!A192</f>
        <v>PFA15a</v>
      </c>
      <c r="E11" s="59" t="str">
        <f>Test_Bible!B192</f>
        <v/>
      </c>
      <c r="F11" s="59"/>
      <c r="G11" s="1556">
        <f>Test_Bible!P192</f>
        <v>0</v>
      </c>
      <c r="H11" s="1555"/>
      <c r="I11" s="1550"/>
      <c r="K11" s="631"/>
      <c r="L11" s="631"/>
      <c r="M11" s="631"/>
      <c r="N11" s="631"/>
      <c r="O11" s="631"/>
    </row>
    <row r="12" spans="4:37" x14ac:dyDescent="0.2">
      <c r="G12" s="1557"/>
      <c r="H12" s="1554"/>
      <c r="I12" s="1549"/>
      <c r="K12" s="631"/>
      <c r="L12" s="631"/>
      <c r="M12" s="631"/>
      <c r="N12" s="631"/>
      <c r="O12" s="631"/>
    </row>
    <row r="13" spans="4:37" x14ac:dyDescent="0.2">
      <c r="D13" s="59" t="str">
        <f>Test_Bible!A196</f>
        <v>PFA16b1</v>
      </c>
      <c r="E13" s="59" t="str">
        <f>Test_Bible!B196</f>
        <v/>
      </c>
      <c r="F13" s="59"/>
      <c r="G13" s="1556">
        <f>Test_Bible!P196</f>
        <v>0</v>
      </c>
      <c r="H13" s="1554"/>
      <c r="I13" s="1550">
        <f>G13</f>
        <v>0</v>
      </c>
      <c r="K13" s="631" t="s">
        <v>1320</v>
      </c>
      <c r="L13" s="1520" t="s">
        <v>1318</v>
      </c>
      <c r="M13" s="1520" t="s">
        <v>1304</v>
      </c>
      <c r="N13" s="631" t="s">
        <v>1301</v>
      </c>
      <c r="O13" s="1489">
        <v>10</v>
      </c>
      <c r="AI13" t="s">
        <v>1322</v>
      </c>
      <c r="AJ13" t="s">
        <v>1323</v>
      </c>
      <c r="AK13" t="s">
        <v>1326</v>
      </c>
    </row>
    <row r="14" spans="4:37" x14ac:dyDescent="0.2">
      <c r="G14" s="1557"/>
      <c r="H14" s="1554"/>
      <c r="I14" s="1549"/>
      <c r="K14" s="631"/>
      <c r="L14" s="631"/>
      <c r="M14" s="631"/>
      <c r="N14" s="631"/>
      <c r="O14" s="631"/>
      <c r="AI14" s="5">
        <v>0</v>
      </c>
      <c r="AJ14" s="5">
        <v>19</v>
      </c>
      <c r="AK14" t="s">
        <v>1324</v>
      </c>
    </row>
    <row r="15" spans="4:37" ht="18" customHeight="1" x14ac:dyDescent="0.2">
      <c r="D15" t="str">
        <f>Test_Bible!A199</f>
        <v>PFA19</v>
      </c>
      <c r="E15" t="str">
        <f>Test_Bible!B199</f>
        <v>L'autre parent vous communique les informations médicales, scolaires et liées aux activités sociales ou sportives de votre enfant.</v>
      </c>
      <c r="G15" s="1556">
        <f>Test_Bible!P199</f>
        <v>2</v>
      </c>
      <c r="H15" s="1554"/>
      <c r="I15" s="1550">
        <f>MAX(G15,G16,G17)</f>
        <v>2</v>
      </c>
      <c r="J15" s="1577" t="s">
        <v>574</v>
      </c>
      <c r="K15" s="631" t="s">
        <v>1319</v>
      </c>
      <c r="L15" s="1520" t="s">
        <v>1304</v>
      </c>
      <c r="M15" s="631" t="s">
        <v>1301</v>
      </c>
      <c r="N15" s="631"/>
      <c r="O15" s="1489">
        <v>10</v>
      </c>
      <c r="AI15" s="5">
        <v>20</v>
      </c>
      <c r="AJ15" s="5">
        <v>39</v>
      </c>
      <c r="AK15" t="s">
        <v>1325</v>
      </c>
    </row>
    <row r="16" spans="4:37" ht="18" customHeight="1" x14ac:dyDescent="0.2">
      <c r="D16" s="59" t="str">
        <f>Test_Bible!A200</f>
        <v>PFA19a</v>
      </c>
      <c r="E16" s="59" t="str">
        <f>Test_Bible!B200</f>
        <v/>
      </c>
      <c r="F16" s="59"/>
      <c r="G16" s="1556">
        <f>Test_Bible!P200</f>
        <v>0</v>
      </c>
      <c r="H16" s="1554"/>
      <c r="I16" s="1550"/>
      <c r="K16" s="631"/>
      <c r="L16" s="631"/>
      <c r="M16" s="631"/>
      <c r="N16" s="631"/>
      <c r="O16" s="631"/>
      <c r="AI16" s="5">
        <v>40</v>
      </c>
      <c r="AJ16" s="5">
        <v>89</v>
      </c>
      <c r="AK16" t="s">
        <v>1327</v>
      </c>
    </row>
    <row r="17" spans="4:37" ht="18" customHeight="1" x14ac:dyDescent="0.2">
      <c r="D17" t="str">
        <f>Test_Bible!A423</f>
        <v>NC13</v>
      </c>
      <c r="E17" t="str">
        <f>Test_Bible!B423</f>
        <v>Le nouveau ou nouvelle conjoint·e demande aux personnes gravitant autour de votre enfant de ne PAS vous communiquer de l'information à son sujet.</v>
      </c>
      <c r="G17" s="1556">
        <f>Test_Bible!P423</f>
        <v>2</v>
      </c>
      <c r="H17" s="1554"/>
      <c r="I17" s="1550"/>
      <c r="K17" s="631"/>
      <c r="L17" s="631"/>
      <c r="M17" s="631"/>
      <c r="N17" s="631"/>
      <c r="O17" s="631"/>
      <c r="Q17" t="s">
        <v>1311</v>
      </c>
      <c r="AI17" s="5">
        <v>90</v>
      </c>
      <c r="AJ17" s="5">
        <v>200</v>
      </c>
      <c r="AK17" t="s">
        <v>1328</v>
      </c>
    </row>
    <row r="18" spans="4:37" x14ac:dyDescent="0.2">
      <c r="G18" s="1553"/>
      <c r="H18" s="1554"/>
      <c r="I18" s="1549"/>
      <c r="K18" s="631"/>
      <c r="L18" s="631"/>
      <c r="M18" s="631"/>
      <c r="N18" s="631"/>
      <c r="O18" s="631"/>
      <c r="Q18" s="1541" t="s">
        <v>243</v>
      </c>
      <c r="S18" t="s">
        <v>1315</v>
      </c>
    </row>
    <row r="19" spans="4:37" x14ac:dyDescent="0.2">
      <c r="D19" t="str">
        <f>Test_Bible!A222</f>
        <v>PFA29a</v>
      </c>
      <c r="E19" t="str">
        <f>Test_Bible!B222</f>
        <v/>
      </c>
      <c r="G19" s="1553"/>
      <c r="H19" s="1554"/>
      <c r="I19" s="1549">
        <f>Test_Bible!E222</f>
        <v>0</v>
      </c>
      <c r="J19" s="1578"/>
      <c r="K19" s="631">
        <v>0</v>
      </c>
      <c r="L19" s="631" t="s">
        <v>1280</v>
      </c>
      <c r="M19" s="631" t="s">
        <v>1281</v>
      </c>
      <c r="N19" s="631" t="s">
        <v>1282</v>
      </c>
      <c r="O19" s="1489">
        <f>SUM(Test_Bible!D223:D228)</f>
        <v>29</v>
      </c>
      <c r="Q19" s="111"/>
      <c r="S19" s="3"/>
    </row>
    <row r="20" spans="4:37" x14ac:dyDescent="0.2">
      <c r="F20" t="str">
        <f>Test_Bible!B223</f>
        <v/>
      </c>
      <c r="G20" s="1553"/>
      <c r="H20" s="1554">
        <f>Test_Bible!D223</f>
        <v>7</v>
      </c>
      <c r="I20" s="1549">
        <f>Test_Bible!E223*Test_Bible!D223</f>
        <v>0</v>
      </c>
      <c r="K20" s="631"/>
      <c r="L20" s="631"/>
      <c r="M20" s="631"/>
      <c r="N20" s="631"/>
      <c r="O20" s="631"/>
      <c r="Q20" s="1547">
        <f>Test_Bible!D142*Test_Bible!E142</f>
        <v>0</v>
      </c>
      <c r="S20">
        <f>I20-Q20</f>
        <v>0</v>
      </c>
    </row>
    <row r="21" spans="4:37" x14ac:dyDescent="0.2">
      <c r="F21" t="str">
        <f>Test_Bible!B224</f>
        <v/>
      </c>
      <c r="G21" s="1553"/>
      <c r="H21" s="1554">
        <f>Test_Bible!D224</f>
        <v>3</v>
      </c>
      <c r="I21" s="1549">
        <f>Test_Bible!E224*Test_Bible!D224</f>
        <v>0</v>
      </c>
      <c r="K21" s="631"/>
      <c r="L21" s="631"/>
      <c r="M21" s="631"/>
      <c r="N21" s="631"/>
      <c r="O21" s="631"/>
      <c r="Q21" s="1547">
        <f>Test_Bible!D143*Test_Bible!E143</f>
        <v>0</v>
      </c>
      <c r="S21">
        <f t="shared" ref="S21:S25" si="0">I21-Q21</f>
        <v>0</v>
      </c>
    </row>
    <row r="22" spans="4:37" x14ac:dyDescent="0.2">
      <c r="F22" t="str">
        <f>Test_Bible!B225</f>
        <v/>
      </c>
      <c r="G22" s="1553"/>
      <c r="H22" s="1554">
        <f>Test_Bible!D225</f>
        <v>3</v>
      </c>
      <c r="I22" s="1549">
        <f>Test_Bible!E225*Test_Bible!D225</f>
        <v>0</v>
      </c>
      <c r="K22" s="631"/>
      <c r="L22" s="631"/>
      <c r="M22" s="631"/>
      <c r="N22" s="631"/>
      <c r="O22" s="631"/>
      <c r="Q22" s="1547">
        <f>Test_Bible!D144*Test_Bible!E144</f>
        <v>0</v>
      </c>
      <c r="S22">
        <f t="shared" si="0"/>
        <v>0</v>
      </c>
    </row>
    <row r="23" spans="4:37" x14ac:dyDescent="0.2">
      <c r="F23" t="str">
        <f>Test_Bible!B226</f>
        <v/>
      </c>
      <c r="G23" s="1553"/>
      <c r="H23" s="1554">
        <f>Test_Bible!D226</f>
        <v>10</v>
      </c>
      <c r="I23" s="1549">
        <f>Test_Bible!E226*Test_Bible!D226</f>
        <v>0</v>
      </c>
      <c r="K23" s="631"/>
      <c r="L23" s="631"/>
      <c r="M23" s="631"/>
      <c r="N23" s="631"/>
      <c r="O23" s="631"/>
      <c r="Q23" s="1547">
        <f>Test_Bible!D145*Test_Bible!E145</f>
        <v>0</v>
      </c>
      <c r="S23">
        <f t="shared" si="0"/>
        <v>0</v>
      </c>
    </row>
    <row r="24" spans="4:37" x14ac:dyDescent="0.2">
      <c r="F24" t="str">
        <f>Test_Bible!B227</f>
        <v/>
      </c>
      <c r="G24" s="1553"/>
      <c r="H24" s="1554">
        <f>Test_Bible!D227</f>
        <v>5</v>
      </c>
      <c r="I24" s="1549">
        <f>Test_Bible!E227*Test_Bible!D227</f>
        <v>0</v>
      </c>
      <c r="K24" s="631"/>
      <c r="L24" s="631"/>
      <c r="M24" s="631"/>
      <c r="N24" s="631"/>
      <c r="O24" s="631"/>
      <c r="Q24" s="1547">
        <f>Test_Bible!D146*Test_Bible!E146</f>
        <v>0</v>
      </c>
      <c r="S24">
        <f t="shared" si="0"/>
        <v>0</v>
      </c>
    </row>
    <row r="25" spans="4:37" x14ac:dyDescent="0.2">
      <c r="F25" t="str">
        <f>Test_Bible!B228</f>
        <v/>
      </c>
      <c r="G25" s="1553"/>
      <c r="H25" s="1554">
        <f>Test_Bible!D228</f>
        <v>1</v>
      </c>
      <c r="I25" s="1549">
        <f>Test_Bible!E228*Test_Bible!D228</f>
        <v>0</v>
      </c>
      <c r="K25" s="631"/>
      <c r="L25" s="631"/>
      <c r="M25" s="631"/>
      <c r="N25" s="631"/>
      <c r="O25" s="631"/>
      <c r="Q25" s="1547">
        <f>Test_Bible!D147*Test_Bible!E147</f>
        <v>0</v>
      </c>
      <c r="S25">
        <f t="shared" si="0"/>
        <v>0</v>
      </c>
    </row>
    <row r="26" spans="4:37" x14ac:dyDescent="0.2">
      <c r="F26" t="str">
        <f>Test_Bible!B229</f>
        <v/>
      </c>
      <c r="G26" s="1553"/>
      <c r="H26" s="1554" t="str">
        <f>Test_Bible!D229</f>
        <v>Custom</v>
      </c>
      <c r="I26" s="1549"/>
      <c r="K26" s="631"/>
      <c r="L26" s="631"/>
      <c r="M26" s="631"/>
      <c r="N26" s="631"/>
      <c r="O26" s="631"/>
      <c r="Q26" s="1547"/>
    </row>
    <row r="27" spans="4:37" x14ac:dyDescent="0.2">
      <c r="G27" s="1553"/>
      <c r="H27" s="1554"/>
      <c r="I27" s="1549"/>
      <c r="K27" s="631"/>
      <c r="L27" s="631"/>
      <c r="M27" s="631"/>
      <c r="N27" s="631"/>
      <c r="O27" s="631"/>
    </row>
    <row r="28" spans="4:37" x14ac:dyDescent="0.2">
      <c r="D28" t="str">
        <f>Test_Bible!A235</f>
        <v>PFA30a</v>
      </c>
      <c r="E28" t="str">
        <f>Test_Bible!B235</f>
        <v/>
      </c>
      <c r="G28" s="1556">
        <f>Test_Bible!P235</f>
        <v>0</v>
      </c>
      <c r="H28" s="1554"/>
      <c r="I28" s="1550">
        <f>G28</f>
        <v>0</v>
      </c>
      <c r="J28" s="1576"/>
      <c r="K28" s="631">
        <v>0</v>
      </c>
      <c r="L28" s="631" t="s">
        <v>1285</v>
      </c>
      <c r="M28" s="631" t="s">
        <v>1287</v>
      </c>
      <c r="N28" s="631" t="s">
        <v>1286</v>
      </c>
      <c r="O28" s="1489">
        <v>10</v>
      </c>
    </row>
    <row r="29" spans="4:37" x14ac:dyDescent="0.2">
      <c r="G29" s="1553"/>
      <c r="H29" s="1554"/>
      <c r="I29" s="1550"/>
      <c r="J29" s="1576"/>
      <c r="K29" s="631"/>
      <c r="L29" s="631"/>
      <c r="M29" s="631"/>
      <c r="N29" s="631"/>
      <c r="O29" s="631"/>
    </row>
    <row r="30" spans="4:37" x14ac:dyDescent="0.2">
      <c r="D30" t="str">
        <f>Test_Bible!A237</f>
        <v>PFA30a2</v>
      </c>
      <c r="E30" t="str">
        <f>Test_Bible!B237</f>
        <v/>
      </c>
      <c r="G30" s="1553"/>
      <c r="H30" s="1554"/>
      <c r="I30" s="1550">
        <f>Test_Bible!E237</f>
        <v>0</v>
      </c>
      <c r="J30" s="1576"/>
      <c r="K30" s="631">
        <v>0</v>
      </c>
      <c r="L30" s="631">
        <v>0</v>
      </c>
      <c r="M30" s="631" t="s">
        <v>1283</v>
      </c>
      <c r="N30" s="631" t="s">
        <v>1279</v>
      </c>
      <c r="O30" s="1489">
        <f>SUM(Test_Bible!D238:D241)</f>
        <v>40</v>
      </c>
    </row>
    <row r="31" spans="4:37" x14ac:dyDescent="0.2">
      <c r="F31" t="str">
        <f>Test_Bible!B238</f>
        <v/>
      </c>
      <c r="G31" s="1553"/>
      <c r="H31" s="1554">
        <f>Test_Bible!D238</f>
        <v>10</v>
      </c>
      <c r="I31" s="1549">
        <f>Test_Bible!E238*Test_Bible!D238</f>
        <v>0</v>
      </c>
      <c r="K31" s="631"/>
      <c r="L31" s="631"/>
      <c r="M31" s="631"/>
      <c r="N31" s="631"/>
      <c r="O31" s="631"/>
    </row>
    <row r="32" spans="4:37" x14ac:dyDescent="0.2">
      <c r="F32" t="str">
        <f>Test_Bible!B239</f>
        <v/>
      </c>
      <c r="G32" s="1553"/>
      <c r="H32" s="1554">
        <f>Test_Bible!D239</f>
        <v>10</v>
      </c>
      <c r="I32" s="1549">
        <f>Test_Bible!E239*Test_Bible!D239</f>
        <v>0</v>
      </c>
      <c r="K32" s="631"/>
      <c r="L32" s="631"/>
      <c r="M32" s="631"/>
      <c r="N32" s="631"/>
      <c r="O32" s="631"/>
    </row>
    <row r="33" spans="4:17" x14ac:dyDescent="0.2">
      <c r="F33" t="str">
        <f>Test_Bible!B240</f>
        <v/>
      </c>
      <c r="G33" s="1553"/>
      <c r="H33" s="1554">
        <f>Test_Bible!D240</f>
        <v>10</v>
      </c>
      <c r="I33" s="1549">
        <f>Test_Bible!E240*Test_Bible!D240</f>
        <v>0</v>
      </c>
      <c r="K33" s="631"/>
      <c r="L33" s="631"/>
      <c r="M33" s="631"/>
      <c r="N33" s="631"/>
      <c r="O33" s="631"/>
    </row>
    <row r="34" spans="4:17" x14ac:dyDescent="0.2">
      <c r="F34" t="str">
        <f>Test_Bible!B241</f>
        <v/>
      </c>
      <c r="G34" s="1553"/>
      <c r="H34" s="1554">
        <f>Test_Bible!D241</f>
        <v>10</v>
      </c>
      <c r="I34" s="1549">
        <f>Test_Bible!E241*Test_Bible!D241</f>
        <v>0</v>
      </c>
      <c r="K34" s="631"/>
      <c r="L34" s="631"/>
      <c r="M34" s="631"/>
      <c r="N34" s="631"/>
      <c r="O34" s="631"/>
    </row>
    <row r="35" spans="4:17" x14ac:dyDescent="0.2">
      <c r="F35" t="str">
        <f>Test_Bible!B242</f>
        <v/>
      </c>
      <c r="G35" s="1553"/>
      <c r="H35" s="1554" t="str">
        <f>Test_Bible!D242</f>
        <v>Custom</v>
      </c>
      <c r="I35" s="1549"/>
      <c r="K35" s="631"/>
      <c r="L35" s="631"/>
      <c r="M35" s="631"/>
      <c r="N35" s="631"/>
      <c r="O35" s="631"/>
    </row>
    <row r="36" spans="4:17" x14ac:dyDescent="0.2">
      <c r="G36" s="1553"/>
      <c r="H36" s="1554"/>
      <c r="I36" s="1549"/>
      <c r="K36" s="631"/>
      <c r="L36" s="631"/>
      <c r="M36" s="631"/>
      <c r="N36" s="631"/>
      <c r="O36" s="631"/>
    </row>
    <row r="37" spans="4:17" x14ac:dyDescent="0.2">
      <c r="D37" t="str">
        <f>Test_Bible!A250</f>
        <v>PFA36</v>
      </c>
      <c r="E37" t="str">
        <f>Test_Bible!B250</f>
        <v/>
      </c>
      <c r="G37" s="1556">
        <f>Test_Bible!P250</f>
        <v>0</v>
      </c>
      <c r="H37" s="1554"/>
      <c r="I37" s="1550">
        <f>Test_Bible!P250</f>
        <v>0</v>
      </c>
      <c r="K37" s="631" t="s">
        <v>1320</v>
      </c>
      <c r="L37" s="1520" t="s">
        <v>1318</v>
      </c>
      <c r="M37" s="1520" t="s">
        <v>1304</v>
      </c>
      <c r="N37" s="631" t="s">
        <v>1301</v>
      </c>
      <c r="O37" s="1489">
        <v>10</v>
      </c>
    </row>
    <row r="38" spans="4:17" x14ac:dyDescent="0.2">
      <c r="G38" s="1553"/>
      <c r="H38" s="1554"/>
      <c r="I38" s="1549"/>
      <c r="K38" s="631"/>
      <c r="L38" s="631"/>
      <c r="M38" s="631"/>
      <c r="N38" s="631"/>
      <c r="O38" s="631"/>
    </row>
    <row r="39" spans="4:17" x14ac:dyDescent="0.2">
      <c r="D39" t="str">
        <f>Test_Bible!A251</f>
        <v>PFA38</v>
      </c>
      <c r="E39" t="str">
        <f>Test_Bible!B251</f>
        <v/>
      </c>
      <c r="G39" s="1553"/>
      <c r="H39" s="1554"/>
      <c r="I39" s="1550">
        <f>Test_Bible!E251</f>
        <v>0</v>
      </c>
      <c r="J39" s="1576"/>
      <c r="K39" s="631">
        <v>0</v>
      </c>
      <c r="L39" s="631">
        <v>0</v>
      </c>
      <c r="M39" s="631" t="s">
        <v>1283</v>
      </c>
      <c r="N39" s="631" t="s">
        <v>1279</v>
      </c>
      <c r="O39" s="1489">
        <f>SUM(Test_Bible!D252:D256)</f>
        <v>32</v>
      </c>
    </row>
    <row r="40" spans="4:17" x14ac:dyDescent="0.2">
      <c r="F40" t="str">
        <f>Test_Bible!B252</f>
        <v/>
      </c>
      <c r="G40" s="1553"/>
      <c r="H40" s="1554">
        <f>Test_Bible!D252</f>
        <v>3</v>
      </c>
      <c r="I40" s="1549">
        <f>Test_Bible!E252*Test_Bible!D252</f>
        <v>0</v>
      </c>
      <c r="K40" s="631"/>
      <c r="L40" s="631"/>
      <c r="M40" s="631"/>
      <c r="N40" s="631"/>
      <c r="O40" s="631"/>
    </row>
    <row r="41" spans="4:17" x14ac:dyDescent="0.2">
      <c r="F41" t="str">
        <f>Test_Bible!B253</f>
        <v/>
      </c>
      <c r="G41" s="1553"/>
      <c r="H41" s="1554">
        <f>Test_Bible!D253</f>
        <v>7</v>
      </c>
      <c r="I41" s="1549">
        <f>Test_Bible!E253*Test_Bible!D253</f>
        <v>0</v>
      </c>
      <c r="K41" s="631"/>
      <c r="L41" s="631"/>
      <c r="M41" s="631"/>
      <c r="N41" s="631"/>
      <c r="O41" s="631"/>
    </row>
    <row r="42" spans="4:17" x14ac:dyDescent="0.2">
      <c r="F42" t="str">
        <f>Test_Bible!B254</f>
        <v/>
      </c>
      <c r="G42" s="1553"/>
      <c r="H42" s="1554">
        <f>Test_Bible!D254</f>
        <v>5</v>
      </c>
      <c r="I42" s="1549">
        <f>Test_Bible!E254*Test_Bible!D254</f>
        <v>0</v>
      </c>
      <c r="K42" s="631"/>
      <c r="L42" s="631"/>
      <c r="M42" s="631"/>
      <c r="N42" s="631"/>
      <c r="O42" s="631"/>
    </row>
    <row r="43" spans="4:17" x14ac:dyDescent="0.2">
      <c r="F43" t="str">
        <f>Test_Bible!B255</f>
        <v/>
      </c>
      <c r="G43" s="1553"/>
      <c r="H43" s="1554">
        <f>Test_Bible!D255</f>
        <v>10</v>
      </c>
      <c r="I43" s="1549">
        <f>Test_Bible!E255*Test_Bible!D255</f>
        <v>0</v>
      </c>
      <c r="K43" s="631"/>
      <c r="L43" s="631"/>
      <c r="M43" s="631"/>
      <c r="N43" s="631"/>
      <c r="O43" s="631"/>
    </row>
    <row r="44" spans="4:17" x14ac:dyDescent="0.2">
      <c r="F44" t="str">
        <f>Test_Bible!B256</f>
        <v/>
      </c>
      <c r="G44" s="1553"/>
      <c r="H44" s="1554">
        <f>Test_Bible!D256</f>
        <v>7</v>
      </c>
      <c r="I44" s="1549">
        <f>Test_Bible!E256*Test_Bible!D256</f>
        <v>0</v>
      </c>
      <c r="K44" s="631"/>
      <c r="L44" s="631"/>
      <c r="M44" s="631"/>
      <c r="N44" s="631"/>
      <c r="O44" s="631"/>
    </row>
    <row r="45" spans="4:17" x14ac:dyDescent="0.2">
      <c r="F45" t="str">
        <f>Test_Bible!B257</f>
        <v/>
      </c>
      <c r="G45" s="1553"/>
      <c r="H45" s="1554">
        <f>Test_Bible!D257</f>
        <v>0</v>
      </c>
      <c r="I45" s="1549">
        <f>Test_Bible!E257*Test_Bible!D257</f>
        <v>0</v>
      </c>
      <c r="K45" s="631"/>
      <c r="L45" s="631"/>
      <c r="M45" s="631"/>
      <c r="N45" s="631"/>
      <c r="O45" s="631"/>
    </row>
    <row r="46" spans="4:17" x14ac:dyDescent="0.2">
      <c r="G46" s="1553"/>
      <c r="H46" s="1554"/>
      <c r="I46" s="1549"/>
      <c r="K46" s="631"/>
      <c r="L46" s="631"/>
      <c r="M46" s="631"/>
      <c r="N46" s="631"/>
      <c r="O46" s="631"/>
    </row>
    <row r="47" spans="4:17" ht="17" thickBot="1" x14ac:dyDescent="0.25">
      <c r="D47" t="str">
        <f>Test_Bible!A329</f>
        <v>E34</v>
      </c>
      <c r="E47" t="str">
        <f>Test_Bible!B329</f>
        <v xml:space="preserve">Votre enfant bloque les communications (tél., textos, réseaux sociaux, etc.). </v>
      </c>
      <c r="G47" s="1556">
        <f>Test_Bible!P329</f>
        <v>2</v>
      </c>
      <c r="H47" s="1554"/>
      <c r="I47" s="1550">
        <f>Test_Bible!P329</f>
        <v>2</v>
      </c>
      <c r="K47" s="631" t="s">
        <v>1320</v>
      </c>
      <c r="L47" s="1520" t="s">
        <v>1318</v>
      </c>
      <c r="M47" s="1520" t="s">
        <v>1304</v>
      </c>
      <c r="N47" s="631" t="s">
        <v>1301</v>
      </c>
      <c r="O47" s="1489">
        <v>10</v>
      </c>
    </row>
    <row r="48" spans="4:17" x14ac:dyDescent="0.2">
      <c r="G48" s="75"/>
      <c r="H48" s="75"/>
      <c r="I48" s="1496"/>
      <c r="K48" s="2247" t="s">
        <v>1273</v>
      </c>
      <c r="L48" s="2248"/>
      <c r="M48" s="2248"/>
      <c r="N48" s="2248"/>
      <c r="O48" s="2249"/>
      <c r="Q48" s="319"/>
    </row>
    <row r="49" spans="4:17" x14ac:dyDescent="0.2">
      <c r="G49" s="75"/>
      <c r="H49" s="75"/>
      <c r="I49" s="1498" t="s">
        <v>1273</v>
      </c>
      <c r="K49" s="1559" t="s">
        <v>1343</v>
      </c>
      <c r="L49" s="5" t="s">
        <v>1344</v>
      </c>
      <c r="M49" s="5" t="s">
        <v>1345</v>
      </c>
      <c r="N49" s="5" t="s">
        <v>1346</v>
      </c>
      <c r="O49" s="1560" t="s">
        <v>1274</v>
      </c>
    </row>
    <row r="50" spans="4:17" ht="17" thickBot="1" x14ac:dyDescent="0.25">
      <c r="G50" s="75"/>
      <c r="H50" s="75"/>
      <c r="I50" s="1558">
        <f>I5++I7+I10+I13+I15+I19+I28+I30+I37+I39+I47</f>
        <v>6</v>
      </c>
      <c r="J50" s="1577"/>
      <c r="K50" s="1561"/>
      <c r="L50" s="81"/>
      <c r="M50" s="81"/>
      <c r="N50" s="81"/>
      <c r="O50" s="1562">
        <f>O5+O19+O28+O30+O39+O37+O7+O10+O13+O15+O47</f>
        <v>181</v>
      </c>
    </row>
    <row r="51" spans="4:17" x14ac:dyDescent="0.2">
      <c r="G51" s="75"/>
      <c r="H51" s="75"/>
      <c r="I51" s="4" t="str">
        <f>VLOOKUP(I50,AI14:AK17,3)</f>
        <v>Aucun signe</v>
      </c>
    </row>
    <row r="52" spans="4:17" x14ac:dyDescent="0.2">
      <c r="G52" s="75"/>
      <c r="H52" s="75"/>
    </row>
    <row r="53" spans="4:17" ht="16" customHeight="1" x14ac:dyDescent="0.2">
      <c r="D53" t="str">
        <f>Test_Bible!A101</f>
        <v>H04a</v>
      </c>
      <c r="E53" t="str">
        <f>Test_Bible!B101</f>
        <v xml:space="preserve"> </v>
      </c>
      <c r="G53" s="1553"/>
      <c r="H53" s="1554"/>
      <c r="I53" s="1497">
        <f>Test_Bible!P101</f>
        <v>0</v>
      </c>
      <c r="J53" s="1574"/>
      <c r="K53" s="1488"/>
      <c r="L53" s="1488"/>
      <c r="M53" s="1488"/>
      <c r="N53" s="1488"/>
      <c r="O53" s="1488"/>
      <c r="Q53" s="1292"/>
    </row>
    <row r="54" spans="4:17" x14ac:dyDescent="0.2">
      <c r="D54" t="str">
        <f>Test_Bible!A166</f>
        <v>PFA02</v>
      </c>
      <c r="E54" t="str">
        <f>Test_Bible!B166</f>
        <v>Selon vous, dans quelle mesure l'autre parent entretien une relation fusionnelle avec votre enfant ?</v>
      </c>
      <c r="G54" s="1553"/>
      <c r="H54" s="1554"/>
      <c r="I54" s="1497">
        <f>Test_Bible!P166</f>
        <v>5</v>
      </c>
      <c r="J54" s="1574"/>
      <c r="K54" s="1488"/>
      <c r="L54" s="1488"/>
      <c r="M54" s="1488"/>
      <c r="N54" s="1488"/>
      <c r="O54" s="1488"/>
      <c r="Q54" s="1292"/>
    </row>
    <row r="55" spans="4:17" ht="20" customHeight="1" thickBot="1" x14ac:dyDescent="0.25">
      <c r="D55" s="59" t="str">
        <f>Test_Bible!A167</f>
        <v>PFA02a</v>
      </c>
      <c r="E55" s="59" t="str">
        <f>Test_Bible!B167</f>
        <v/>
      </c>
      <c r="F55" s="59"/>
      <c r="G55" s="1553"/>
      <c r="H55" s="1555"/>
      <c r="I55" s="1515" t="str">
        <f>IF(E55="","",IF(Test_Bible!E167=1,"intentionnelle","inconsciente"))</f>
        <v/>
      </c>
      <c r="J55" s="1575"/>
      <c r="K55" s="1514"/>
      <c r="L55" s="1514"/>
      <c r="M55" s="1514" t="str">
        <f>IF($I55="intentionnelle","V","F")</f>
        <v>F</v>
      </c>
      <c r="N55" s="1514" t="str">
        <f>IF($I55="intentionnelle","V","F")</f>
        <v>F</v>
      </c>
      <c r="O55" s="1514"/>
      <c r="P55" s="1292"/>
      <c r="Q55" s="1292"/>
    </row>
    <row r="56" spans="4:17" x14ac:dyDescent="0.2">
      <c r="I56" s="1496">
        <v>10</v>
      </c>
      <c r="M56" s="5">
        <v>10</v>
      </c>
      <c r="N56" s="5">
        <v>10</v>
      </c>
      <c r="O56" s="5">
        <v>10</v>
      </c>
    </row>
    <row r="57" spans="4:17" x14ac:dyDescent="0.2">
      <c r="I57" s="1498" t="s">
        <v>1342</v>
      </c>
    </row>
    <row r="58" spans="4:17" ht="17" thickBot="1" x14ac:dyDescent="0.25">
      <c r="I58" s="1589">
        <f>I50+I56</f>
        <v>16</v>
      </c>
    </row>
    <row r="59" spans="4:17" x14ac:dyDescent="0.2">
      <c r="E59" s="997" t="s">
        <v>1375</v>
      </c>
      <c r="F59" s="997"/>
      <c r="I59" s="4" t="str">
        <f>VLOOKUP(I58,AI14:AK17,3)</f>
        <v>Aucun signe</v>
      </c>
    </row>
    <row r="66" spans="6:32" x14ac:dyDescent="0.2">
      <c r="I66" s="867"/>
    </row>
    <row r="68" spans="6:32" x14ac:dyDescent="0.2">
      <c r="K68" s="1609" t="s">
        <v>1377</v>
      </c>
    </row>
    <row r="69" spans="6:32" ht="141" x14ac:dyDescent="0.25">
      <c r="F69" s="1604" t="s">
        <v>1364</v>
      </c>
      <c r="K69" s="1603" t="s">
        <v>1376</v>
      </c>
      <c r="L69" s="1603" t="s">
        <v>1366</v>
      </c>
      <c r="M69" s="1603" t="s">
        <v>1367</v>
      </c>
      <c r="N69" s="1603" t="s">
        <v>1368</v>
      </c>
      <c r="O69" s="1603" t="s">
        <v>1369</v>
      </c>
      <c r="P69" s="1603" t="s">
        <v>1370</v>
      </c>
      <c r="Q69" s="1603" t="s">
        <v>1371</v>
      </c>
      <c r="R69" s="1603" t="s">
        <v>1372</v>
      </c>
      <c r="S69" s="1603" t="s">
        <v>1373</v>
      </c>
      <c r="T69" s="1603" t="s">
        <v>1374</v>
      </c>
      <c r="Z69" s="1605"/>
      <c r="AA69" s="319"/>
    </row>
    <row r="70" spans="6:32" x14ac:dyDescent="0.2">
      <c r="F70" s="2" t="s">
        <v>92</v>
      </c>
      <c r="H70" s="2"/>
      <c r="I70" s="2" t="s">
        <v>1365</v>
      </c>
      <c r="K70" s="1746"/>
      <c r="L70" s="1746"/>
      <c r="M70" s="1746"/>
      <c r="N70" s="1746"/>
      <c r="O70" s="1746"/>
      <c r="P70" s="1746"/>
      <c r="Q70" s="1746"/>
      <c r="R70" s="1746"/>
      <c r="S70" s="1746"/>
      <c r="T70" s="1746"/>
    </row>
    <row r="71" spans="6:32" x14ac:dyDescent="0.2">
      <c r="F71" s="2" t="s">
        <v>103</v>
      </c>
      <c r="H71" s="2"/>
      <c r="I71" s="2" t="s">
        <v>1366</v>
      </c>
      <c r="K71" s="1746"/>
      <c r="L71" s="1746"/>
      <c r="M71" s="51"/>
      <c r="N71" s="51"/>
      <c r="O71" s="51"/>
      <c r="P71" s="51"/>
      <c r="Q71" s="51"/>
      <c r="R71" s="51"/>
      <c r="S71" s="51"/>
      <c r="T71" s="51"/>
    </row>
    <row r="72" spans="6:32" x14ac:dyDescent="0.2">
      <c r="F72" s="2" t="s">
        <v>107</v>
      </c>
      <c r="I72" s="2" t="s">
        <v>1367</v>
      </c>
      <c r="K72" s="1746"/>
      <c r="L72" s="1746"/>
      <c r="M72" s="1746"/>
      <c r="N72" s="51"/>
      <c r="O72" s="51"/>
      <c r="P72" s="51"/>
      <c r="Q72" s="51"/>
      <c r="R72" s="51"/>
      <c r="S72" s="51"/>
      <c r="T72" s="51"/>
    </row>
    <row r="73" spans="6:32" x14ac:dyDescent="0.2">
      <c r="F73" s="2" t="s">
        <v>114</v>
      </c>
      <c r="I73" s="2" t="s">
        <v>1368</v>
      </c>
      <c r="K73" s="1746"/>
      <c r="L73" s="1746"/>
      <c r="M73" s="1746"/>
      <c r="N73" s="1746"/>
      <c r="O73" s="51"/>
      <c r="P73" s="51"/>
      <c r="Q73" s="51"/>
      <c r="R73" s="51"/>
      <c r="S73" s="51"/>
      <c r="T73" s="51"/>
    </row>
    <row r="74" spans="6:32" x14ac:dyDescent="0.2">
      <c r="F74" s="2" t="s">
        <v>119</v>
      </c>
      <c r="I74" s="2" t="s">
        <v>1369</v>
      </c>
      <c r="K74" s="1746"/>
      <c r="L74" s="1746"/>
      <c r="M74" s="1746"/>
      <c r="N74" s="1746"/>
      <c r="O74" s="1746"/>
      <c r="P74" s="51"/>
      <c r="Q74" s="51"/>
      <c r="R74" s="51"/>
      <c r="S74" s="51"/>
      <c r="T74" s="51"/>
    </row>
    <row r="75" spans="6:32" x14ac:dyDescent="0.2">
      <c r="F75" s="2" t="s">
        <v>123</v>
      </c>
      <c r="I75" s="2" t="s">
        <v>1370</v>
      </c>
      <c r="K75" s="1746"/>
      <c r="L75" s="1746"/>
      <c r="M75" s="1746"/>
      <c r="N75" s="1746"/>
      <c r="O75" s="1746"/>
      <c r="P75" s="1746"/>
      <c r="Q75" s="51"/>
      <c r="R75" s="51"/>
      <c r="S75" s="51"/>
      <c r="T75" s="51"/>
    </row>
    <row r="76" spans="6:32" x14ac:dyDescent="0.2">
      <c r="F76" s="2" t="s">
        <v>138</v>
      </c>
      <c r="I76" s="2" t="s">
        <v>1371</v>
      </c>
      <c r="K76" s="1746"/>
      <c r="L76" s="1746"/>
      <c r="M76" s="1746"/>
      <c r="N76" s="1746"/>
      <c r="O76" s="1746"/>
      <c r="P76" s="1746"/>
      <c r="Q76" s="1746"/>
      <c r="R76" s="51"/>
      <c r="S76" s="51"/>
      <c r="T76" s="51"/>
    </row>
    <row r="77" spans="6:32" x14ac:dyDescent="0.2">
      <c r="F77" s="2" t="s">
        <v>141</v>
      </c>
      <c r="I77" s="2" t="s">
        <v>1372</v>
      </c>
      <c r="K77" s="1746"/>
      <c r="L77" s="1746"/>
      <c r="M77" s="1746"/>
      <c r="N77" s="1746"/>
      <c r="O77" s="1746"/>
      <c r="P77" s="1746"/>
      <c r="Q77" s="1746"/>
      <c r="R77" s="1746"/>
      <c r="S77" s="51"/>
      <c r="T77" s="51"/>
    </row>
    <row r="78" spans="6:32" x14ac:dyDescent="0.2">
      <c r="F78" s="2" t="s">
        <v>152</v>
      </c>
      <c r="I78" s="2" t="s">
        <v>1373</v>
      </c>
      <c r="K78" s="1746"/>
      <c r="L78" s="1746"/>
      <c r="M78" s="1746"/>
      <c r="N78" s="1746"/>
      <c r="O78" s="1746"/>
      <c r="P78" s="1746"/>
      <c r="Q78" s="1746"/>
      <c r="R78" s="1746"/>
      <c r="S78" s="1746"/>
      <c r="T78" s="51"/>
    </row>
    <row r="79" spans="6:32" x14ac:dyDescent="0.2">
      <c r="F79" s="2" t="s">
        <v>153</v>
      </c>
      <c r="I79" s="2" t="s">
        <v>1374</v>
      </c>
      <c r="K79" s="1746"/>
      <c r="L79" s="1746"/>
      <c r="M79" s="1746"/>
      <c r="N79" s="1746"/>
      <c r="O79" s="1746"/>
      <c r="P79" s="1746"/>
      <c r="Q79" s="1746"/>
      <c r="R79" s="1746"/>
      <c r="S79" s="1746"/>
      <c r="T79" s="1746"/>
    </row>
    <row r="80" spans="6:32" x14ac:dyDescent="0.2">
      <c r="P80" s="5"/>
      <c r="Q80" s="5"/>
      <c r="R80" s="5"/>
      <c r="S80" s="5"/>
      <c r="AF80" s="1606"/>
    </row>
    <row r="81" spans="16:19" x14ac:dyDescent="0.2">
      <c r="P81" s="5"/>
      <c r="Q81" s="5"/>
      <c r="R81" s="5"/>
      <c r="S81" s="5"/>
    </row>
    <row r="82" spans="16:19" x14ac:dyDescent="0.2">
      <c r="P82" s="5"/>
    </row>
  </sheetData>
  <mergeCells count="2">
    <mergeCell ref="K2:O2"/>
    <mergeCell ref="K48:O48"/>
  </mergeCells>
  <phoneticPr fontId="1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522BD-1EA1-8A4F-A586-267371A3872C}">
  <dimension ref="A1:W44"/>
  <sheetViews>
    <sheetView topLeftCell="A3" workbookViewId="0">
      <selection activeCell="B8" sqref="B8"/>
    </sheetView>
    <sheetView workbookViewId="1"/>
  </sheetViews>
  <sheetFormatPr baseColWidth="10" defaultRowHeight="16" x14ac:dyDescent="0.2"/>
  <cols>
    <col min="1" max="1" width="10.5" customWidth="1"/>
    <col min="2" max="2" width="97.5" customWidth="1"/>
    <col min="3" max="3" width="9.6640625" customWidth="1"/>
    <col min="7" max="7" width="12.83203125" customWidth="1"/>
    <col min="8" max="8" width="14.33203125" customWidth="1"/>
    <col min="9" max="9" width="11" style="5" customWidth="1"/>
    <col min="11" max="11" width="15.1640625" customWidth="1"/>
  </cols>
  <sheetData>
    <row r="1" spans="1:23" ht="21" x14ac:dyDescent="0.25">
      <c r="A1" s="48" t="s">
        <v>1303</v>
      </c>
      <c r="U1" t="s">
        <v>1322</v>
      </c>
      <c r="V1" t="s">
        <v>1323</v>
      </c>
      <c r="W1" t="s">
        <v>1326</v>
      </c>
    </row>
    <row r="2" spans="1:23" ht="44" customHeight="1" thickBot="1" x14ac:dyDescent="0.3">
      <c r="A2" t="s">
        <v>1305</v>
      </c>
      <c r="E2" s="16" t="s">
        <v>1317</v>
      </c>
      <c r="F2" s="2250" t="s">
        <v>1336</v>
      </c>
      <c r="G2" s="2250"/>
      <c r="H2" s="2250"/>
      <c r="I2" s="2250"/>
      <c r="J2" s="2250"/>
      <c r="U2" s="5">
        <v>0</v>
      </c>
      <c r="V2" s="5">
        <v>5</v>
      </c>
      <c r="W2" t="s">
        <v>1338</v>
      </c>
    </row>
    <row r="3" spans="1:23" ht="63" customHeight="1" x14ac:dyDescent="0.2">
      <c r="D3" s="1572" t="s">
        <v>231</v>
      </c>
      <c r="E3" s="1548" t="s">
        <v>1316</v>
      </c>
      <c r="F3" s="1487" t="s">
        <v>1335</v>
      </c>
      <c r="G3" s="1582" t="s">
        <v>407</v>
      </c>
      <c r="H3" s="1582" t="s">
        <v>26</v>
      </c>
      <c r="I3" s="1582" t="s">
        <v>1870</v>
      </c>
      <c r="J3" s="1487" t="s">
        <v>574</v>
      </c>
      <c r="K3" s="786" t="s">
        <v>1329</v>
      </c>
      <c r="L3" s="1582" t="s">
        <v>1347</v>
      </c>
      <c r="U3" s="5">
        <v>6</v>
      </c>
      <c r="V3" s="5">
        <v>15</v>
      </c>
      <c r="W3" t="s">
        <v>1339</v>
      </c>
    </row>
    <row r="4" spans="1:23" ht="18" thickBot="1" x14ac:dyDescent="0.25">
      <c r="A4" s="980" t="str">
        <f>Test_Bible!A112</f>
        <v>PCR01</v>
      </c>
      <c r="B4" s="980" t="str">
        <f>Test_Bible!B112</f>
        <v>Vous êtes à l'aise en présence de l'autre parent (coparent).</v>
      </c>
      <c r="C4" s="13"/>
      <c r="D4" s="6">
        <f>Test_Bible!P112</f>
        <v>4</v>
      </c>
      <c r="E4" s="1584">
        <f>MAX(D4,D5,D6)</f>
        <v>4</v>
      </c>
      <c r="F4" s="6">
        <v>0</v>
      </c>
      <c r="G4" s="1585" t="s">
        <v>1330</v>
      </c>
      <c r="H4" s="6" t="s">
        <v>1304</v>
      </c>
      <c r="I4" s="8" t="s">
        <v>1301</v>
      </c>
      <c r="J4" s="1350">
        <v>10</v>
      </c>
      <c r="K4" s="786">
        <v>7</v>
      </c>
      <c r="L4" s="1590" t="str">
        <f>IF(E4&gt;=K4,"mettre notion dans le rapport","")</f>
        <v/>
      </c>
      <c r="U4" s="5">
        <v>16</v>
      </c>
      <c r="V4" s="5">
        <v>30</v>
      </c>
      <c r="W4" t="s">
        <v>1340</v>
      </c>
    </row>
    <row r="5" spans="1:23" ht="17" x14ac:dyDescent="0.2">
      <c r="A5" s="521" t="str">
        <f>Test_Bible!A113</f>
        <v>PCR01a</v>
      </c>
      <c r="B5" s="521" t="str">
        <f>Test_Bible!B113</f>
        <v>Vous devez marcher sur des œufs afin d'éviter les conflits.</v>
      </c>
      <c r="C5" s="1563"/>
      <c r="D5" s="6">
        <f>Test_Bible!P113</f>
        <v>4</v>
      </c>
      <c r="E5" s="1583"/>
      <c r="F5" s="6"/>
      <c r="G5" s="8"/>
      <c r="H5" s="6"/>
      <c r="I5" s="8"/>
      <c r="J5" s="8"/>
      <c r="K5" s="786">
        <v>7</v>
      </c>
      <c r="L5" s="1590"/>
      <c r="U5" s="5">
        <v>31</v>
      </c>
      <c r="V5" s="5">
        <v>60</v>
      </c>
      <c r="W5" t="s">
        <v>1341</v>
      </c>
    </row>
    <row r="6" spans="1:23" ht="17" x14ac:dyDescent="0.2">
      <c r="A6" s="521" t="str">
        <f>Test_Bible!A114</f>
        <v>PCR01a1</v>
      </c>
      <c r="B6" s="521" t="str">
        <f>Test_Bible!B114</f>
        <v xml:space="preserve"> Arrive-t-il que l'autre parent hausse la voix ou utilise des jurons pour imposer sa vision des choses ?</v>
      </c>
      <c r="C6" s="1563"/>
      <c r="D6" s="6">
        <f>Test_Bible!P114</f>
        <v>2</v>
      </c>
      <c r="E6" s="1583"/>
      <c r="F6" s="6"/>
      <c r="G6" s="8"/>
      <c r="H6" s="6"/>
      <c r="I6" s="8"/>
      <c r="J6" s="8"/>
      <c r="K6" s="5">
        <v>4</v>
      </c>
      <c r="L6" s="1590"/>
    </row>
    <row r="7" spans="1:23" ht="47" customHeight="1" x14ac:dyDescent="0.2">
      <c r="A7" s="980"/>
      <c r="B7" s="980"/>
      <c r="C7" s="13"/>
      <c r="D7" s="8"/>
      <c r="E7" s="1580"/>
      <c r="F7" s="8"/>
      <c r="G7" s="8"/>
      <c r="H7" s="8"/>
      <c r="I7" s="8"/>
      <c r="J7" s="8"/>
      <c r="K7" s="5"/>
      <c r="L7" s="1590"/>
    </row>
    <row r="8" spans="1:23" ht="18" thickBot="1" x14ac:dyDescent="0.25">
      <c r="A8" s="980" t="str">
        <f>Test_Bible!A197</f>
        <v>PFA17</v>
      </c>
      <c r="B8" s="980" t="str">
        <f>Test_Bible!B197</f>
        <v>L’autre parent se présente à la sortie des classes, au service de garde ou à la garderie sur votre temps de garde.</v>
      </c>
      <c r="C8" s="980"/>
      <c r="D8" s="8">
        <f>Test_Bible!P197</f>
        <v>4</v>
      </c>
      <c r="E8" s="1584">
        <f>MAX(D8,D9)</f>
        <v>4</v>
      </c>
      <c r="F8" s="6" t="s">
        <v>1320</v>
      </c>
      <c r="G8" s="1585" t="s">
        <v>1318</v>
      </c>
      <c r="H8" s="6" t="s">
        <v>1304</v>
      </c>
      <c r="I8" s="8" t="s">
        <v>1301</v>
      </c>
      <c r="J8" s="1350">
        <v>10</v>
      </c>
      <c r="K8" s="11">
        <v>7</v>
      </c>
      <c r="L8" s="1590" t="str">
        <f>IF(E8&gt;=K8,"mettre notion dans le rapport","")</f>
        <v/>
      </c>
    </row>
    <row r="9" spans="1:23" ht="34" x14ac:dyDescent="0.2">
      <c r="A9" s="980" t="str">
        <f>Test_Bible!A419</f>
        <v>NC09</v>
      </c>
      <c r="B9" s="980" t="str">
        <f>Test_Bible!B419</f>
        <v xml:space="preserve">Le nouveau ou nouvelle conjoint·e se présente à la sortie des classes, au service de garde ou à la garderie sur votre temps de garde. </v>
      </c>
      <c r="C9" s="980"/>
      <c r="D9" s="8">
        <f>Test_Bible!P419</f>
        <v>4</v>
      </c>
      <c r="E9" s="1580"/>
      <c r="F9" s="8"/>
      <c r="G9" s="8"/>
      <c r="H9" s="8"/>
      <c r="I9" s="8"/>
      <c r="J9" s="8"/>
      <c r="K9" s="11">
        <v>7</v>
      </c>
      <c r="L9" s="1590"/>
    </row>
    <row r="10" spans="1:23" ht="54" customHeight="1" x14ac:dyDescent="0.2">
      <c r="A10" s="980"/>
      <c r="B10" s="980"/>
      <c r="C10" s="980"/>
      <c r="D10" s="8"/>
      <c r="E10" s="1580"/>
      <c r="F10" s="8"/>
      <c r="G10" s="8"/>
      <c r="H10" s="8"/>
      <c r="I10" s="8"/>
      <c r="J10" s="8"/>
      <c r="K10" s="11"/>
      <c r="L10" s="1590"/>
    </row>
    <row r="11" spans="1:23" ht="35" thickBot="1" x14ac:dyDescent="0.25">
      <c r="A11" s="980" t="str">
        <f>Test_Bible!A210</f>
        <v>PFA24</v>
      </c>
      <c r="B11" s="980" t="str">
        <f>Test_Bible!B210</f>
        <v>Depuis la séparation, l’autre parent cherche à vous blesser parce qu'il considère que vous avez brisé ou abandonné la famille.</v>
      </c>
      <c r="C11" s="980"/>
      <c r="D11" s="6">
        <f>Test_Bible!P210</f>
        <v>7</v>
      </c>
      <c r="E11" s="1584">
        <f>D11</f>
        <v>7</v>
      </c>
      <c r="F11" s="6">
        <v>0</v>
      </c>
      <c r="G11" s="8">
        <v>1</v>
      </c>
      <c r="H11" s="6" t="s">
        <v>1331</v>
      </c>
      <c r="I11" s="8" t="s">
        <v>1301</v>
      </c>
      <c r="J11" s="1350">
        <v>10</v>
      </c>
      <c r="K11" s="11">
        <v>4</v>
      </c>
      <c r="L11" s="1590" t="str">
        <f>IF(E11&gt;=K11,"mettre notion dans le rapport","")</f>
        <v>mettre notion dans le rapport</v>
      </c>
    </row>
    <row r="12" spans="1:23" ht="36" customHeight="1" x14ac:dyDescent="0.2">
      <c r="A12" s="980"/>
      <c r="B12" s="980"/>
      <c r="C12" s="980"/>
      <c r="D12" s="8"/>
      <c r="E12" s="1580"/>
      <c r="F12" s="8"/>
      <c r="G12" s="8"/>
      <c r="H12" s="8"/>
      <c r="I12" s="8"/>
      <c r="J12" s="8"/>
      <c r="K12" s="11"/>
      <c r="L12" s="1590"/>
    </row>
    <row r="13" spans="1:23" ht="18" thickBot="1" x14ac:dyDescent="0.25">
      <c r="A13" s="980" t="str">
        <f>Test_Bible!A216</f>
        <v>PFA26</v>
      </c>
      <c r="B13" s="980" t="str">
        <f>Test_Bible!B216</f>
        <v>L’autre parent considère que son nouveau ou nouvelle conjoint·e est un meilleur parent que vous.</v>
      </c>
      <c r="C13" s="980"/>
      <c r="D13" s="6">
        <f>Test_Bible!P216</f>
        <v>1</v>
      </c>
      <c r="E13" s="1584">
        <f>MAX(D13,D14)</f>
        <v>1</v>
      </c>
      <c r="F13" s="6">
        <v>0</v>
      </c>
      <c r="G13" s="8" t="s">
        <v>1330</v>
      </c>
      <c r="H13" s="6" t="s">
        <v>1304</v>
      </c>
      <c r="I13" s="8" t="s">
        <v>1301</v>
      </c>
      <c r="J13" s="1350">
        <v>10</v>
      </c>
      <c r="K13" s="11">
        <v>7</v>
      </c>
      <c r="L13" s="1590" t="str">
        <f>IF(E13&gt;=K13,"mettre notion dans le rapport","")</f>
        <v/>
      </c>
    </row>
    <row r="14" spans="1:23" ht="34" x14ac:dyDescent="0.2">
      <c r="A14" s="980" t="str">
        <f>Test_Bible!A425</f>
        <v>NC15</v>
      </c>
      <c r="B14" s="980" t="str">
        <f>Test_Bible!B425</f>
        <v>Dans quelle mesure diriez-vous que votre relation avec votre enfant est fragilisée depuis l'arrivée du nouveau ou nouvelle conjoint·e ?</v>
      </c>
      <c r="C14" s="980"/>
      <c r="D14" s="6">
        <f>Test_Bible!P425</f>
        <v>0</v>
      </c>
      <c r="E14" s="1580"/>
      <c r="F14" s="6"/>
      <c r="G14" s="8"/>
      <c r="H14" s="6"/>
      <c r="I14" s="8"/>
      <c r="J14" s="8"/>
      <c r="K14" s="11">
        <v>7</v>
      </c>
      <c r="L14" s="1590"/>
    </row>
    <row r="15" spans="1:23" ht="34" customHeight="1" x14ac:dyDescent="0.2">
      <c r="A15" s="980"/>
      <c r="B15" s="980"/>
      <c r="C15" s="980"/>
      <c r="D15" s="8"/>
      <c r="E15" s="1580"/>
      <c r="F15" s="8"/>
      <c r="G15" s="8"/>
      <c r="H15" s="8"/>
      <c r="I15" s="8"/>
      <c r="J15" s="8"/>
      <c r="L15" s="1590"/>
    </row>
    <row r="16" spans="1:23" ht="30" customHeight="1" thickBot="1" x14ac:dyDescent="0.25">
      <c r="A16" s="1579" t="str">
        <f>Test_Bible!A405</f>
        <v>NC01a</v>
      </c>
      <c r="B16" s="1579" t="str">
        <f>Test_Bible!B405</f>
        <v/>
      </c>
      <c r="C16" s="1579"/>
      <c r="D16" s="6">
        <f>Test_Bible!P405</f>
        <v>0</v>
      </c>
      <c r="E16" s="1584">
        <f>D16</f>
        <v>0</v>
      </c>
      <c r="F16" s="6" t="s">
        <v>1320</v>
      </c>
      <c r="G16" s="1585" t="s">
        <v>1318</v>
      </c>
      <c r="H16" s="6" t="s">
        <v>1304</v>
      </c>
      <c r="I16" s="8" t="s">
        <v>1301</v>
      </c>
      <c r="J16" s="1350">
        <v>10</v>
      </c>
      <c r="K16" s="11">
        <v>4</v>
      </c>
      <c r="L16" s="1590" t="str">
        <f>IF(E16&gt;=K16,"mettre notion dans le rapport","")</f>
        <v/>
      </c>
    </row>
    <row r="17" spans="1:12" x14ac:dyDescent="0.2">
      <c r="A17" s="105"/>
      <c r="B17" s="105"/>
      <c r="C17" s="105"/>
      <c r="D17" s="11"/>
      <c r="E17" s="1496"/>
      <c r="F17" s="2247" t="s">
        <v>1273</v>
      </c>
      <c r="G17" s="2248"/>
      <c r="H17" s="2248"/>
      <c r="I17" s="2248"/>
      <c r="J17" s="2249"/>
    </row>
    <row r="18" spans="1:12" x14ac:dyDescent="0.2">
      <c r="A18" s="105"/>
      <c r="B18" s="105"/>
      <c r="C18" s="105"/>
      <c r="D18" s="11"/>
      <c r="E18" s="1498" t="s">
        <v>1273</v>
      </c>
      <c r="F18" s="1559" t="s">
        <v>1332</v>
      </c>
      <c r="G18" s="5" t="s">
        <v>1333</v>
      </c>
      <c r="H18" s="5" t="s">
        <v>1334</v>
      </c>
      <c r="I18" s="5" t="s">
        <v>1337</v>
      </c>
      <c r="J18" s="1560" t="s">
        <v>1274</v>
      </c>
    </row>
    <row r="19" spans="1:12" ht="20" thickBot="1" x14ac:dyDescent="0.3">
      <c r="D19" s="5"/>
      <c r="E19" s="1581">
        <f>SUM(E4:E16)</f>
        <v>16</v>
      </c>
      <c r="F19" s="1561"/>
      <c r="G19" s="81"/>
      <c r="H19" s="81"/>
      <c r="I19" s="81"/>
      <c r="J19" s="1562">
        <v>55</v>
      </c>
    </row>
    <row r="20" spans="1:12" ht="19" x14ac:dyDescent="0.25">
      <c r="D20" s="5"/>
      <c r="E20" s="1588"/>
      <c r="F20" s="114"/>
      <c r="G20" s="5"/>
      <c r="H20" s="5"/>
      <c r="J20" s="114"/>
    </row>
    <row r="21" spans="1:12" x14ac:dyDescent="0.2">
      <c r="D21" s="5"/>
      <c r="E21" s="5"/>
      <c r="F21" s="8"/>
      <c r="G21" s="8"/>
      <c r="H21" s="8"/>
      <c r="I21" s="8"/>
      <c r="J21" s="7"/>
    </row>
    <row r="22" spans="1:12" ht="34" x14ac:dyDescent="0.2">
      <c r="A22" s="521" t="str">
        <f>Test_Bible!A212</f>
        <v>PFA25a</v>
      </c>
      <c r="B22" s="521" t="str">
        <f>Test_Bible!B212</f>
        <v>Cette façon de s'adresser à vous devant votre enfant (prénom versus maman ou papa) est-elle habituelle ou est-ce nouveau depuis la séparation ?</v>
      </c>
      <c r="C22" s="521"/>
      <c r="D22" s="8">
        <f>IF(Test_Bible!E214=1,"Nouveau",0)</f>
        <v>0</v>
      </c>
      <c r="E22" s="1586">
        <f>IF(D22="nouveau",10,0)</f>
        <v>0</v>
      </c>
      <c r="F22" s="283">
        <v>0</v>
      </c>
      <c r="G22" s="283">
        <v>0</v>
      </c>
      <c r="H22" s="283">
        <v>10</v>
      </c>
      <c r="I22" s="283">
        <v>10</v>
      </c>
      <c r="J22" s="1587">
        <v>10</v>
      </c>
      <c r="K22" s="11"/>
    </row>
    <row r="23" spans="1:12" x14ac:dyDescent="0.2">
      <c r="D23" s="5"/>
      <c r="E23" s="1498"/>
      <c r="F23" s="5"/>
      <c r="G23" s="5"/>
      <c r="H23" s="5"/>
    </row>
    <row r="24" spans="1:12" x14ac:dyDescent="0.2">
      <c r="D24" s="5"/>
      <c r="E24" s="1498" t="s">
        <v>1273</v>
      </c>
      <c r="F24" s="5"/>
      <c r="G24" s="5"/>
      <c r="H24" s="5"/>
    </row>
    <row r="25" spans="1:12" ht="20" thickBot="1" x14ac:dyDescent="0.3">
      <c r="D25" s="5"/>
      <c r="E25" s="1581">
        <f>E19+E22</f>
        <v>16</v>
      </c>
      <c r="F25" s="5"/>
      <c r="G25" s="5"/>
      <c r="H25" s="5"/>
      <c r="L25" s="1591" t="str">
        <f>IF(OR(E26="Risque élevé",E26="Risque modéré"),"mettre WARNING dans le rapport","")</f>
        <v>mettre WARNING dans le rapport</v>
      </c>
    </row>
    <row r="26" spans="1:12" x14ac:dyDescent="0.2">
      <c r="D26" s="5"/>
      <c r="E26" s="4" t="str">
        <f>VLOOKUP(E25,U2:W5,3)</f>
        <v>Risque modéré</v>
      </c>
      <c r="F26" s="5"/>
      <c r="G26" s="5"/>
      <c r="H26" s="5"/>
    </row>
    <row r="27" spans="1:12" x14ac:dyDescent="0.2">
      <c r="D27" s="5"/>
      <c r="E27" s="5"/>
      <c r="F27" s="5"/>
      <c r="G27" s="5"/>
      <c r="H27" s="5"/>
    </row>
    <row r="28" spans="1:12" x14ac:dyDescent="0.2">
      <c r="D28" s="5"/>
      <c r="E28" s="5"/>
      <c r="F28" s="5"/>
      <c r="G28" s="5"/>
      <c r="H28" s="5"/>
    </row>
    <row r="29" spans="1:12" x14ac:dyDescent="0.2">
      <c r="D29" s="5"/>
      <c r="E29" s="5"/>
      <c r="F29" s="5"/>
      <c r="G29" s="5"/>
      <c r="H29" s="5"/>
    </row>
    <row r="30" spans="1:12" x14ac:dyDescent="0.2">
      <c r="D30" s="5"/>
      <c r="E30" s="5"/>
      <c r="F30" s="5"/>
      <c r="G30" s="5"/>
      <c r="H30" s="5"/>
    </row>
    <row r="31" spans="1:12" x14ac:dyDescent="0.2">
      <c r="D31" s="5"/>
      <c r="E31" s="5"/>
      <c r="F31" s="5"/>
      <c r="G31" s="5"/>
      <c r="H31" s="5"/>
    </row>
    <row r="32" spans="1:12" x14ac:dyDescent="0.2">
      <c r="D32" s="5"/>
      <c r="E32" s="5"/>
      <c r="F32" s="5"/>
      <c r="G32" s="5"/>
      <c r="H32" s="5"/>
    </row>
    <row r="33" spans="4:10" x14ac:dyDescent="0.2">
      <c r="D33" s="5"/>
      <c r="E33" s="5"/>
      <c r="F33" s="5"/>
      <c r="G33" s="5"/>
      <c r="H33" s="5"/>
    </row>
    <row r="34" spans="4:10" x14ac:dyDescent="0.2">
      <c r="D34" s="5"/>
      <c r="E34" s="5"/>
      <c r="F34" s="5"/>
      <c r="G34" s="5"/>
      <c r="H34" s="5"/>
    </row>
    <row r="35" spans="4:10" x14ac:dyDescent="0.2">
      <c r="D35" s="5"/>
      <c r="E35" s="5"/>
      <c r="F35" s="5"/>
      <c r="G35" s="5"/>
      <c r="H35" s="5"/>
    </row>
    <row r="36" spans="4:10" x14ac:dyDescent="0.2">
      <c r="D36" s="5"/>
      <c r="E36" s="5"/>
      <c r="F36" s="5"/>
      <c r="G36" s="5"/>
      <c r="H36" s="5"/>
    </row>
    <row r="37" spans="4:10" x14ac:dyDescent="0.2">
      <c r="D37" s="5"/>
      <c r="E37" s="5"/>
      <c r="F37" s="5"/>
      <c r="G37" s="5"/>
      <c r="H37" s="5"/>
    </row>
    <row r="38" spans="4:10" x14ac:dyDescent="0.2">
      <c r="D38" s="5"/>
      <c r="E38" s="5"/>
      <c r="F38" s="5"/>
      <c r="G38" s="5"/>
      <c r="H38" s="5"/>
    </row>
    <row r="39" spans="4:10" x14ac:dyDescent="0.2">
      <c r="D39" s="5"/>
      <c r="E39" s="5"/>
      <c r="F39" s="5"/>
      <c r="G39" s="5"/>
      <c r="H39" s="5"/>
    </row>
    <row r="40" spans="4:10" x14ac:dyDescent="0.2">
      <c r="D40" s="5"/>
      <c r="E40" s="5"/>
      <c r="F40" s="5"/>
      <c r="G40" s="5"/>
      <c r="H40" s="5"/>
    </row>
    <row r="41" spans="4:10" x14ac:dyDescent="0.2">
      <c r="D41" s="5"/>
      <c r="E41" s="5"/>
      <c r="F41" s="5"/>
      <c r="G41" s="5"/>
      <c r="H41" s="5"/>
    </row>
    <row r="42" spans="4:10" x14ac:dyDescent="0.2">
      <c r="D42" s="5"/>
      <c r="E42" s="5"/>
      <c r="F42" s="5"/>
      <c r="G42" s="5"/>
      <c r="H42" s="5"/>
    </row>
    <row r="43" spans="4:10" x14ac:dyDescent="0.2">
      <c r="D43" s="5"/>
      <c r="E43" s="5"/>
      <c r="F43" s="5"/>
      <c r="G43" s="5"/>
      <c r="H43" s="5"/>
    </row>
    <row r="44" spans="4:10" x14ac:dyDescent="0.2">
      <c r="J44" s="319"/>
    </row>
  </sheetData>
  <mergeCells count="2">
    <mergeCell ref="F2:J2"/>
    <mergeCell ref="F17:J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537-459E-F04C-B1D0-82F42BFD89E6}">
  <dimension ref="A1:K21"/>
  <sheetViews>
    <sheetView topLeftCell="A13" workbookViewId="0">
      <selection activeCell="C21" sqref="C21"/>
    </sheetView>
    <sheetView workbookViewId="1"/>
  </sheetViews>
  <sheetFormatPr baseColWidth="10" defaultRowHeight="16" x14ac:dyDescent="0.2"/>
  <cols>
    <col min="2" max="2" width="62.83203125" customWidth="1"/>
    <col min="3" max="3" width="11.83203125" customWidth="1"/>
    <col min="4" max="4" width="15.5" customWidth="1"/>
    <col min="14" max="14" width="13.6640625" customWidth="1"/>
  </cols>
  <sheetData>
    <row r="1" spans="1:11" ht="30" customHeight="1" x14ac:dyDescent="0.2">
      <c r="B1" s="451" t="s">
        <v>379</v>
      </c>
    </row>
    <row r="2" spans="1:11" ht="30" customHeight="1" x14ac:dyDescent="0.25">
      <c r="B2" s="1128" t="s">
        <v>1217</v>
      </c>
      <c r="C2" s="1129"/>
      <c r="D2" s="1129"/>
      <c r="E2" s="1129"/>
      <c r="F2" s="1129"/>
      <c r="G2" s="1129"/>
      <c r="H2" s="1129"/>
      <c r="I2" s="1129"/>
      <c r="J2" s="1129"/>
      <c r="K2" s="1129"/>
    </row>
    <row r="3" spans="1:11" ht="30" customHeight="1" x14ac:dyDescent="0.25">
      <c r="B3" s="1291" t="s">
        <v>1218</v>
      </c>
      <c r="C3" s="1129"/>
      <c r="D3" s="1129"/>
      <c r="E3" s="1129"/>
      <c r="F3" s="1129"/>
      <c r="G3" s="1129"/>
      <c r="H3" s="1129"/>
      <c r="I3" s="1129"/>
      <c r="J3" s="1129"/>
      <c r="K3" s="1129"/>
    </row>
    <row r="4" spans="1:11" ht="30" customHeight="1" x14ac:dyDescent="0.25">
      <c r="B4" s="1128" t="s">
        <v>1219</v>
      </c>
      <c r="C4" s="1129"/>
      <c r="D4" s="22" t="s">
        <v>1224</v>
      </c>
      <c r="E4" s="22"/>
      <c r="F4" s="22"/>
      <c r="G4" s="1290">
        <f>SUM(C7:C8)</f>
        <v>0</v>
      </c>
      <c r="H4" s="1129"/>
      <c r="I4" s="1129"/>
      <c r="J4" s="1129"/>
      <c r="K4" s="1129"/>
    </row>
    <row r="5" spans="1:11" ht="30" customHeight="1" x14ac:dyDescent="0.25">
      <c r="B5" s="1128"/>
      <c r="C5" s="1129"/>
      <c r="D5" s="22" t="s">
        <v>1225</v>
      </c>
      <c r="E5" s="22"/>
      <c r="F5" s="22"/>
      <c r="G5" s="1290">
        <f>SUM(C9:C18)</f>
        <v>22</v>
      </c>
      <c r="H5" s="1129"/>
      <c r="I5" s="1129"/>
      <c r="J5" s="1129"/>
      <c r="K5" s="1129"/>
    </row>
    <row r="6" spans="1:11" ht="26" customHeight="1" x14ac:dyDescent="0.2">
      <c r="C6" t="s">
        <v>231</v>
      </c>
      <c r="D6" t="s">
        <v>755</v>
      </c>
      <c r="G6" t="s">
        <v>945</v>
      </c>
    </row>
    <row r="7" spans="1:11" ht="45" customHeight="1" x14ac:dyDescent="0.2">
      <c r="A7" s="7" t="str">
        <f>Test_Bible!A105</f>
        <v>H05a</v>
      </c>
      <c r="B7" s="7" t="str">
        <f>Test_Bible!B105</f>
        <v xml:space="preserve"> </v>
      </c>
      <c r="C7" s="6">
        <f>Test_Bible!P105</f>
        <v>0</v>
      </c>
      <c r="D7" s="8">
        <f t="shared" ref="D7:D17" si="0">IF(C7&gt;0,1,0)</f>
        <v>0</v>
      </c>
    </row>
    <row r="8" spans="1:11" ht="48" customHeight="1" x14ac:dyDescent="0.2">
      <c r="A8" s="7" t="str">
        <f>Test_Bible!A107</f>
        <v>H06a</v>
      </c>
      <c r="B8" s="7" t="str">
        <f>Test_Bible!B107</f>
        <v xml:space="preserve"> </v>
      </c>
      <c r="C8" s="6">
        <f>Test_Bible!P107</f>
        <v>0</v>
      </c>
      <c r="D8" s="8">
        <f>IF(C8&gt;0,1,0)</f>
        <v>0</v>
      </c>
    </row>
    <row r="9" spans="1:11" ht="48" customHeight="1" x14ac:dyDescent="0.2">
      <c r="A9" s="26" t="str">
        <f>Test_Bible!A114</f>
        <v>PCR01a1</v>
      </c>
      <c r="B9" s="26" t="str">
        <f>Test_Bible!B114</f>
        <v xml:space="preserve"> Arrive-t-il que l'autre parent hausse la voix ou utilise des jurons pour imposer sa vision des choses ?</v>
      </c>
      <c r="C9" s="89">
        <f>Test_Bible!P114</f>
        <v>2</v>
      </c>
      <c r="D9" s="8">
        <f>IF(C9&gt;0,1,0)</f>
        <v>1</v>
      </c>
    </row>
    <row r="10" spans="1:11" ht="48" customHeight="1" x14ac:dyDescent="0.2">
      <c r="A10" s="26" t="str">
        <f>BIBLE!E92</f>
        <v>PFA07a</v>
      </c>
      <c r="B10" s="26" t="str">
        <f>BIBLE!F92</f>
        <v>Il arrive que l’autre parent boude votre enfant lorsqu'il est temps de rentrer chez vous (pour votre tour de garde).</v>
      </c>
      <c r="C10" s="89">
        <f>Test_Bible!P176</f>
        <v>10</v>
      </c>
      <c r="D10" s="8">
        <f>IF(C10&gt;0,1,0)</f>
        <v>1</v>
      </c>
    </row>
    <row r="11" spans="1:11" ht="48" customHeight="1" x14ac:dyDescent="0.2">
      <c r="A11" s="26" t="str">
        <f>BIBLE!E93</f>
        <v>PFA07a1</v>
      </c>
      <c r="B11" s="26" t="str">
        <f>BIBLE!F93</f>
        <v xml:space="preserve">Il arrive à l’autre parent de se fâcher contre votre enfant lorsqu'il ou elle exprime de l'affection pour vous. </v>
      </c>
      <c r="C11" s="89">
        <f>Test_Bible!P177</f>
        <v>1</v>
      </c>
      <c r="D11" s="8">
        <f>IF(C11&gt;0,1,0)</f>
        <v>1</v>
      </c>
    </row>
    <row r="12" spans="1:11" ht="52" customHeight="1" x14ac:dyDescent="0.2">
      <c r="A12" s="7" t="str">
        <f>Test_Bible!A181</f>
        <v>PFA09a</v>
      </c>
      <c r="B12" s="7" t="str">
        <f>Test_Bible!B181</f>
        <v/>
      </c>
      <c r="C12" s="6">
        <f>Test_Bible!P181</f>
        <v>0</v>
      </c>
      <c r="D12" s="8">
        <f t="shared" si="0"/>
        <v>0</v>
      </c>
    </row>
    <row r="13" spans="1:11" ht="42" customHeight="1" x14ac:dyDescent="0.2">
      <c r="A13" s="7" t="str">
        <f>Test_Bible!A187</f>
        <v>PFA13a</v>
      </c>
      <c r="B13" s="7" t="str">
        <f>Test_Bible!B187</f>
        <v>L'autre parent vous renvoie une image négative de vous-même en tant que parent, ridiculise vos décisions ou vous insulte.</v>
      </c>
      <c r="C13" s="6">
        <f>Test_Bible!P187</f>
        <v>2</v>
      </c>
      <c r="D13" s="8">
        <f t="shared" si="0"/>
        <v>1</v>
      </c>
    </row>
    <row r="14" spans="1:11" ht="53" customHeight="1" x14ac:dyDescent="0.2">
      <c r="A14" s="7" t="str">
        <f>Test_Bible!A188</f>
        <v>PFA13b</v>
      </c>
      <c r="B14" s="7" t="str">
        <f>Test_Bible!B188</f>
        <v>Est-ce que l'autre parent fait ou a déjà fait des menaces (claires ou voilées) de vous enlever les enfants ?</v>
      </c>
      <c r="C14" s="6">
        <f>Test_Bible!P188</f>
        <v>0</v>
      </c>
      <c r="D14" s="8">
        <f t="shared" si="0"/>
        <v>0</v>
      </c>
      <c r="E14" s="7" t="s">
        <v>475</v>
      </c>
    </row>
    <row r="15" spans="1:11" ht="83" customHeight="1" x14ac:dyDescent="0.2">
      <c r="A15" s="7" t="str">
        <f>Test_Bible!A189</f>
        <v>PFA13c</v>
      </c>
      <c r="B15" s="7" t="str">
        <f>Test_Bible!B189</f>
        <v>L'autre parent présente à votre entourage une vision négative de vos compétences parentales ou de votre santé mentale.</v>
      </c>
      <c r="C15" s="6">
        <f>Test_Bible!P189</f>
        <v>7</v>
      </c>
      <c r="D15" s="8">
        <f t="shared" si="0"/>
        <v>1</v>
      </c>
    </row>
    <row r="16" spans="1:11" ht="73" customHeight="1" x14ac:dyDescent="0.2">
      <c r="A16" s="7" t="str">
        <f>Test_Bible!A204</f>
        <v>PFA20a1a</v>
      </c>
      <c r="B16" s="7" t="str">
        <f>Test_Bible!B204</f>
        <v/>
      </c>
      <c r="C16" s="6">
        <f>Test_Bible!P204</f>
        <v>0</v>
      </c>
      <c r="D16" s="8">
        <f>IF(C16&gt;0,1,0)</f>
        <v>0</v>
      </c>
    </row>
    <row r="17" spans="1:5" ht="66" customHeight="1" x14ac:dyDescent="0.2">
      <c r="A17" s="7" t="str">
        <f>Test_Bible!A203</f>
        <v>PFA20a1</v>
      </c>
      <c r="B17" s="7" t="str">
        <f>Test_Bible!B203</f>
        <v/>
      </c>
      <c r="C17" s="6">
        <f>Test_Bible!P203</f>
        <v>0</v>
      </c>
      <c r="D17" s="8">
        <f t="shared" si="0"/>
        <v>0</v>
      </c>
    </row>
    <row r="18" spans="1:5" ht="46" customHeight="1" x14ac:dyDescent="0.2">
      <c r="A18" t="str">
        <f>Test_Bible!A236</f>
        <v>PFA30a1</v>
      </c>
      <c r="B18" t="str">
        <f>Test_Bible!B236</f>
        <v/>
      </c>
      <c r="C18" s="6">
        <f>Test_Bible!P236</f>
        <v>0</v>
      </c>
      <c r="D18" s="8">
        <f>IF(C18&gt;0,1,0)</f>
        <v>0</v>
      </c>
      <c r="E18" s="7" t="s">
        <v>475</v>
      </c>
    </row>
    <row r="19" spans="1:5" ht="83" customHeight="1" x14ac:dyDescent="0.2">
      <c r="B19" s="26" t="str">
        <f>Test_Bible!B236</f>
        <v/>
      </c>
      <c r="C19" s="629"/>
      <c r="D19" s="8"/>
      <c r="E19" s="7"/>
    </row>
    <row r="20" spans="1:5" ht="59" customHeight="1" x14ac:dyDescent="0.2">
      <c r="B20" s="26"/>
      <c r="C20" s="6"/>
    </row>
    <row r="21" spans="1:5" ht="59" customHeight="1" x14ac:dyDescent="0.2">
      <c r="B21" s="26" t="s">
        <v>343</v>
      </c>
      <c r="C21" s="6">
        <f>SUM(C7:C19)</f>
        <v>22</v>
      </c>
      <c r="D21" s="8">
        <f>SUM(D7:D19)</f>
        <v>5</v>
      </c>
      <c r="E21" s="7"/>
    </row>
  </sheetData>
  <pageMargins left="0.7" right="0.7" top="0.75" bottom="0.75" header="0.3" footer="0.3"/>
  <pageSetup orientation="portrait" horizontalDpi="0" verticalDpi="0" copies="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681-1887-E843-8C81-28E26ECC010F}">
  <sheetPr>
    <pageSetUpPr fitToPage="1"/>
  </sheetPr>
  <dimension ref="A1:V116"/>
  <sheetViews>
    <sheetView topLeftCell="F70" zoomScale="79" zoomScaleNormal="79" workbookViewId="0">
      <selection activeCell="L86" sqref="L86"/>
    </sheetView>
    <sheetView topLeftCell="F1" workbookViewId="1"/>
  </sheetViews>
  <sheetFormatPr baseColWidth="10" defaultRowHeight="16" x14ac:dyDescent="0.2"/>
  <cols>
    <col min="1" max="4" width="0" hidden="1" customWidth="1"/>
    <col min="5" max="5" width="16.83203125" hidden="1" customWidth="1"/>
    <col min="6" max="6" width="16.33203125" style="26" customWidth="1"/>
    <col min="7" max="7" width="13.83203125" customWidth="1"/>
    <col min="8" max="8" width="51" customWidth="1"/>
    <col min="9" max="9" width="13.1640625" customWidth="1"/>
    <col min="10" max="10" width="2.6640625" customWidth="1"/>
    <col min="12" max="12" width="47.6640625" customWidth="1"/>
    <col min="13" max="13" width="16.1640625" customWidth="1"/>
    <col min="14" max="14" width="3.1640625" customWidth="1"/>
    <col min="15" max="15" width="19.6640625" customWidth="1"/>
    <col min="16" max="16" width="70.83203125" customWidth="1"/>
    <col min="17" max="17" width="12.6640625" bestFit="1" customWidth="1"/>
    <col min="18" max="18" width="2.83203125" customWidth="1"/>
    <col min="19" max="19" width="8.33203125" customWidth="1"/>
    <col min="20" max="20" width="57" bestFit="1" customWidth="1"/>
    <col min="21" max="21" width="12.5" bestFit="1" customWidth="1"/>
    <col min="22" max="22" width="18.6640625" bestFit="1" customWidth="1"/>
    <col min="23" max="24" width="6.6640625" customWidth="1"/>
  </cols>
  <sheetData>
    <row r="1" spans="1:20" ht="26" x14ac:dyDescent="0.3">
      <c r="F1" s="657" t="s">
        <v>720</v>
      </c>
      <c r="K1" s="658"/>
    </row>
    <row r="5" spans="1:20" ht="47" customHeight="1" x14ac:dyDescent="0.3">
      <c r="G5" s="563"/>
    </row>
    <row r="6" spans="1:20" ht="22" x14ac:dyDescent="0.2">
      <c r="A6" s="15" t="s">
        <v>732</v>
      </c>
      <c r="B6" s="859" t="s">
        <v>733</v>
      </c>
      <c r="C6" s="15" t="s">
        <v>735</v>
      </c>
      <c r="D6" s="859" t="s">
        <v>734</v>
      </c>
      <c r="F6" s="661" t="s">
        <v>616</v>
      </c>
      <c r="H6" s="645" t="s">
        <v>487</v>
      </c>
      <c r="I6" s="645"/>
      <c r="J6" s="645"/>
      <c r="L6" s="658" t="s">
        <v>603</v>
      </c>
      <c r="M6" s="658"/>
      <c r="N6" s="658"/>
      <c r="O6" s="658"/>
      <c r="P6" s="658" t="s">
        <v>344</v>
      </c>
      <c r="Q6" s="658"/>
      <c r="R6" s="658"/>
      <c r="S6" s="658"/>
      <c r="T6" s="658" t="s">
        <v>488</v>
      </c>
    </row>
    <row r="7" spans="1:20" ht="15" customHeight="1" thickBot="1" x14ac:dyDescent="0.25">
      <c r="A7" s="8"/>
      <c r="B7" s="860"/>
      <c r="C7" s="8"/>
      <c r="D7" s="860"/>
      <c r="G7" s="672"/>
      <c r="H7" s="673"/>
      <c r="I7" s="674"/>
      <c r="J7" s="735"/>
      <c r="K7" s="735"/>
      <c r="L7" s="735"/>
      <c r="M7" s="735"/>
      <c r="N7" s="735"/>
      <c r="O7" s="735"/>
      <c r="P7" s="735"/>
      <c r="Q7" s="735"/>
    </row>
    <row r="8" spans="1:20" ht="48" customHeight="1" x14ac:dyDescent="0.2">
      <c r="A8" s="8"/>
      <c r="B8" s="860" t="s">
        <v>843</v>
      </c>
      <c r="C8" s="8"/>
      <c r="D8" s="860"/>
      <c r="E8" s="861"/>
      <c r="F8" s="675" t="s">
        <v>391</v>
      </c>
      <c r="G8" s="665" t="str">
        <f>BIBLE!E84</f>
        <v>PFA03</v>
      </c>
      <c r="H8" s="1374" t="str">
        <f>BIBLE!F84</f>
        <v>Selon vous, dans quelle mesure l'autre parent demande à votre enfant de garder des secrets ou de vous cacher des choses ?</v>
      </c>
      <c r="I8" s="677" t="str">
        <f>BIBLE!V84</f>
        <v>A:Alliance</v>
      </c>
      <c r="J8" s="678"/>
      <c r="K8" s="678"/>
      <c r="L8" s="678"/>
      <c r="M8" s="678"/>
      <c r="N8" s="678"/>
      <c r="O8" s="1296" t="str">
        <f>BIBLE!E154</f>
        <v>E03</v>
      </c>
      <c r="P8" s="1297" t="str">
        <f>BIBLE!F154</f>
        <v>Votre enfant garde des secrets et vous cache de l'information concernant sa relation avec l'autre parent.</v>
      </c>
      <c r="Q8" s="1298" t="str">
        <f>BIBLE!V154</f>
        <v>A:Alliance</v>
      </c>
    </row>
    <row r="9" spans="1:20" ht="35" thickBot="1" x14ac:dyDescent="0.25">
      <c r="A9" s="8"/>
      <c r="B9" s="860" t="s">
        <v>843</v>
      </c>
      <c r="C9" s="8"/>
      <c r="D9" s="860"/>
      <c r="E9" s="861"/>
      <c r="F9" s="679"/>
      <c r="G9" s="667"/>
      <c r="H9" s="1375"/>
      <c r="I9" s="666"/>
      <c r="J9" s="329"/>
      <c r="K9" s="329"/>
      <c r="L9" s="329"/>
      <c r="M9" s="329"/>
      <c r="N9" s="329"/>
      <c r="O9" s="1300" t="str">
        <f>BIBLE!E155</f>
        <v>E03a</v>
      </c>
      <c r="P9" s="680" t="str">
        <f>BIBLE!F155</f>
        <v>Votre enfant a reçu l’ordre de ne pas vous raconter ce qui se passe chez l’autre parent.</v>
      </c>
      <c r="Q9" s="1301" t="str">
        <f>BIBLE!V155</f>
        <v>A:Alliance</v>
      </c>
    </row>
    <row r="10" spans="1:20" ht="17" thickBot="1" x14ac:dyDescent="0.25">
      <c r="A10" s="8"/>
      <c r="B10" s="860"/>
      <c r="C10" s="8"/>
      <c r="D10" s="860"/>
      <c r="G10" s="16"/>
      <c r="H10" s="26"/>
      <c r="I10" s="654"/>
      <c r="O10" s="534"/>
      <c r="P10" s="297"/>
      <c r="Q10" s="1302"/>
    </row>
    <row r="11" spans="1:20" ht="56" customHeight="1" x14ac:dyDescent="0.2">
      <c r="A11" s="8"/>
      <c r="B11" s="860" t="s">
        <v>843</v>
      </c>
      <c r="C11" s="8"/>
      <c r="D11" s="860"/>
      <c r="E11" s="861"/>
      <c r="F11" s="2251" t="s">
        <v>368</v>
      </c>
      <c r="G11" s="665" t="str">
        <f>BIBLE!E85</f>
        <v>PFA04</v>
      </c>
      <c r="H11" s="1374" t="str">
        <f>BIBLE!F85</f>
        <v>L’autre parent laisse entendre à votre enfant que vous avez abandonné la famille.</v>
      </c>
      <c r="I11" s="708" t="str">
        <f>BIBLE!V85</f>
        <v>B:Altération/dévoiement de la réalité</v>
      </c>
      <c r="J11" s="678"/>
      <c r="K11" s="678"/>
      <c r="L11" s="678"/>
      <c r="M11" s="678"/>
      <c r="N11" s="678"/>
      <c r="O11" s="1296" t="str">
        <f>BIBLE!E161</f>
        <v>E06</v>
      </c>
      <c r="P11" s="1297" t="str">
        <f>BIBLE!F161</f>
        <v>Votre enfant vous accuse ou vous reproche d'avoir brisé ou abandonné la famille.</v>
      </c>
      <c r="Q11" s="1303" t="str">
        <f>BIBLE!V161</f>
        <v>B:Altération/dévoiement de la réalité</v>
      </c>
    </row>
    <row r="12" spans="1:20" ht="61" customHeight="1" thickBot="1" x14ac:dyDescent="0.25">
      <c r="A12" s="8"/>
      <c r="B12" s="860"/>
      <c r="C12" s="8"/>
      <c r="D12" s="860" t="s">
        <v>843</v>
      </c>
      <c r="E12" s="861"/>
      <c r="F12" s="2252"/>
      <c r="G12" s="699" t="str">
        <f>BIBLE!E86</f>
        <v>PFA04a</v>
      </c>
      <c r="H12" s="1376" t="str">
        <f>BIBLE!F86</f>
        <v>L’autre parent laisse entendre à votre enfant que vous ne l’aimez pas vraiment.</v>
      </c>
      <c r="I12" s="700" t="str">
        <f>BIBLE!V86</f>
        <v>B:Altération/dévoiement de la réalité</v>
      </c>
      <c r="J12" s="329"/>
      <c r="K12" s="329"/>
      <c r="L12" s="329"/>
      <c r="M12" s="329"/>
      <c r="N12" s="329"/>
      <c r="O12" s="329"/>
      <c r="P12" s="329"/>
      <c r="Q12" s="330"/>
    </row>
    <row r="13" spans="1:20" ht="17" thickBot="1" x14ac:dyDescent="0.25">
      <c r="A13" s="8"/>
      <c r="B13" s="860"/>
      <c r="C13" s="8"/>
      <c r="D13" s="860"/>
      <c r="G13" s="16"/>
      <c r="H13" s="26"/>
      <c r="I13" s="654"/>
    </row>
    <row r="14" spans="1:20" ht="64" customHeight="1" thickBot="1" x14ac:dyDescent="0.25">
      <c r="A14" s="8"/>
      <c r="B14" s="860"/>
      <c r="C14" s="8"/>
      <c r="D14" s="860" t="s">
        <v>843</v>
      </c>
      <c r="E14" s="861"/>
      <c r="F14" s="681" t="s">
        <v>392</v>
      </c>
      <c r="G14" s="664" t="str">
        <f>BIBLE!E88</f>
        <v>PFA05a</v>
      </c>
      <c r="H14" s="1377" t="str">
        <f>BIBLE!F88</f>
        <v>L’autre parent laisse entendre à votre enfant que vous souffrez d’une maladie mentale ou que vous êtes instable psychologiquement.</v>
      </c>
      <c r="I14" s="682" t="str">
        <f>BIBLE!V87</f>
        <v>B:Altération/dévoiement de la réalité</v>
      </c>
      <c r="J14" s="670"/>
      <c r="K14" s="670"/>
      <c r="L14" s="670"/>
      <c r="M14" s="670"/>
      <c r="N14" s="670"/>
      <c r="O14" s="1304" t="str">
        <f>BIBLE!E162</f>
        <v>E06a</v>
      </c>
      <c r="P14" s="1305" t="str">
        <f>BIBLE!F162</f>
        <v>Votre enfant croit que vous souffrez d’une maladie mentale ou que vous êtes instable psychologiquement.</v>
      </c>
      <c r="Q14" s="1306" t="str">
        <f>BIBLE!V162</f>
        <v>B:Altération/dévoiement de la réalité</v>
      </c>
    </row>
    <row r="15" spans="1:20" ht="17" thickBot="1" x14ac:dyDescent="0.25">
      <c r="A15" s="8"/>
      <c r="B15" s="860"/>
      <c r="C15" s="8"/>
      <c r="D15" s="860"/>
      <c r="F15" s="703"/>
      <c r="G15" s="671"/>
      <c r="H15" s="703"/>
      <c r="I15" s="669"/>
      <c r="J15" s="670"/>
      <c r="K15" s="670"/>
      <c r="L15" s="670"/>
      <c r="M15" s="670"/>
      <c r="N15" s="670"/>
      <c r="O15" s="1308"/>
      <c r="P15" s="1307"/>
      <c r="Q15" s="1309"/>
    </row>
    <row r="16" spans="1:20" ht="52" thickBot="1" x14ac:dyDescent="0.25">
      <c r="A16" s="8"/>
      <c r="B16" s="860"/>
      <c r="C16" s="8"/>
      <c r="D16" s="860" t="s">
        <v>843</v>
      </c>
      <c r="E16" s="861"/>
      <c r="F16" s="681" t="s">
        <v>756</v>
      </c>
      <c r="G16" s="683" t="str">
        <f>BIBLE!E87</f>
        <v>PFA05</v>
      </c>
      <c r="H16" s="1378" t="str">
        <f>BIBLE!F87</f>
        <v>L'autre parent laisse entendre à votre enfant qu’il ou elle n’est pas en sécurité avec vous.</v>
      </c>
      <c r="I16" s="682" t="str">
        <f>BIBLE!V88</f>
        <v>B:Altération/dévoiement de la réalité</v>
      </c>
      <c r="J16" s="670"/>
      <c r="K16" s="1310" t="str">
        <f>BIBLE!E219</f>
        <v>NC02</v>
      </c>
      <c r="L16" s="1311" t="str">
        <f>BIBLE!F219</f>
        <v>Le nouveau ou nouvelle conjoint·e laisse entendre à votre enfant qu’il ou elle n’est pas en sécurité avec vous.</v>
      </c>
      <c r="M16" s="682" t="str">
        <f>BIBLE!V219</f>
        <v>B:Altération/dévoiement de la réalité</v>
      </c>
      <c r="N16" s="670"/>
      <c r="O16" s="1304" t="str">
        <f>BIBLE!E163</f>
        <v>E06a1</v>
      </c>
      <c r="P16" s="1305" t="str">
        <f>BIBLE!F163</f>
        <v>Arrive-t-il à votre enfant de vous reprocher d'être dangereux·se ou de présenter un danger pour sa sécurité ?</v>
      </c>
      <c r="Q16" s="1306" t="str">
        <f>BIBLE!V163</f>
        <v>B:Altération/dévoiement de la réalité</v>
      </c>
    </row>
    <row r="17" spans="1:21" ht="17" thickBot="1" x14ac:dyDescent="0.25">
      <c r="A17" s="8"/>
      <c r="B17" s="860"/>
      <c r="C17" s="8"/>
      <c r="D17" s="860"/>
      <c r="F17" s="746"/>
      <c r="G17" s="663"/>
      <c r="H17" s="746"/>
      <c r="I17" s="701"/>
      <c r="K17" s="16"/>
      <c r="L17" s="297"/>
      <c r="M17" s="654"/>
      <c r="O17" s="534"/>
      <c r="P17" s="297"/>
      <c r="Q17" s="1302"/>
    </row>
    <row r="18" spans="1:21" ht="45" x14ac:dyDescent="0.2">
      <c r="A18" s="8"/>
      <c r="B18" s="860"/>
      <c r="C18" s="8"/>
      <c r="D18" s="860" t="s">
        <v>843</v>
      </c>
      <c r="E18" s="861"/>
      <c r="F18" s="675" t="s">
        <v>396</v>
      </c>
      <c r="G18" s="665" t="str">
        <f>BIBLE!E89</f>
        <v>PFA06</v>
      </c>
      <c r="H18" s="1374" t="str">
        <f>BIBLE!F89</f>
        <v>L'autre parent modifie certains faits concernant votre passé à son avantage ou à votre désavantage.</v>
      </c>
      <c r="I18" s="708" t="str">
        <f>BIBLE!V89</f>
        <v>B:Altération/dévoiement de la réalité</v>
      </c>
      <c r="J18" s="678"/>
      <c r="K18" s="678"/>
      <c r="L18" s="678"/>
      <c r="M18" s="678"/>
      <c r="N18" s="678"/>
      <c r="O18" s="678"/>
      <c r="P18" s="678"/>
      <c r="Q18" s="1313"/>
    </row>
    <row r="19" spans="1:21" ht="52" thickBot="1" x14ac:dyDescent="0.25">
      <c r="A19" s="8"/>
      <c r="B19" s="860"/>
      <c r="C19" s="8"/>
      <c r="D19" s="860" t="s">
        <v>843</v>
      </c>
      <c r="E19" s="862"/>
      <c r="F19" s="679"/>
      <c r="G19" s="699" t="str">
        <f>BIBLE!E90</f>
        <v>PFA06a</v>
      </c>
      <c r="H19" s="1376" t="str">
        <f>BIBLE!F90</f>
        <v xml:space="preserve">L'autre parent déforme les souvenirs de votre enfant (ex.: souvenirs de la petite enfance vus aujourd'hui négativement). </v>
      </c>
      <c r="I19" s="700" t="str">
        <f>BIBLE!V90</f>
        <v>B:Altération/dévoiement de la réalité</v>
      </c>
      <c r="J19" s="329"/>
      <c r="K19" s="329"/>
      <c r="L19" s="329"/>
      <c r="M19" s="329"/>
      <c r="N19" s="329"/>
      <c r="O19" s="1314" t="str">
        <f>BIBLE!E184</f>
        <v>E22a</v>
      </c>
      <c r="P19" s="680" t="str">
        <f>BIBLE!F184</f>
        <v>Dans quelle mesure les souvenirs de votre enfant vous semblent-ils être déformés ? (ex.: souvenirs de la petite enfance vus aujourd'hui différement)</v>
      </c>
      <c r="Q19" s="747" t="str">
        <f>BIBLE!V184</f>
        <v>F: Interférence lien affectif ou symbolique</v>
      </c>
    </row>
    <row r="20" spans="1:21" ht="17" thickBot="1" x14ac:dyDescent="0.25">
      <c r="A20" s="8"/>
      <c r="B20" s="860"/>
      <c r="C20" s="8"/>
      <c r="D20" s="860"/>
      <c r="G20" s="16"/>
      <c r="H20" s="26"/>
      <c r="I20" s="654"/>
    </row>
    <row r="21" spans="1:21" ht="68" x14ac:dyDescent="0.2">
      <c r="A21" s="8"/>
      <c r="B21" s="860" t="s">
        <v>843</v>
      </c>
      <c r="C21" s="8"/>
      <c r="D21" s="860" t="s">
        <v>843</v>
      </c>
      <c r="E21" s="861"/>
      <c r="F21" s="675" t="s">
        <v>712</v>
      </c>
      <c r="G21" s="665" t="str">
        <f>BIBLE!E91</f>
        <v>PFA07</v>
      </c>
      <c r="H21" s="1374" t="str">
        <f>BIBLE!F91</f>
        <v>L’autre parent culpabilise votre enfant de sa relation ou de son amour pour vous.</v>
      </c>
      <c r="I21" s="1315" t="str">
        <f>BIBLE!V91</f>
        <v>C: Chantage affectif, loyauté, manipulation</v>
      </c>
      <c r="J21" s="678"/>
      <c r="K21" s="678"/>
      <c r="L21" s="678"/>
      <c r="M21" s="678"/>
      <c r="N21" s="678"/>
      <c r="O21" s="1296" t="str">
        <f>BIBLE!E164</f>
        <v>E07</v>
      </c>
      <c r="P21" s="1297" t="str">
        <f>BIBLE!F164</f>
        <v>Votre enfant se sent coupable de passer du temps avec vous car cela pourrait indisposer, contrarier ou faire de la peine à l'autre parent.</v>
      </c>
      <c r="Q21" s="1316" t="str">
        <f>BIBLE!V164</f>
        <v>C: Chantage affectif, loyauté, manipulation</v>
      </c>
    </row>
    <row r="22" spans="1:21" ht="45" x14ac:dyDescent="0.2">
      <c r="A22" s="8"/>
      <c r="B22" s="860"/>
      <c r="C22" s="8"/>
      <c r="D22" s="860" t="s">
        <v>843</v>
      </c>
      <c r="E22" s="861"/>
      <c r="F22" s="734"/>
      <c r="G22" s="544" t="str">
        <f>BIBLE!E92</f>
        <v>PFA07a</v>
      </c>
      <c r="H22" s="767" t="str">
        <f>BIBLE!F92</f>
        <v>Il arrive que l’autre parent boude votre enfant lorsqu'il est temps de rentrer chez vous (pour votre tour de garde).</v>
      </c>
      <c r="I22" s="1317" t="str">
        <f>BIBLE!V92</f>
        <v>C: Chantage affectif, loyauté, manipulation</v>
      </c>
      <c r="O22" s="534"/>
      <c r="P22" s="297"/>
      <c r="Q22" s="1318"/>
    </row>
    <row r="23" spans="1:21" ht="46" thickBot="1" x14ac:dyDescent="0.25">
      <c r="A23" s="8"/>
      <c r="B23" s="860"/>
      <c r="C23" s="8"/>
      <c r="D23" s="860" t="s">
        <v>843</v>
      </c>
      <c r="E23" s="861"/>
      <c r="F23" s="679"/>
      <c r="G23" s="699" t="str">
        <f>BIBLE!E93</f>
        <v>PFA07a1</v>
      </c>
      <c r="H23" s="1376" t="str">
        <f>BIBLE!F93</f>
        <v xml:space="preserve">Il arrive à l’autre parent de se fâcher contre votre enfant lorsqu'il ou elle exprime de l'affection pour vous. </v>
      </c>
      <c r="I23" s="1319" t="str">
        <f>BIBLE!V93</f>
        <v>C: Chantage affectif, loyauté, manipulation</v>
      </c>
      <c r="J23" s="329"/>
      <c r="K23" s="329"/>
      <c r="L23" s="329"/>
      <c r="M23" s="329"/>
      <c r="N23" s="329"/>
      <c r="O23" s="689"/>
      <c r="P23" s="1299"/>
      <c r="Q23" s="1320"/>
    </row>
    <row r="24" spans="1:21" ht="17" thickBot="1" x14ac:dyDescent="0.25">
      <c r="A24" s="8"/>
      <c r="B24" s="860"/>
      <c r="C24" s="8"/>
      <c r="D24" s="860"/>
      <c r="G24" s="16"/>
      <c r="H24" s="26"/>
      <c r="I24" s="1302"/>
    </row>
    <row r="25" spans="1:21" ht="51" x14ac:dyDescent="0.2">
      <c r="A25" s="8"/>
      <c r="B25" s="860"/>
      <c r="C25" s="8" t="s">
        <v>843</v>
      </c>
      <c r="D25" s="860"/>
      <c r="E25" s="861"/>
      <c r="F25" s="675" t="s">
        <v>846</v>
      </c>
      <c r="G25" s="665" t="str">
        <f>BIBLE!E94</f>
        <v>PFA09</v>
      </c>
      <c r="H25" s="1374" t="str">
        <f>BIBLE!F94</f>
        <v>Arrive-t-il que l'autre parent vous accable de reproches par courriel ou texto au retour des enfants (après votre tour de garde) ?</v>
      </c>
      <c r="I25" s="1315" t="str">
        <f>BIBLE!V94</f>
        <v>C: Chantage affectif, loyauté, manipulation</v>
      </c>
      <c r="J25" s="678"/>
      <c r="K25" s="678"/>
      <c r="L25" s="678"/>
      <c r="M25" s="678"/>
      <c r="N25" s="678"/>
      <c r="O25" s="1296" t="str">
        <f>BIBLE!E191</f>
        <v>E27</v>
      </c>
      <c r="P25" s="1297" t="str">
        <f>BIBLE!F191</f>
        <v>Dans quelle mesure notez-vous un changement au niveau du comportement de votre enfant à son retour de garde ?</v>
      </c>
      <c r="Q25" s="1321" t="str">
        <f>BIBLE!V191</f>
        <v>H: Rôle actif, Réponse au CC, r</v>
      </c>
      <c r="R25" s="678"/>
      <c r="S25" s="866" t="str">
        <f>BIBLE!E58</f>
        <v>PCR06</v>
      </c>
      <c r="T25" s="1387" t="str">
        <f>BIBLE!F58</f>
        <v xml:space="preserve">Vous faites un retour sur les interventions de l'autre parent (nutrition, hygiène, logistique, etc.) au retour des enfants, par courriel ou message texte. </v>
      </c>
      <c r="U25" s="688" t="str">
        <f>BIBLE!V58</f>
        <v>D: Dénigrement</v>
      </c>
    </row>
    <row r="26" spans="1:21" ht="35" thickBot="1" x14ac:dyDescent="0.25">
      <c r="A26" s="8"/>
      <c r="B26" s="860" t="s">
        <v>843</v>
      </c>
      <c r="C26" s="8" t="s">
        <v>843</v>
      </c>
      <c r="D26" s="860" t="s">
        <v>843</v>
      </c>
      <c r="E26" s="861"/>
      <c r="F26" s="679"/>
      <c r="G26" s="667"/>
      <c r="H26" s="1375"/>
      <c r="I26" s="1322"/>
      <c r="J26" s="329"/>
      <c r="K26" s="329"/>
      <c r="L26" s="329"/>
      <c r="M26" s="329"/>
      <c r="N26" s="329"/>
      <c r="O26" s="1300" t="str">
        <f>BIBLE!E193</f>
        <v>E27a1</v>
      </c>
      <c r="P26" s="680" t="str">
        <f>BIBLE!F193</f>
        <v>Au retour d’un séjour chez l’autre parent, votre enfant vous questionne sur vos décisions présentes ou passsées ou vous accable de reproches.</v>
      </c>
      <c r="Q26" s="1323" t="str">
        <f>BIBLE!V193</f>
        <v>H: Rôle actif, Réponse au CC, r</v>
      </c>
      <c r="R26" s="329"/>
      <c r="S26" s="329"/>
      <c r="T26" s="329"/>
      <c r="U26" s="330"/>
    </row>
    <row r="27" spans="1:21" ht="17" thickBot="1" x14ac:dyDescent="0.25">
      <c r="A27" s="8"/>
      <c r="B27" s="860"/>
      <c r="C27" s="8"/>
      <c r="D27" s="860"/>
      <c r="G27" s="16"/>
      <c r="H27" s="26"/>
      <c r="I27" s="1302"/>
      <c r="K27" s="16"/>
      <c r="L27" s="297"/>
      <c r="M27" s="1302"/>
      <c r="O27" s="534"/>
      <c r="P27" s="297"/>
      <c r="Q27" s="1302"/>
    </row>
    <row r="28" spans="1:21" ht="51" x14ac:dyDescent="0.2">
      <c r="A28" s="8"/>
      <c r="B28" s="860" t="s">
        <v>843</v>
      </c>
      <c r="C28" s="8" t="s">
        <v>843</v>
      </c>
      <c r="D28" s="860"/>
      <c r="E28" s="861"/>
      <c r="F28" s="675" t="s">
        <v>710</v>
      </c>
      <c r="G28" s="665" t="str">
        <f>BIBLE!E96</f>
        <v>PFA10</v>
      </c>
      <c r="H28" s="1374" t="str">
        <f>BIBLE!F96</f>
        <v>L’autre parent vous salue lors de changements de garde, à l'école ou lors d'événements culturels ou sportifs.</v>
      </c>
      <c r="I28" s="1315" t="str">
        <f>BIBLE!V96</f>
        <v>C: Chantage affectif, loyauté, manipulation</v>
      </c>
      <c r="J28" s="678"/>
      <c r="K28" s="1324" t="str">
        <f>BIBLE!E220</f>
        <v>NC03</v>
      </c>
      <c r="L28" s="1325" t="str">
        <f>BIBLE!F220</f>
        <v>Le nouveau ou nouvelle conjoint·e vous salue lors de changements de garde, à l'école ou lors d'événements culturels ou sportifs.</v>
      </c>
      <c r="M28" s="1315" t="s">
        <v>69</v>
      </c>
      <c r="N28" s="678"/>
      <c r="O28" s="1296" t="str">
        <f>BIBLE!E167</f>
        <v>E11</v>
      </c>
      <c r="P28" s="1297" t="str">
        <f>BIBLE!F167</f>
        <v>Votre enfant va vers vous lors d'événements culturels ou sportifs lorsqu'il ou elle est en compagnie (sous la supervision) de l'autre parent ?</v>
      </c>
      <c r="Q28" s="1315" t="str">
        <f>BIBLE!V167</f>
        <v>C: Chantage affectif, loyauté, manipulation</v>
      </c>
      <c r="R28" s="678"/>
      <c r="S28" s="1326" t="str">
        <f>BIBLE!E56</f>
        <v>PCR03</v>
      </c>
      <c r="T28" s="1387" t="str">
        <f>BIBLE!F56</f>
        <v xml:space="preserve">Vous saluez ou allez vers l'autre parent lors de changements de garde, à l'école ou lors d'événements culturels ou sportifs. </v>
      </c>
      <c r="U28" s="723" t="str">
        <f>BIBLE!V56</f>
        <v>C: Chantage affectif, loyauté, manipulation</v>
      </c>
    </row>
    <row r="29" spans="1:21" ht="56" customHeight="1" thickBot="1" x14ac:dyDescent="0.25">
      <c r="A29" s="8"/>
      <c r="B29" s="860" t="s">
        <v>843</v>
      </c>
      <c r="C29" s="8"/>
      <c r="D29" s="860"/>
      <c r="E29" s="861"/>
      <c r="F29" s="679"/>
      <c r="G29" s="667"/>
      <c r="H29" s="1375"/>
      <c r="I29" s="1322"/>
      <c r="J29" s="329"/>
      <c r="K29" s="667"/>
      <c r="L29" s="1299"/>
      <c r="M29" s="1322"/>
      <c r="N29" s="329"/>
      <c r="O29" s="1327" t="str">
        <f>BIBLE!E189</f>
        <v>E26</v>
      </c>
      <c r="P29" s="1328" t="str">
        <f>BIBLE!F189</f>
        <v>Le comportement ou l'attitude de votre enfant change en présence de l’autre parent.</v>
      </c>
      <c r="Q29" s="1323" t="str">
        <f>BIBLE!V189</f>
        <v>H: Rôle actif, Réponse au CC, r</v>
      </c>
      <c r="R29" s="329"/>
      <c r="S29" s="689"/>
      <c r="T29" s="1375"/>
      <c r="U29" s="690"/>
    </row>
    <row r="30" spans="1:21" ht="17" thickBot="1" x14ac:dyDescent="0.25">
      <c r="A30" s="8"/>
      <c r="B30" s="860"/>
      <c r="C30" s="8"/>
      <c r="D30" s="860"/>
    </row>
    <row r="31" spans="1:21" ht="51" x14ac:dyDescent="0.2">
      <c r="A31" s="8"/>
      <c r="B31" s="860"/>
      <c r="C31" s="8" t="s">
        <v>843</v>
      </c>
      <c r="D31" s="860" t="s">
        <v>843</v>
      </c>
      <c r="E31" s="861"/>
      <c r="F31" s="675" t="s">
        <v>610</v>
      </c>
      <c r="G31" s="665" t="str">
        <f>BIBLE!E100</f>
        <v>PFA13</v>
      </c>
      <c r="H31" s="1374" t="str">
        <f>BIBLE!F100</f>
        <v>L’autre parent vous dénigre en la présence de votre enfant.</v>
      </c>
      <c r="I31" s="686" t="str">
        <f>BIBLE!V100</f>
        <v>D: Dénigrement</v>
      </c>
      <c r="J31" s="678"/>
      <c r="K31" s="1324" t="str">
        <f>BIBLE!E223</f>
        <v>NC04a1</v>
      </c>
      <c r="L31" s="1385" t="str">
        <f>BIBLE!F223</f>
        <v>Arrive-t-il que le nouveau ou nouvelle conjoint·e vous critique ou dénigre vos compétences parentales devant votre enfant ?</v>
      </c>
      <c r="M31" s="1329" t="str">
        <f>BIBLE!V223</f>
        <v>D: Dénigrement</v>
      </c>
      <c r="N31" s="678"/>
      <c r="O31" s="1296" t="str">
        <f>BIBLE!E190</f>
        <v>E12</v>
      </c>
      <c r="P31" s="1297" t="str">
        <f>BIBLE!F190</f>
        <v xml:space="preserve">Est-il déjà arrivé que votre enfant dénigre vos compétences parentales devant l’autre parent ? </v>
      </c>
      <c r="Q31" s="1329" t="str">
        <f>BIBLE!V190</f>
        <v>D: Dénigrement</v>
      </c>
      <c r="R31" s="678"/>
      <c r="S31" s="1326" t="str">
        <f>BIBLE!E60</f>
        <v>PCR07</v>
      </c>
      <c r="T31" s="1387" t="str">
        <f>BIBLE!F60</f>
        <v>Il vous arrive de faire des reproches à l'autre parent devant votre enfant.</v>
      </c>
      <c r="U31" s="688" t="str">
        <f>BIBLE!V60</f>
        <v>D: Dénigrement</v>
      </c>
    </row>
    <row r="32" spans="1:21" ht="35" thickBot="1" x14ac:dyDescent="0.25">
      <c r="A32" s="8"/>
      <c r="B32" s="860"/>
      <c r="C32" s="8"/>
      <c r="D32" s="860" t="s">
        <v>843</v>
      </c>
      <c r="E32" s="861"/>
      <c r="F32" s="679"/>
      <c r="G32" s="667"/>
      <c r="H32" s="1375"/>
      <c r="I32" s="666"/>
      <c r="J32" s="329"/>
      <c r="K32" s="1330" t="str">
        <f>BIBLE!E222</f>
        <v>NC04a</v>
      </c>
      <c r="L32" s="1386" t="str">
        <f>BIBLE!F222</f>
        <v>Le nouveau ou nouvelle conjoint·e dénigre vos compétences parentales par texto, courriel ou autres?</v>
      </c>
      <c r="M32" s="1332" t="str">
        <f>BIBLE!V222</f>
        <v>D: Dénigrement</v>
      </c>
      <c r="N32" s="329"/>
      <c r="O32" s="689"/>
      <c r="P32" s="1299"/>
      <c r="Q32" s="1322"/>
      <c r="R32" s="329"/>
      <c r="S32" s="689"/>
      <c r="T32" s="1375"/>
      <c r="U32" s="690"/>
    </row>
    <row r="33" spans="1:21" ht="18" customHeight="1" thickBot="1" x14ac:dyDescent="0.25">
      <c r="A33" s="8"/>
      <c r="B33" s="860"/>
      <c r="C33" s="8"/>
      <c r="D33" s="860"/>
      <c r="G33" s="16"/>
      <c r="H33" s="26"/>
      <c r="I33" s="654"/>
      <c r="K33" s="16"/>
      <c r="L33" s="297"/>
      <c r="M33" s="1302"/>
      <c r="O33" s="534"/>
      <c r="P33" s="297"/>
      <c r="Q33" s="1302"/>
      <c r="S33" s="534"/>
      <c r="T33" s="26"/>
      <c r="U33" s="655"/>
    </row>
    <row r="34" spans="1:21" ht="64" customHeight="1" x14ac:dyDescent="0.2">
      <c r="A34" s="8"/>
      <c r="B34" s="860"/>
      <c r="C34" s="8" t="s">
        <v>843</v>
      </c>
      <c r="D34" s="860" t="s">
        <v>843</v>
      </c>
      <c r="E34" s="861"/>
      <c r="F34" s="675" t="s">
        <v>757</v>
      </c>
      <c r="G34" s="665" t="str">
        <f>BIBLE!E104</f>
        <v>PFA14</v>
      </c>
      <c r="H34" s="1374" t="str">
        <f>BIBLE!F104</f>
        <v>L’autre parent dénigre votre nouvelle famille devant votre enfant. (dénigrement de votre nouveau ou nouvelle conjoint·e ou enfant né·e d’une nouvelle union)</v>
      </c>
      <c r="I34" s="686" t="str">
        <f>BIBLE!V104</f>
        <v>D: Dénigrement</v>
      </c>
      <c r="J34" s="678"/>
      <c r="K34" s="1324" t="str">
        <f>BIBLE!E224</f>
        <v>NC04b</v>
      </c>
      <c r="L34" s="1385" t="str">
        <f>BIBLE!F224</f>
        <v xml:space="preserve">Arrive-t-il que le nouveau ou nouvelle conjoint·e dénigre votre famille devant votre enfant ? </v>
      </c>
      <c r="M34" s="1329" t="str">
        <f>BIBLE!V224</f>
        <v>D: Dénigrement</v>
      </c>
      <c r="N34" s="678"/>
      <c r="O34" s="1296" t="str">
        <f>BIBLE!E168</f>
        <v>E13</v>
      </c>
      <c r="P34" s="1297" t="str">
        <f>BIBLE!F168</f>
        <v>Votre enfant dénigre votre nouvelle famille (nouveau ou nouvelle conjoint·e ou enfant né·e d’une nouvelle union).</v>
      </c>
      <c r="Q34" s="1333" t="str">
        <f>BIBLE!V168</f>
        <v>D: Dénigrement</v>
      </c>
    </row>
    <row r="35" spans="1:21" ht="64" customHeight="1" thickBot="1" x14ac:dyDescent="0.25">
      <c r="A35" s="8"/>
      <c r="B35" s="860"/>
      <c r="C35" s="8" t="s">
        <v>843</v>
      </c>
      <c r="D35" s="860" t="s">
        <v>843</v>
      </c>
      <c r="E35" s="861"/>
      <c r="F35" s="679"/>
      <c r="G35" s="744" t="str">
        <f>BIBLE!E143</f>
        <v>PFA33</v>
      </c>
      <c r="H35" s="1379" t="str">
        <f>BIBLE!F143</f>
        <v>L'autre parent encourage ou entretient un discours dénigrant ou haineux à l’égard de votre nouveau ou nouvelle conjoint·e.</v>
      </c>
      <c r="I35" s="745" t="str">
        <f>BIBLE!V143</f>
        <v>H: Rôle actif, Réponse au CC, r</v>
      </c>
      <c r="J35" s="329"/>
      <c r="K35" s="667"/>
      <c r="L35" s="1299"/>
      <c r="M35" s="1322"/>
      <c r="N35" s="329"/>
      <c r="O35" s="689"/>
      <c r="P35" s="1299"/>
      <c r="Q35" s="1320"/>
    </row>
    <row r="36" spans="1:21" ht="17" customHeight="1" thickBot="1" x14ac:dyDescent="0.25">
      <c r="A36" s="8"/>
      <c r="B36" s="860"/>
      <c r="C36" s="8"/>
      <c r="D36" s="860"/>
      <c r="G36" s="16"/>
      <c r="H36" s="26"/>
      <c r="I36" s="654"/>
      <c r="K36" s="16"/>
      <c r="L36" s="297"/>
      <c r="M36" s="1302"/>
      <c r="O36" s="534"/>
      <c r="P36" s="297"/>
      <c r="Q36" s="1302"/>
    </row>
    <row r="37" spans="1:21" ht="67" customHeight="1" thickBot="1" x14ac:dyDescent="0.25">
      <c r="A37" s="8"/>
      <c r="B37" s="860"/>
      <c r="C37" s="8"/>
      <c r="D37" s="860" t="s">
        <v>843</v>
      </c>
      <c r="E37" s="861"/>
      <c r="F37" s="675" t="s">
        <v>1241</v>
      </c>
      <c r="G37" s="664" t="str">
        <f>BIBLE!E105</f>
        <v>PFA15</v>
      </c>
      <c r="H37" s="1377" t="str">
        <f>BIBLE!F105</f>
        <v>L'autre parent laisse entendre qu'il ou elle représente la vraie famille de votre enfant.</v>
      </c>
      <c r="I37" s="686" t="str">
        <f>BIBLE!V105</f>
        <v>D: Dénigrement</v>
      </c>
      <c r="J37" s="678"/>
      <c r="K37" s="678"/>
      <c r="L37" s="678"/>
      <c r="M37" s="678"/>
      <c r="N37" s="678"/>
      <c r="O37" s="1296" t="str">
        <f>BIBLE!E169</f>
        <v>E14</v>
      </c>
      <c r="P37" s="1297" t="str">
        <f>BIBLE!F169</f>
        <v>Votre enfant laisse entendre que sa vraie famille est celle avec l’autre parent.</v>
      </c>
      <c r="Q37" s="1333" t="str">
        <f>BIBLE!V169</f>
        <v>D: Dénigrement</v>
      </c>
    </row>
    <row r="38" spans="1:21" ht="61" customHeight="1" thickBot="1" x14ac:dyDescent="0.25">
      <c r="A38" s="8"/>
      <c r="B38" s="860"/>
      <c r="C38" s="8"/>
      <c r="D38" s="860" t="s">
        <v>843</v>
      </c>
      <c r="E38" s="861"/>
      <c r="F38" s="679"/>
      <c r="G38" s="329"/>
      <c r="H38" s="329"/>
      <c r="I38" s="329"/>
      <c r="J38" s="329"/>
      <c r="K38" s="329"/>
      <c r="L38" s="329"/>
      <c r="M38" s="329"/>
      <c r="N38" s="329"/>
      <c r="O38" s="1314" t="str">
        <f>BIBLE!E170</f>
        <v>E14a</v>
      </c>
      <c r="P38" s="680" t="str">
        <f>BIBLE!F170</f>
        <v xml:space="preserve">Selon votre enfant, la nouvelle famille de l'autre parent (famille recomposée ou non) a plus de valeur que la vôtre. </v>
      </c>
      <c r="Q38" s="1334" t="str">
        <f>BIBLE!V170</f>
        <v>D: Dénigrement</v>
      </c>
    </row>
    <row r="39" spans="1:21" ht="15" customHeight="1" thickBot="1" x14ac:dyDescent="0.25">
      <c r="A39" s="8"/>
      <c r="B39" s="860"/>
      <c r="C39" s="8"/>
      <c r="D39" s="860"/>
      <c r="O39" s="534"/>
      <c r="P39" s="297"/>
      <c r="Q39" s="1302"/>
    </row>
    <row r="40" spans="1:21" ht="61" customHeight="1" x14ac:dyDescent="0.2">
      <c r="A40" s="8"/>
      <c r="B40" s="860"/>
      <c r="C40" s="8" t="s">
        <v>843</v>
      </c>
      <c r="D40" s="860" t="s">
        <v>843</v>
      </c>
      <c r="E40" s="862"/>
      <c r="F40" s="675" t="s">
        <v>1242</v>
      </c>
      <c r="G40" s="665" t="str">
        <f>BIBLE!E106</f>
        <v>PFA15a</v>
      </c>
      <c r="H40" s="1374" t="str">
        <f>BIBLE!F106</f>
        <v>L'autre parent demande à votre enfant d'appeler son nouveau ou nouvelle conjoint·e maman ou papa.</v>
      </c>
      <c r="I40" s="686" t="str">
        <f>BIBLE!V106</f>
        <v>D: Dénigrement</v>
      </c>
      <c r="J40" s="678"/>
      <c r="K40" s="1324" t="str">
        <f>BIBLE!E232</f>
        <v>NC14</v>
      </c>
      <c r="L40" s="1325" t="str">
        <f>BIBLE!F232</f>
        <v>Le nouveau ou nouvelle conjoint·e demande à votre enfant de l'appeler maman ou papa.</v>
      </c>
      <c r="M40" s="1353" t="str">
        <f>BIBLE!V232</f>
        <v>F: Interférence lien affectif ou symbolique</v>
      </c>
      <c r="N40" s="678"/>
      <c r="O40" s="1296" t="str">
        <f>BIBLE!E179</f>
        <v>E20</v>
      </c>
      <c r="P40" s="1297" t="str">
        <f>BIBLE!F179</f>
        <v>Votre enfant considère le nouveau ou nouvelle conjoint·e (de l'autre parent) comme son père ou sa mère.</v>
      </c>
      <c r="Q40" s="1682" t="str">
        <f>BIBLE!V179</f>
        <v>F: Interférence lien affectif ou symbolique</v>
      </c>
    </row>
    <row r="41" spans="1:21" ht="61" customHeight="1" thickBot="1" x14ac:dyDescent="0.25">
      <c r="A41" s="8"/>
      <c r="B41" s="860"/>
      <c r="C41" s="8"/>
      <c r="D41" s="860"/>
      <c r="E41" s="862"/>
      <c r="F41" s="679"/>
      <c r="G41" s="744"/>
      <c r="H41" s="1379"/>
      <c r="I41" s="1683"/>
      <c r="J41" s="329"/>
      <c r="K41" s="1330"/>
      <c r="L41" s="1331"/>
      <c r="M41" s="1352"/>
      <c r="N41" s="329"/>
      <c r="O41" s="1327" t="str">
        <f>BIBLE!E180</f>
        <v>E20a</v>
      </c>
      <c r="P41" s="1328" t="str">
        <f>BIBLE!F180</f>
        <v>Dans quelle mesure la présence du nouveau ou nouvelle conjoint·e apporte-t-elle chez votre enfant une confusion au niveau des rôles parentaux ?</v>
      </c>
      <c r="Q41" s="1684" t="str">
        <f>BIBLE!V180</f>
        <v>F: Interférence lien affectif ou symbolique</v>
      </c>
    </row>
    <row r="42" spans="1:21" ht="19" customHeight="1" thickBot="1" x14ac:dyDescent="0.25">
      <c r="A42" s="8"/>
      <c r="B42" s="860"/>
      <c r="C42" s="8"/>
      <c r="D42" s="860"/>
      <c r="E42" s="863"/>
      <c r="G42" s="16"/>
      <c r="H42" s="26"/>
      <c r="I42" s="654"/>
      <c r="K42" s="16"/>
      <c r="L42" s="297"/>
      <c r="M42" s="1302"/>
      <c r="O42" s="534"/>
      <c r="P42" s="297"/>
      <c r="Q42" s="1302"/>
    </row>
    <row r="43" spans="1:21" ht="51" x14ac:dyDescent="0.2">
      <c r="A43" s="8"/>
      <c r="B43" s="860"/>
      <c r="C43" s="8" t="s">
        <v>843</v>
      </c>
      <c r="D43" s="860" t="s">
        <v>843</v>
      </c>
      <c r="E43" s="861"/>
      <c r="F43" s="2251" t="s">
        <v>612</v>
      </c>
      <c r="G43" s="665" t="str">
        <f>BIBLE!E107</f>
        <v>PFA16</v>
      </c>
      <c r="H43" s="1374" t="str">
        <f>BIBLE!F107</f>
        <v>L'autre parent impose des changements d’horaires sans vous consulter au préalable et sans votre autorisation.</v>
      </c>
      <c r="I43" s="693" t="str">
        <f>BIBLE!V107</f>
        <v>E: Interférence temps et/ou communication</v>
      </c>
      <c r="J43" s="678"/>
      <c r="K43" s="1324" t="str">
        <f>BIBLE!E225</f>
        <v>NC07</v>
      </c>
      <c r="L43" s="1325" t="str">
        <f>BIBLE!F225</f>
        <v xml:space="preserve">Le nouveau ou nouvelle conjoint·e apporte des changements à l’horaire de garde sans vous consulter au préalable ou sans votre autorisation. </v>
      </c>
      <c r="M43" s="693" t="str">
        <f>BIBLE!V225</f>
        <v>E: Interférence temps et/ou communication</v>
      </c>
      <c r="N43" s="678"/>
      <c r="O43" s="1296" t="str">
        <f>BIBLE!E173</f>
        <v>E16</v>
      </c>
      <c r="P43" s="1297" t="str">
        <f>BIBLE!F173</f>
        <v>Votre enfant demande à modifier les horaires de garde et de visite.</v>
      </c>
      <c r="Q43" s="1337" t="str">
        <f>BIBLE!V173</f>
        <v>E: Interférence temps et/ou communication</v>
      </c>
      <c r="R43" s="678"/>
      <c r="S43" s="1326" t="str">
        <f>BIBLE!E66</f>
        <v>PCR12</v>
      </c>
      <c r="T43" s="1387" t="str">
        <f>BIBLE!F66</f>
        <v>Il vous arrive de prendre des décisions sans consulter l'autre parent.</v>
      </c>
      <c r="U43" s="724" t="str">
        <f>BIBLE!V66</f>
        <v>F: Interférence lien affectif ou symbolique</v>
      </c>
    </row>
    <row r="44" spans="1:21" ht="52" thickBot="1" x14ac:dyDescent="0.25">
      <c r="A44" s="8"/>
      <c r="B44" s="860"/>
      <c r="C44" s="8" t="s">
        <v>843</v>
      </c>
      <c r="D44" s="860" t="s">
        <v>843</v>
      </c>
      <c r="E44" s="861"/>
      <c r="F44" s="2252"/>
      <c r="G44" s="699" t="str">
        <f>BIBLE!E108</f>
        <v>PFA16a</v>
      </c>
      <c r="H44" s="1376" t="str">
        <f>BIBLE!F108</f>
        <v>Arrive-t-il que l'autre parent ramène votre enfant à la maison à l'heure qui lui convient, sans respecter l'entente initiale ?</v>
      </c>
      <c r="I44" s="704" t="str">
        <f>BIBLE!V108</f>
        <v>E: Interférence temps et/ou communication</v>
      </c>
      <c r="J44" s="329"/>
      <c r="K44" s="667"/>
      <c r="L44" s="1299"/>
      <c r="M44" s="666"/>
      <c r="N44" s="329"/>
      <c r="O44" s="1300" t="str">
        <f>BIBLE!E175</f>
        <v>E16a1</v>
      </c>
      <c r="P44" s="680" t="str">
        <f>BIBLE!F175</f>
        <v>Dans quelle mesure votre enfant impose-t-il ou elle des changements d’horaires et de visite à la faveur de l'autre parent sans vous consulter au préalable et sans votre autorisation ?</v>
      </c>
      <c r="Q44" s="1338" t="str">
        <f>BIBLE!V175</f>
        <v>E: Interférence temps et/ou communication</v>
      </c>
      <c r="R44" s="329"/>
      <c r="S44" s="1339"/>
      <c r="T44" s="1388"/>
      <c r="U44" s="787"/>
    </row>
    <row r="45" spans="1:21" ht="17" thickBot="1" x14ac:dyDescent="0.25">
      <c r="A45" s="8"/>
      <c r="B45" s="860"/>
      <c r="C45" s="8"/>
      <c r="D45" s="860"/>
    </row>
    <row r="46" spans="1:21" ht="51" x14ac:dyDescent="0.2">
      <c r="A46" s="8"/>
      <c r="B46" s="860"/>
      <c r="C46" s="8"/>
      <c r="D46" s="860"/>
      <c r="E46" s="861"/>
      <c r="F46" s="2251" t="s">
        <v>1243</v>
      </c>
      <c r="G46" s="705" t="str">
        <f>BIBLE!E109</f>
        <v>PFA16b</v>
      </c>
      <c r="H46" s="1380" t="str">
        <f>BIBLE!F109</f>
        <v>Arrive-t-il que l’autre parent organise et propose des activités à votre enfant sur votre temps de garde ?</v>
      </c>
      <c r="I46" s="693" t="str">
        <f>BIBLE!V109</f>
        <v>E: Interférence temps et/ou communication</v>
      </c>
      <c r="J46" s="678"/>
      <c r="K46" s="1324" t="str">
        <f>BIBLE!E226</f>
        <v>NC07a</v>
      </c>
      <c r="L46" s="1325" t="str">
        <f>BIBLE!F226</f>
        <v xml:space="preserve">Arrive-t-il que le nouveau ou nouvelle conjoint·e organise des activités sur votre temps de garde ? </v>
      </c>
      <c r="M46" s="693" t="str">
        <f>BIBLE!V226</f>
        <v>E: Interférence temps et/ou communication</v>
      </c>
      <c r="N46" s="678"/>
      <c r="O46" s="1341" t="str">
        <f>BIBLE!E176</f>
        <v>E16a2</v>
      </c>
      <c r="P46" s="1340" t="str">
        <f>BIBLE!F176</f>
        <v>Arrive-t-il à votre enfant de changer d’idée concernant une activité prévue à l’horaire avec vous ?  D’abord enthousiaste, votre enfant trouve subitement (dernière minute) des excuses pour ne pas participer à l’activité ?</v>
      </c>
      <c r="Q46" s="1342" t="str">
        <f>BIBLE!V176</f>
        <v>E: Interférence temps et/ou communication</v>
      </c>
    </row>
    <row r="47" spans="1:21" ht="52" thickBot="1" x14ac:dyDescent="0.25">
      <c r="A47" s="8"/>
      <c r="B47" s="860"/>
      <c r="C47" s="8"/>
      <c r="D47" s="860"/>
      <c r="E47" s="861"/>
      <c r="F47" s="2252"/>
      <c r="G47" s="699" t="str">
        <f>BIBLE!E110</f>
        <v>PFA16b1</v>
      </c>
      <c r="H47" s="1376" t="str">
        <f>BIBLE!F110</f>
        <v>Arrive-t-il que l’autre parent organise et propose des activités amusantes, voire irrésistibles à votre enfant durant votre temps de garde ?</v>
      </c>
      <c r="I47" s="704" t="str">
        <f>BIBLE!V110</f>
        <v>E: Interférence temps et/ou communication</v>
      </c>
      <c r="J47" s="329"/>
      <c r="K47" s="329"/>
      <c r="L47" s="329"/>
      <c r="M47" s="329"/>
      <c r="N47" s="329"/>
      <c r="O47" s="1300" t="str">
        <f>BIBLE!E177</f>
        <v>E16a3</v>
      </c>
      <c r="P47" s="680" t="str">
        <f>BIBLE!F177</f>
        <v>Votre enfant subit une pression pour passer plus de temps chez l'autre parent.</v>
      </c>
      <c r="Q47" s="1343" t="str">
        <f>BIBLE!V177</f>
        <v>E: Interférence temps et/ou communication</v>
      </c>
    </row>
    <row r="48" spans="1:21" ht="17" thickBot="1" x14ac:dyDescent="0.25">
      <c r="A48" s="8"/>
      <c r="B48" s="860"/>
      <c r="C48" s="8"/>
      <c r="D48" s="860"/>
      <c r="G48" s="16"/>
      <c r="H48" s="26"/>
      <c r="I48" s="654"/>
      <c r="K48" s="16"/>
      <c r="L48" s="297"/>
      <c r="M48" s="654"/>
      <c r="S48" s="8"/>
      <c r="T48" s="26"/>
      <c r="U48" s="655"/>
    </row>
    <row r="49" spans="1:21" ht="52" thickBot="1" x14ac:dyDescent="0.25">
      <c r="A49" s="8"/>
      <c r="B49" s="860"/>
      <c r="C49" s="8" t="s">
        <v>843</v>
      </c>
      <c r="D49" s="860" t="s">
        <v>843</v>
      </c>
      <c r="E49" s="864"/>
      <c r="F49" s="681" t="s">
        <v>611</v>
      </c>
      <c r="G49" s="664" t="str">
        <f>BIBLE!E112</f>
        <v>PFA18</v>
      </c>
      <c r="H49" s="1377" t="str">
        <f>BIBLE!F112</f>
        <v>À quelle fréquence l’autre parent communique-t-il ou elle avec votre enfant durant votre temps de garde ? (tél., textos, réseaux sociaux, etc.)</v>
      </c>
      <c r="I49" s="706" t="str">
        <f>BIBLE!V112</f>
        <v>E: Interférence temps et/ou communication</v>
      </c>
      <c r="J49" s="670"/>
      <c r="K49" s="1310" t="str">
        <f>BIBLE!E230</f>
        <v>NC12</v>
      </c>
      <c r="L49" s="1311" t="str">
        <f>BIBLE!F230</f>
        <v>À quelle fréquence le nouveau ou nouvelle conjoint·e communique-t-il ou elle avec votre enfant durant votre temps de garde ?</v>
      </c>
      <c r="M49" s="706" t="str">
        <f>BIBLE!V230</f>
        <v>E: Interférence temps et/ou communication</v>
      </c>
      <c r="N49" s="670"/>
      <c r="O49" s="1335" t="str">
        <f>BIBLE!E194</f>
        <v>E28</v>
      </c>
      <c r="P49" s="1336" t="str">
        <f>BIBLE!F194</f>
        <v>Votre enfant s'isole ou se cache (ex.: chambre ou toilettes) pour appeler l'autre parent afin qu'on n'entende pas ses conversations.</v>
      </c>
      <c r="Q49" s="1344" t="str">
        <f>BIBLE!V194</f>
        <v>H: Rôle actif, Réponse au CC, r</v>
      </c>
      <c r="R49" s="670"/>
      <c r="S49" s="1345" t="str">
        <f>BIBLE!E61</f>
        <v>PCR08</v>
      </c>
      <c r="T49" s="1389" t="str">
        <f>BIBLE!F61</f>
        <v>À quelle fréquence communiquez-vous avec votre enfant lorsqu’il ou elle est chez l‘autre parent ?</v>
      </c>
      <c r="U49" s="725" t="str">
        <f>BIBLE!V61</f>
        <v>E: Interférence temps et/ou communication</v>
      </c>
    </row>
    <row r="50" spans="1:21" ht="17" thickBot="1" x14ac:dyDescent="0.25">
      <c r="A50" s="8"/>
      <c r="B50" s="860"/>
      <c r="C50" s="8"/>
      <c r="D50" s="860"/>
      <c r="E50" s="13"/>
    </row>
    <row r="51" spans="1:21" ht="45" x14ac:dyDescent="0.2">
      <c r="A51" s="8"/>
      <c r="B51" s="860"/>
      <c r="C51" s="8" t="s">
        <v>843</v>
      </c>
      <c r="D51" s="860" t="s">
        <v>843</v>
      </c>
      <c r="E51" s="865"/>
      <c r="F51" s="2251" t="s">
        <v>707</v>
      </c>
      <c r="G51" s="665" t="str">
        <f>BIBLE!E115</f>
        <v>PFA20</v>
      </c>
      <c r="H51" s="1374" t="str">
        <f>BIBLE!F115</f>
        <v>Il est facile de communiquer avec votre enfant lorsqu’il est chez l’autre parent.</v>
      </c>
      <c r="I51" s="693" t="str">
        <f>BIBLE!V115</f>
        <v>E: Interférence temps et/ou communication</v>
      </c>
      <c r="J51" s="678"/>
      <c r="K51" s="678"/>
      <c r="L51" s="678"/>
      <c r="M51" s="678"/>
      <c r="N51" s="678"/>
      <c r="O51" s="1296" t="str">
        <f>BIBLE!E178</f>
        <v>E18</v>
      </c>
      <c r="P51" s="1297" t="str">
        <f>BIBLE!F178</f>
        <v>Votre enfant répond à vos messages lorsqu’il est chez l’autre parent (tél., textos, réseaux sociaux, etc.).</v>
      </c>
      <c r="Q51" s="1342" t="str">
        <f>BIBLE!V178</f>
        <v>E: Interférence temps et/ou communication</v>
      </c>
    </row>
    <row r="52" spans="1:21" ht="52" thickBot="1" x14ac:dyDescent="0.25">
      <c r="A52" s="8"/>
      <c r="B52" s="860"/>
      <c r="C52" s="8" t="s">
        <v>843</v>
      </c>
      <c r="D52" s="860" t="s">
        <v>843</v>
      </c>
      <c r="E52" s="864"/>
      <c r="F52" s="2252"/>
      <c r="G52" s="699" t="str">
        <f>BIBLE!E116</f>
        <v>PFA20a</v>
      </c>
      <c r="H52" s="1376" t="str">
        <f>BIBLE!F116</f>
        <v>Arrive-t-il que l'autre parent contrôle, écoute ou écourte vos conversations téléphoniques avec votre enfant (lors de son tour de garde) ?</v>
      </c>
      <c r="I52" s="704" t="str">
        <f>BIBLE!V116</f>
        <v>E: Interférence temps et/ou communication</v>
      </c>
      <c r="J52" s="329"/>
      <c r="K52" s="1330" t="str">
        <f>BIBLE!E228</f>
        <v>NC10</v>
      </c>
      <c r="L52" s="1331" t="str">
        <f>BIBLE!F228</f>
        <v>Arrive-t-il que le nouveau ou nouvelle conjoint·e interfère, écoute ou écourte vos conversations téléphoniques avec votre enfant ?</v>
      </c>
      <c r="M52" s="704" t="str">
        <f>BIBLE!V228</f>
        <v>E: Interférence temps et/ou communication</v>
      </c>
      <c r="N52" s="329"/>
      <c r="O52" s="1713" t="str">
        <f>BIBLE!E202</f>
        <v>E34</v>
      </c>
      <c r="P52" s="1714" t="str">
        <f>BIBLE!F202</f>
        <v xml:space="preserve">Votre enfant bloque les communications (tél., textos, réseaux sociaux, etc.). </v>
      </c>
      <c r="Q52" s="330"/>
    </row>
    <row r="53" spans="1:21" ht="17" thickBot="1" x14ac:dyDescent="0.25">
      <c r="A53" s="8"/>
      <c r="B53" s="860"/>
      <c r="C53" s="8"/>
      <c r="D53" s="860"/>
      <c r="G53" s="16"/>
      <c r="H53" s="26"/>
      <c r="I53" s="654"/>
      <c r="K53" s="16"/>
      <c r="L53" s="297"/>
      <c r="M53" s="654"/>
    </row>
    <row r="54" spans="1:21" ht="52" thickBot="1" x14ac:dyDescent="0.25">
      <c r="A54" s="8"/>
      <c r="B54" s="860"/>
      <c r="C54" s="8"/>
      <c r="D54" s="860" t="s">
        <v>843</v>
      </c>
      <c r="E54" s="862"/>
      <c r="F54" s="681" t="s">
        <v>1244</v>
      </c>
      <c r="G54" s="664" t="str">
        <f>BIBLE!E128</f>
        <v>PFA27</v>
      </c>
      <c r="H54" s="1377" t="str">
        <f>BIBLE!F128</f>
        <v>L’autre parent cherche à limiter les contacts entre votre enfant et votre famille élargie (cousin.es, grands-parents, etc.).</v>
      </c>
      <c r="I54" s="695" t="str">
        <f>BIBLE!V128</f>
        <v>F: Interférence lien affectif ou symbolique</v>
      </c>
      <c r="J54" s="670"/>
      <c r="K54" s="670"/>
      <c r="L54" s="670"/>
      <c r="M54" s="670"/>
      <c r="N54" s="670"/>
      <c r="O54" s="1346" t="str">
        <f>BIBLE!E203</f>
        <v>E35</v>
      </c>
      <c r="P54" s="1336" t="str">
        <f>BIBLE!F203</f>
        <v>Comment qualiferiez-vous la relation entre votre enfant et votre famille élargie  (cousin.es, grands-parents, etc.) ?</v>
      </c>
      <c r="Q54" s="1347" t="s">
        <v>149</v>
      </c>
    </row>
    <row r="55" spans="1:21" ht="17" thickBot="1" x14ac:dyDescent="0.25">
      <c r="A55" s="8"/>
      <c r="B55" s="860"/>
      <c r="C55" s="8"/>
      <c r="D55" s="860"/>
      <c r="G55" s="16"/>
      <c r="H55" s="26"/>
      <c r="I55" s="654"/>
    </row>
    <row r="56" spans="1:21" ht="52" thickBot="1" x14ac:dyDescent="0.25">
      <c r="A56" s="8"/>
      <c r="B56" s="860" t="s">
        <v>843</v>
      </c>
      <c r="C56" s="8"/>
      <c r="D56" s="860" t="s">
        <v>843</v>
      </c>
      <c r="E56" s="861"/>
      <c r="F56" s="681" t="s">
        <v>1245</v>
      </c>
      <c r="G56" s="683" t="str">
        <f>BIBLE!E141</f>
        <v>PFA31a1</v>
      </c>
      <c r="H56" s="1378" t="str">
        <f>BIBLE!F141</f>
        <v>Dans quelle mesure diriez-vous que l'autre parent se confie à votre enfant sur des sujets qui vous sont personnels ou qui concernent votre passé (intime) ?</v>
      </c>
      <c r="I56" s="696" t="str">
        <f>BIBLE!V141</f>
        <v>G: Parentification</v>
      </c>
      <c r="J56" s="670"/>
      <c r="K56" s="670"/>
      <c r="L56" s="670"/>
      <c r="M56" s="670"/>
      <c r="N56" s="670"/>
      <c r="O56" s="1335" t="str">
        <f>BIBLE!E183</f>
        <v>E22</v>
      </c>
      <c r="P56" s="1336" t="str">
        <f>BIBLE!F183</f>
        <v>Votre enfant connait des informations personnelles ou intimes sur vous dont vous n'avez jamais discuté avec lui ou avec elle.</v>
      </c>
      <c r="Q56" s="1348" t="str">
        <f>BIBLE!V183</f>
        <v>F: Interférence lien affectif ou symbolique</v>
      </c>
    </row>
    <row r="57" spans="1:21" x14ac:dyDescent="0.2">
      <c r="A57" s="8"/>
      <c r="B57" s="860"/>
      <c r="C57" s="8"/>
      <c r="D57" s="860"/>
      <c r="E57" s="861"/>
      <c r="G57" s="544"/>
      <c r="H57" s="767"/>
      <c r="I57" s="1686"/>
      <c r="O57" s="1681"/>
      <c r="P57" s="100"/>
      <c r="Q57" s="1712"/>
    </row>
    <row r="58" spans="1:21" ht="17" thickBot="1" x14ac:dyDescent="0.25">
      <c r="A58" s="8"/>
      <c r="B58" s="860"/>
      <c r="C58" s="8"/>
      <c r="D58" s="860"/>
      <c r="G58" s="16"/>
      <c r="H58" s="26"/>
      <c r="I58" s="654"/>
      <c r="O58" s="534"/>
      <c r="P58" s="297"/>
      <c r="Q58" s="1302"/>
      <c r="S58" s="534"/>
      <c r="T58" s="26"/>
      <c r="U58" s="655"/>
    </row>
    <row r="59" spans="1:21" ht="51" x14ac:dyDescent="0.2">
      <c r="A59" s="8"/>
      <c r="B59" s="860" t="s">
        <v>843</v>
      </c>
      <c r="C59" s="8" t="s">
        <v>843</v>
      </c>
      <c r="D59" s="860" t="s">
        <v>843</v>
      </c>
      <c r="E59" s="861"/>
      <c r="F59" s="675" t="s">
        <v>402</v>
      </c>
      <c r="G59" s="665" t="str">
        <f>BIBLE!E142</f>
        <v>PFA32</v>
      </c>
      <c r="H59" s="1374" t="str">
        <f>BIBLE!F142</f>
        <v>L'autre parent fait lire vos échanges et communications (courriels, textos, etc.) à votre enfant.</v>
      </c>
      <c r="I59" s="726" t="str">
        <f>BIBLE!V142</f>
        <v>G: Parentification</v>
      </c>
      <c r="J59" s="678"/>
      <c r="K59" s="678"/>
      <c r="L59" s="678"/>
      <c r="M59" s="678"/>
      <c r="N59" s="678"/>
      <c r="O59" s="1296" t="str">
        <f>BIBLE!E187</f>
        <v>E24</v>
      </c>
      <c r="P59" s="1297" t="str">
        <f>BIBLE!F187</f>
        <v>L'autre parent a informé votre enfant du contexte juridique, financier ou autre associé au conflit vous opposant.</v>
      </c>
      <c r="Q59" s="1720" t="str">
        <f>BIBLE!V187</f>
        <v>G: Parentification</v>
      </c>
      <c r="R59" s="678"/>
      <c r="S59" s="1326" t="str">
        <f>BIBLE!E70</f>
        <v>PCR15</v>
      </c>
      <c r="T59" s="1387" t="str">
        <f>BIBLE!F70</f>
        <v>Il est important que votre enfant soit au courant des enjeux de la séparation et/ou du conflit qui vous oppose à l'autre parent.</v>
      </c>
      <c r="U59" s="727" t="str">
        <f>BIBLE!V70</f>
        <v>G: Parentification</v>
      </c>
    </row>
    <row r="60" spans="1:21" ht="58" customHeight="1" thickBot="1" x14ac:dyDescent="0.25">
      <c r="A60" s="8"/>
      <c r="B60" s="860"/>
      <c r="C60" s="8"/>
      <c r="D60" s="860"/>
      <c r="E60" s="861"/>
      <c r="F60" s="734"/>
      <c r="G60" s="16"/>
      <c r="H60" s="26"/>
      <c r="I60" s="654"/>
      <c r="O60" s="551" t="str">
        <f>BIBLE!E172</f>
        <v>E15a</v>
      </c>
      <c r="P60" s="1722" t="str">
        <f>BIBLE!F172</f>
        <v>Arrive-t-il à votre enfant de vous accuser de voler de l’argent à son autre parent ou d'être responsable de son apauvrissement ?</v>
      </c>
      <c r="Q60" s="1247" t="s">
        <v>62</v>
      </c>
      <c r="S60" s="534"/>
      <c r="T60" s="26"/>
      <c r="U60" s="1721"/>
    </row>
    <row r="61" spans="1:21" ht="55" customHeight="1" thickBot="1" x14ac:dyDescent="0.25">
      <c r="A61" s="8"/>
      <c r="B61" s="860"/>
      <c r="C61" s="8"/>
      <c r="D61" s="860"/>
      <c r="E61" s="861"/>
      <c r="F61" s="679"/>
      <c r="G61" s="667"/>
      <c r="H61" s="1375"/>
      <c r="I61" s="666"/>
      <c r="J61" s="329"/>
      <c r="K61" s="329"/>
      <c r="L61" s="329"/>
      <c r="M61" s="329"/>
      <c r="N61" s="329"/>
      <c r="O61" s="1723" t="str">
        <f>BIBLE!E198</f>
        <v>E32</v>
      </c>
      <c r="P61" s="1328" t="str">
        <f>BIBLE!F198</f>
        <v>Votre enfant vous accuse de mentir, de voler, etc.</v>
      </c>
      <c r="Q61" s="1347" t="str">
        <f>BIBLE!V210</f>
        <v>H: Rôle actif, Réponse au CC, r</v>
      </c>
      <c r="R61" s="329"/>
      <c r="S61" s="689"/>
      <c r="T61" s="1375"/>
      <c r="U61" s="690"/>
    </row>
    <row r="62" spans="1:21" ht="17" thickBot="1" x14ac:dyDescent="0.25">
      <c r="A62" s="8"/>
      <c r="B62" s="860"/>
      <c r="C62" s="8"/>
      <c r="D62" s="860"/>
      <c r="E62" s="863"/>
      <c r="G62" s="16"/>
      <c r="H62" s="26"/>
      <c r="I62" s="654"/>
      <c r="O62" s="534"/>
      <c r="P62" s="297"/>
      <c r="Q62" s="654"/>
      <c r="S62" s="534"/>
      <c r="T62" s="26"/>
      <c r="U62" s="654"/>
    </row>
    <row r="63" spans="1:21" ht="51" x14ac:dyDescent="0.2">
      <c r="A63" s="8"/>
      <c r="B63" s="860" t="s">
        <v>843</v>
      </c>
      <c r="C63" s="8" t="s">
        <v>843</v>
      </c>
      <c r="D63" s="860" t="s">
        <v>843</v>
      </c>
      <c r="E63" s="862"/>
      <c r="F63" s="675" t="s">
        <v>1246</v>
      </c>
      <c r="G63" s="665" t="str">
        <f>BIBLE!E144</f>
        <v>PFA34</v>
      </c>
      <c r="H63" s="1374" t="str">
        <f>BIBLE!F144</f>
        <v>L’autre parent refuse de vous parler et demande à votre enfant de faire les messages et autres demandes entourant la logistique familiale.</v>
      </c>
      <c r="I63" s="728" t="str">
        <f>BIBLE!V144</f>
        <v>H: Rôle actif, Réponse au CC, r</v>
      </c>
      <c r="J63" s="678"/>
      <c r="K63" s="1982" t="str">
        <f>BIBLE!E229</f>
        <v>NC11</v>
      </c>
      <c r="L63" s="1983" t="str">
        <f>BIBLE!F229</f>
        <v xml:space="preserve">Le nouveau ou nouvelle conjoint·e est responsable de la logistique familiale (communications scolaires, rendez-vous médicaux, etc.). </v>
      </c>
      <c r="M63" s="693" t="str">
        <f>BIBLE!V229</f>
        <v>E: Interférence temps et/ou communication</v>
      </c>
      <c r="N63" s="678"/>
      <c r="O63" s="1296" t="str">
        <f>BIBLE!E185</f>
        <v>E17</v>
      </c>
      <c r="P63" s="1297" t="str">
        <f>BIBLE!F185</f>
        <v xml:space="preserve">Dans quelle mesure diriez-vous que votre enfant a la responsabilité de vous communiquer les informations concernant la logistique familiale (gestion vêtements, lunch, activités, etc.) au retour d'un séjour chez l'autre parent ? </v>
      </c>
      <c r="Q63" s="726" t="str">
        <f>BIBLE!V185</f>
        <v>G: Parentification</v>
      </c>
      <c r="R63" s="678"/>
      <c r="S63" s="1326" t="str">
        <f>BIBLE!E68</f>
        <v>PCR13</v>
      </c>
      <c r="T63" s="1387" t="str">
        <f>BIBLE!F68</f>
        <v>Le contexte de coparentalité vous contraint à demander à votre enfant de faire les messages et demandes entourant la logistique familiale.</v>
      </c>
      <c r="U63" s="729" t="str">
        <f>BIBLE!V68</f>
        <v>G: Parentification</v>
      </c>
    </row>
    <row r="64" spans="1:21" ht="62" customHeight="1" x14ac:dyDescent="0.2">
      <c r="A64" s="8"/>
      <c r="B64" s="860"/>
      <c r="C64" s="8"/>
      <c r="D64" s="860"/>
      <c r="E64" s="862"/>
      <c r="F64" s="734"/>
      <c r="G64" s="421"/>
      <c r="H64" s="782"/>
      <c r="I64" s="1685"/>
      <c r="K64" s="1984" t="str">
        <f>BIBLE!E223</f>
        <v>NC04a1</v>
      </c>
      <c r="L64" s="1984" t="str">
        <f>BIBLE!F223</f>
        <v>Arrive-t-il que le nouveau ou nouvelle conjoint·e vous critique ou dénigre vos compétences parentales devant votre enfant ?</v>
      </c>
      <c r="M64" s="659" t="str">
        <f>BIBLE!V223</f>
        <v>D: Dénigrement</v>
      </c>
      <c r="O64" s="1681"/>
      <c r="P64" s="100"/>
      <c r="Q64" s="1686"/>
      <c r="S64" s="1687"/>
      <c r="T64" s="1118"/>
      <c r="U64" s="1692"/>
    </row>
    <row r="65" spans="1:22" ht="64" customHeight="1" thickBot="1" x14ac:dyDescent="0.25">
      <c r="A65" s="8"/>
      <c r="B65" s="860"/>
      <c r="C65" s="8"/>
      <c r="D65" s="860"/>
      <c r="E65" s="862"/>
      <c r="F65" s="679"/>
      <c r="G65" s="744"/>
      <c r="H65" s="1379"/>
      <c r="I65" s="745"/>
      <c r="J65" s="329"/>
      <c r="K65" s="1985" t="str">
        <f>BIBLE!E222</f>
        <v>NC04a</v>
      </c>
      <c r="L65" s="1985" t="str">
        <f>BIBLE!F222</f>
        <v>Le nouveau ou nouvelle conjoint·e dénigre vos compétences parentales par texto, courriel ou autres?</v>
      </c>
      <c r="M65" s="704" t="str">
        <f>BIBLE!V222</f>
        <v>D: Dénigrement</v>
      </c>
      <c r="N65" s="329"/>
      <c r="O65" s="1327"/>
      <c r="P65" s="1328"/>
      <c r="Q65" s="702"/>
      <c r="R65" s="329"/>
      <c r="S65" s="1688"/>
      <c r="T65" s="1689"/>
      <c r="U65" s="733"/>
    </row>
    <row r="66" spans="1:22" ht="19" customHeight="1" thickBot="1" x14ac:dyDescent="0.25">
      <c r="A66" s="8"/>
      <c r="B66" s="860"/>
      <c r="C66" s="8"/>
      <c r="D66" s="860"/>
      <c r="O66" s="534"/>
      <c r="P66" s="297"/>
      <c r="Q66" s="1302"/>
    </row>
    <row r="67" spans="1:22" ht="59" customHeight="1" x14ac:dyDescent="0.2">
      <c r="A67" s="1677"/>
      <c r="B67" s="1677" t="s">
        <v>843</v>
      </c>
      <c r="C67" s="1677"/>
      <c r="D67" s="1677" t="s">
        <v>843</v>
      </c>
      <c r="E67" s="934"/>
      <c r="F67" s="675" t="s">
        <v>717</v>
      </c>
      <c r="G67" s="665" t="str">
        <f>BIBLE!E145</f>
        <v>PFA35</v>
      </c>
      <c r="H67" s="1374" t="str">
        <f>BIBLE!F145</f>
        <v>L’autre parent laisse à votre enfant le droit de respecter ou non l'entente de garde et votre temps (tour) de garde.</v>
      </c>
      <c r="I67" s="728" t="str">
        <f>BIBLE!V145</f>
        <v>H: Rôle actif, Réponse au CC, r</v>
      </c>
      <c r="J67" s="678"/>
      <c r="K67" s="678"/>
      <c r="L67" s="678"/>
      <c r="M67" s="678"/>
      <c r="N67" s="678"/>
      <c r="O67" s="1341" t="str">
        <f>BIBLE!E200</f>
        <v>E33a</v>
      </c>
      <c r="P67" s="1340" t="str">
        <f>BIBLE!F200</f>
        <v>Votre enfant demande à changer les termes de la garde afin de passer plus de temps chez l’autre parent.</v>
      </c>
      <c r="Q67" s="1321" t="str">
        <f>BIBLE!V200</f>
        <v>H: Rôle actif, Réponse au CC, r</v>
      </c>
      <c r="R67" s="678"/>
      <c r="S67" s="1349" t="str">
        <f>BIBLE!E62</f>
        <v>PCR09</v>
      </c>
      <c r="T67" s="1387" t="str">
        <f>BIBLE!F62</f>
        <v>Vous laissez à votre enfant le droit de choisir la fréquence des visites et le temps qu'il passe chez l'autre parent.</v>
      </c>
      <c r="U67" s="694" t="str">
        <f>BIBLE!V62</f>
        <v>E: Interférence temps et/ou communication</v>
      </c>
    </row>
    <row r="68" spans="1:22" ht="59" customHeight="1" thickBot="1" x14ac:dyDescent="0.25">
      <c r="A68" s="1677"/>
      <c r="B68" s="1677"/>
      <c r="C68" s="1677"/>
      <c r="D68" s="1677" t="s">
        <v>843</v>
      </c>
      <c r="E68" s="934"/>
      <c r="F68" s="679"/>
      <c r="G68" s="731"/>
      <c r="H68" s="1381"/>
      <c r="I68" s="666"/>
      <c r="J68" s="329"/>
      <c r="K68" s="329"/>
      <c r="L68" s="329"/>
      <c r="M68" s="329"/>
      <c r="N68" s="329"/>
      <c r="O68" s="329"/>
      <c r="P68" s="329"/>
      <c r="Q68" s="329"/>
      <c r="R68" s="329"/>
      <c r="S68" s="1350"/>
      <c r="T68" s="1375"/>
      <c r="U68" s="690"/>
    </row>
    <row r="69" spans="1:22" ht="14" customHeight="1" thickBot="1" x14ac:dyDescent="0.25">
      <c r="A69" s="1677"/>
      <c r="B69" s="1677"/>
      <c r="C69" s="1677"/>
      <c r="D69" s="1677"/>
      <c r="E69" s="934"/>
      <c r="O69" s="534"/>
      <c r="P69" s="297"/>
      <c r="Q69" s="1302"/>
    </row>
    <row r="70" spans="1:22" ht="59" customHeight="1" x14ac:dyDescent="0.2">
      <c r="A70" s="1677"/>
      <c r="B70" s="1677"/>
      <c r="C70" s="1677"/>
      <c r="D70" s="1677" t="s">
        <v>843</v>
      </c>
      <c r="E70" s="934"/>
      <c r="F70" s="675" t="s">
        <v>1247</v>
      </c>
      <c r="G70" s="665" t="str">
        <f>BIBLE!E97</f>
        <v>PFA11</v>
      </c>
      <c r="H70" s="1374" t="str">
        <f>BIBLE!F97</f>
        <v xml:space="preserve">L'autre parent est d'avis que votre enfant est assez mature pour choisir où il doit vivre et avec quel parent.  </v>
      </c>
      <c r="I70" s="1315" t="str">
        <f>BIBLE!V97</f>
        <v>H: Rôle actif, Réponse au CC, r</v>
      </c>
      <c r="J70" s="678"/>
      <c r="K70" s="1351"/>
      <c r="L70" s="678"/>
      <c r="M70" s="678"/>
      <c r="N70" s="678"/>
      <c r="O70" s="1341" t="str">
        <f>BIBLE!E201</f>
        <v>E33b</v>
      </c>
      <c r="P70" s="1986" t="str">
        <f>BIBLE!F201</f>
        <v xml:space="preserve">Votre enfant vous informe qu’à 12 ou 14 ans, le droit de choisir les modalités de garde lui reviendrait. </v>
      </c>
      <c r="Q70" s="1321" t="str">
        <f>BIBLE!V197</f>
        <v>H: Rôle actif, Réponse au CC, r</v>
      </c>
      <c r="R70" s="678"/>
      <c r="S70" s="1326" t="str">
        <f>BIBLE!E69</f>
        <v>PCR14</v>
      </c>
      <c r="T70" s="1387" t="str">
        <f>BIBLE!F69</f>
        <v>Un enfant de 12 ans est assez mature pour choisir où et avec qui il veut vivre.</v>
      </c>
      <c r="U70" s="729" t="str">
        <f>BIBLE!V69</f>
        <v>G: Parentification</v>
      </c>
    </row>
    <row r="71" spans="1:22" ht="55" customHeight="1" thickBot="1" x14ac:dyDescent="0.25">
      <c r="A71" s="1677"/>
      <c r="B71" s="1677"/>
      <c r="C71" s="1677"/>
      <c r="D71" s="1677" t="s">
        <v>843</v>
      </c>
      <c r="E71" s="934"/>
      <c r="F71" s="679"/>
      <c r="G71" s="730" t="str">
        <f>BIBLE!E131</f>
        <v>PFA39</v>
      </c>
      <c r="H71" s="1382" t="str">
        <f>BIBLE!F131</f>
        <v xml:space="preserve">Dans quelle mesure est-ce que l'autre parent se dit impuissant et non responsable de la décision de votre enfant de ne plus respecter l'entente de garde ? </v>
      </c>
      <c r="I71" s="1352" t="str">
        <f>BIBLE!V131</f>
        <v>F: Interférence lien affectif ou symbolique</v>
      </c>
      <c r="J71" s="329"/>
      <c r="K71" s="329"/>
      <c r="L71" s="329"/>
      <c r="M71" s="329"/>
      <c r="N71" s="329"/>
      <c r="O71" s="689"/>
      <c r="P71" s="1299"/>
      <c r="Q71" s="1322"/>
      <c r="R71" s="329"/>
      <c r="S71" s="329"/>
      <c r="T71" s="329"/>
      <c r="U71" s="330"/>
    </row>
    <row r="72" spans="1:22" ht="18" customHeight="1" thickBot="1" x14ac:dyDescent="0.25">
      <c r="A72" s="1677"/>
      <c r="B72" s="1677"/>
      <c r="C72" s="1677"/>
      <c r="D72" s="1677"/>
      <c r="E72" s="934"/>
      <c r="G72" s="16"/>
      <c r="H72" s="26"/>
      <c r="I72" s="654"/>
      <c r="O72" s="534"/>
      <c r="P72" s="297"/>
      <c r="Q72" s="1302"/>
      <c r="S72" s="534"/>
      <c r="T72" s="26"/>
      <c r="U72" s="654"/>
    </row>
    <row r="73" spans="1:22" ht="52" thickBot="1" x14ac:dyDescent="0.25">
      <c r="A73" s="1677"/>
      <c r="B73" s="1677"/>
      <c r="C73" s="1677"/>
      <c r="D73" s="1677" t="s">
        <v>843</v>
      </c>
      <c r="E73" s="934"/>
      <c r="F73" s="681" t="s">
        <v>711</v>
      </c>
      <c r="G73" s="683" t="str">
        <f>BIBLE!E98</f>
        <v>PFA11a</v>
      </c>
      <c r="H73" s="1378" t="str">
        <f>BIBLE!F98</f>
        <v>Est-ce que l'autre parent vous demande de respecter les désirs et les choix de votre enfant ?</v>
      </c>
      <c r="I73" s="697" t="str">
        <f>BIBLE!V98</f>
        <v>H: Rôle actif, Réponse au CC, r</v>
      </c>
      <c r="J73" s="670"/>
      <c r="K73" s="1310" t="str">
        <f>BIBLE!E234</f>
        <v>NC16</v>
      </c>
      <c r="L73" s="1311" t="str">
        <f>BIBLE!F234</f>
        <v>Est-ce que le nouveau ou nouvelle conjoint·e vous demande de respecter les désirs et choix de votre enfant ?</v>
      </c>
      <c r="M73" s="697" t="str">
        <f>BIBLE!V234</f>
        <v>H: Rôle actif, Réponse au CC, r</v>
      </c>
      <c r="N73" s="670"/>
      <c r="O73" s="1346" t="str">
        <f>BIBLE!E199</f>
        <v>E33</v>
      </c>
      <c r="P73" s="1987" t="str">
        <f>BIBLE!F199</f>
        <v>Votre enfant vous reproche de lui manquer de respect en ne respectant pas ses choix, besoins, désirs, rythme, etc.</v>
      </c>
      <c r="Q73" s="1347" t="s">
        <v>149</v>
      </c>
      <c r="S73" s="534"/>
      <c r="T73" s="26"/>
      <c r="U73" s="654"/>
    </row>
    <row r="74" spans="1:22" ht="16" customHeight="1" thickBot="1" x14ac:dyDescent="0.25">
      <c r="A74" s="1677"/>
      <c r="B74" s="1677"/>
      <c r="C74" s="1677"/>
      <c r="D74" s="1677"/>
      <c r="E74" s="934"/>
      <c r="G74" s="16"/>
      <c r="H74" s="26"/>
      <c r="I74" s="654"/>
      <c r="K74" s="16"/>
      <c r="L74" s="297"/>
      <c r="M74" s="654"/>
      <c r="O74" s="534"/>
      <c r="P74" s="297"/>
      <c r="Q74" s="1302"/>
      <c r="S74" s="534"/>
      <c r="T74" s="26"/>
      <c r="U74" s="654"/>
    </row>
    <row r="75" spans="1:22" ht="45" x14ac:dyDescent="0.2">
      <c r="A75" s="1677"/>
      <c r="B75" s="1677"/>
      <c r="C75" s="1677"/>
      <c r="D75" s="1677" t="s">
        <v>843</v>
      </c>
      <c r="E75" s="934"/>
      <c r="F75" s="2251" t="s">
        <v>715</v>
      </c>
      <c r="G75" s="665" t="str">
        <f>BIBLE!E146</f>
        <v>PFA36</v>
      </c>
      <c r="H75" s="1374" t="str">
        <f>BIBLE!F146</f>
        <v>L’autre parent demande à votre enfant de choisir avec quel parent il veut vivre.</v>
      </c>
      <c r="I75" s="728" t="str">
        <f>BIBLE!V146</f>
        <v>C: Chantage affectif, loyauté, manipulation</v>
      </c>
      <c r="J75" s="678"/>
      <c r="K75" s="701"/>
      <c r="L75" s="1312"/>
      <c r="M75" s="701"/>
      <c r="N75" s="678"/>
      <c r="O75" s="1690" t="str">
        <f>BIBLE!E197</f>
        <v>E30</v>
      </c>
      <c r="P75" s="1297" t="str">
        <f>BIBLE!F197</f>
        <v>Votre enfant réclame le droit de choisir les moments où il vous rend visite et la durée des visites chez vous.</v>
      </c>
      <c r="Q75" s="1691" t="str">
        <f>BIBLE!V201</f>
        <v>H: Rôle actif, Réponse au CC, r</v>
      </c>
      <c r="S75" s="534"/>
      <c r="T75" s="26"/>
      <c r="U75" s="654"/>
      <c r="V75" s="934" t="s">
        <v>975</v>
      </c>
    </row>
    <row r="76" spans="1:22" ht="57" customHeight="1" thickBot="1" x14ac:dyDescent="0.25">
      <c r="A76" s="1677"/>
      <c r="B76" s="1677" t="s">
        <v>843</v>
      </c>
      <c r="C76" s="1677"/>
      <c r="D76" s="1677"/>
      <c r="E76" s="934"/>
      <c r="F76" s="2252"/>
      <c r="G76" s="742" t="str">
        <f>BIBLE!E135</f>
        <v>PFA30</v>
      </c>
      <c r="H76" s="1383" t="str">
        <f>BIBLE!F135</f>
        <v>L’autre parent incite, consciemment ou inconsciemment, votre enfant à choisir entre ses deux parents.</v>
      </c>
      <c r="I76" s="741" t="str">
        <f>BIBLE!V135</f>
        <v>F: Interférence lien affectif ou symbolique</v>
      </c>
      <c r="J76" s="329"/>
      <c r="K76" s="667"/>
      <c r="L76" s="1299"/>
      <c r="M76" s="666"/>
      <c r="N76" s="329"/>
      <c r="O76" s="689"/>
      <c r="P76" s="1299"/>
      <c r="Q76" s="1320"/>
      <c r="S76" s="534"/>
      <c r="T76" s="26"/>
      <c r="U76" s="654"/>
      <c r="V76" s="934"/>
    </row>
    <row r="77" spans="1:22" ht="28" customHeight="1" thickBot="1" x14ac:dyDescent="0.25">
      <c r="A77" s="8"/>
      <c r="B77" s="860"/>
      <c r="C77" s="8"/>
      <c r="D77" s="860"/>
      <c r="F77" s="297"/>
      <c r="G77" s="662"/>
      <c r="H77" s="1384"/>
      <c r="I77" s="654"/>
      <c r="K77" s="16"/>
      <c r="L77" s="297"/>
      <c r="M77" s="654"/>
      <c r="O77" s="534"/>
      <c r="P77" s="297"/>
      <c r="Q77" s="1302"/>
      <c r="S77" s="534"/>
      <c r="T77" s="26"/>
      <c r="U77" s="654"/>
    </row>
    <row r="78" spans="1:22" ht="83" customHeight="1" x14ac:dyDescent="0.2">
      <c r="A78" s="8"/>
      <c r="B78" s="860" t="s">
        <v>843</v>
      </c>
      <c r="C78" s="8" t="s">
        <v>843</v>
      </c>
      <c r="D78" s="860"/>
      <c r="E78" s="861"/>
      <c r="F78" s="675" t="s">
        <v>1248</v>
      </c>
      <c r="G78" s="665" t="str">
        <f>BIBLE!E129</f>
        <v>PFA28</v>
      </c>
      <c r="H78" s="1374" t="str">
        <f>BIBLE!F129</f>
        <v xml:space="preserve">L’autre parent permet à votre enfant d'apporter des objets (jouets ou cadeaux reçus) provenant de chez vous. </v>
      </c>
      <c r="I78" s="740" t="str">
        <f>BIBLE!V129</f>
        <v>F: Interférence lien affectif ou symbolique</v>
      </c>
      <c r="J78" s="678"/>
      <c r="K78" s="678"/>
      <c r="L78" s="678"/>
      <c r="M78" s="678"/>
      <c r="N78" s="678"/>
      <c r="O78" s="1296" t="str">
        <f>BIBLE!E181</f>
        <v>E21</v>
      </c>
      <c r="P78" s="1297" t="str">
        <f>BIBLE!F181</f>
        <v>Les jouets et les vêtements de votre enfant se promènent d’une maison à l’autre simplement.</v>
      </c>
      <c r="Q78" s="1353" t="str">
        <f>BIBLE!V181</f>
        <v>F: Interférence lien affectif ou symbolique</v>
      </c>
      <c r="R78" s="678"/>
      <c r="S78" s="1349" t="str">
        <f>BIBLE!E65</f>
        <v>PCR11</v>
      </c>
      <c r="T78" s="1387" t="str">
        <f>BIBLE!F65</f>
        <v>Vous acceptez que les vêtements et/ou jouets de votre enfant se promènent d’une maison à l’autre.</v>
      </c>
      <c r="U78" s="724" t="str">
        <f>BIBLE!V65</f>
        <v>F: Interférence lien affectif ou symbolique</v>
      </c>
    </row>
    <row r="79" spans="1:22" ht="68" customHeight="1" thickBot="1" x14ac:dyDescent="0.25">
      <c r="A79" s="8"/>
      <c r="B79" s="860" t="s">
        <v>843</v>
      </c>
      <c r="C79" s="8"/>
      <c r="D79" s="860"/>
      <c r="E79" s="861"/>
      <c r="F79" s="748"/>
      <c r="G79" s="2034" t="str">
        <f>BIBLE!E130</f>
        <v>PFA28a</v>
      </c>
      <c r="H79" s="1376" t="str">
        <f>BIBLE!F130</f>
        <v xml:space="preserve">L’autre parent jette les cadeaux que vous avez offerts à votre enfant ou proscrit les photographies de vous dans sa demeure. </v>
      </c>
      <c r="I79" s="2035" t="str">
        <f>BIBLE!V130</f>
        <v>F: Interférence lien affectif ou symbolique</v>
      </c>
      <c r="J79" s="329"/>
      <c r="K79" s="667"/>
      <c r="L79" s="1299"/>
      <c r="M79" s="666"/>
      <c r="N79" s="329"/>
      <c r="O79" s="1314" t="str">
        <f>BIBLE!E182</f>
        <v>E21a</v>
      </c>
      <c r="P79" s="680" t="str">
        <f>BIBLE!F182</f>
        <v xml:space="preserve">Dans quelle mesure diriez-vous que l'autre parent accepte que votre enfant apporte des objets qui proviennent de votre demeure ou de votre milieu ? </v>
      </c>
      <c r="Q79" s="1352" t="str">
        <f>BIBLE!V182</f>
        <v>F: Interférence lien affectif ou symbolique</v>
      </c>
      <c r="R79" s="329"/>
      <c r="S79" s="689"/>
      <c r="T79" s="1299"/>
      <c r="U79" s="749"/>
    </row>
    <row r="80" spans="1:22" ht="25" customHeight="1" thickBot="1" x14ac:dyDescent="0.25">
      <c r="G80" s="16"/>
      <c r="H80" s="297"/>
      <c r="I80" s="654"/>
      <c r="K80" s="16"/>
      <c r="L80" s="297"/>
      <c r="M80" s="654"/>
      <c r="O80" s="662"/>
      <c r="P80" s="297"/>
      <c r="Q80" s="655"/>
      <c r="S80" s="662"/>
      <c r="T80" s="297"/>
      <c r="U80" s="654"/>
    </row>
    <row r="81" spans="6:21" ht="59" customHeight="1" x14ac:dyDescent="0.2">
      <c r="F81" s="675" t="s">
        <v>1392</v>
      </c>
      <c r="G81" s="665" t="s">
        <v>144</v>
      </c>
      <c r="H81" s="676" t="str">
        <f>BIBLE!F139</f>
        <v xml:space="preserve">Dans quelle mesure diriez-vous que l'autre parent accepte ou vit bien avec la séparation (de couple ou familiale) ? </v>
      </c>
      <c r="I81" s="726" t="s">
        <v>84</v>
      </c>
      <c r="J81" s="678"/>
      <c r="K81" s="1324" t="str">
        <f>BIBLE!E217</f>
        <v>NC01</v>
      </c>
      <c r="L81" s="1324" t="str">
        <f>BIBLE!F217</f>
        <v>Le nouveau ou nouvelle conjoint·e joue un rôle de confident·e auprès de votre enfant.</v>
      </c>
      <c r="M81" s="677" t="s">
        <v>345</v>
      </c>
      <c r="N81" s="678"/>
      <c r="O81" s="1671" t="str">
        <f>BIBLE!E165</f>
        <v>E09</v>
      </c>
      <c r="P81" s="1297" t="str">
        <f>BIBLE!F165</f>
        <v xml:space="preserve">Dans quelle mesure diriez-vous que votre enfant vous tient responsable de la peine ou de la frustration de son autre parent ? </v>
      </c>
      <c r="Q81" s="1672" t="str">
        <f>BIBLE!V165</f>
        <v>C: Chantage affectif, loyauté, manipulation</v>
      </c>
      <c r="R81" s="678"/>
      <c r="S81" s="732" t="str">
        <f>BIBLE!E72</f>
        <v>PCR16</v>
      </c>
      <c r="T81" s="732" t="str">
        <f>BIBLE!F72</f>
        <v xml:space="preserve">Dans quelle mesure acceptez-vous ou êtes-vous serein·e avec la séparation (couple et famille) ? </v>
      </c>
      <c r="U81" s="727" t="s">
        <v>84</v>
      </c>
    </row>
    <row r="82" spans="6:21" ht="73" customHeight="1" x14ac:dyDescent="0.2">
      <c r="F82" s="734"/>
      <c r="G82" s="544" t="s">
        <v>145</v>
      </c>
      <c r="H82" s="299" t="str">
        <f>BIBLE!F140</f>
        <v>L’autre parent confie à votre enfant sa peine concernant la séparation.</v>
      </c>
      <c r="I82" s="1686" t="s">
        <v>84</v>
      </c>
      <c r="K82" s="552" t="str">
        <f>BIBLE!E218</f>
        <v>NC01a</v>
      </c>
      <c r="L82" s="552" t="str">
        <f>BIBLE!F218</f>
        <v>Dans quelle mesure cette relation de confident·e vous apparaît être saine ?</v>
      </c>
      <c r="M82" s="2036" t="s">
        <v>345</v>
      </c>
      <c r="O82" s="168" t="str">
        <f>BIBLE!E186</f>
        <v>E23</v>
      </c>
      <c r="P82" s="2037" t="str">
        <f>BIBLE!F186</f>
        <v>Votre enfant se sent responsable du bonheur de l’autre parent ou sent le besoin de le protéger.</v>
      </c>
      <c r="Q82" s="1686" t="s">
        <v>84</v>
      </c>
      <c r="S82" s="544" t="str">
        <f>BIBLE!E73</f>
        <v>PCR16a</v>
      </c>
      <c r="T82" s="544" t="str">
        <f>BIBLE!F73</f>
        <v>Vous confiez à votre enfant votre peine concernant la séparation.</v>
      </c>
      <c r="U82" s="1692" t="s">
        <v>84</v>
      </c>
    </row>
    <row r="83" spans="6:21" ht="63" customHeight="1" thickBot="1" x14ac:dyDescent="0.25">
      <c r="F83" s="328"/>
      <c r="G83" s="329"/>
      <c r="H83" s="329"/>
      <c r="I83" s="329"/>
      <c r="J83" s="329"/>
      <c r="K83" s="329"/>
      <c r="L83" s="329"/>
      <c r="M83" s="329"/>
      <c r="N83" s="329"/>
      <c r="O83" s="1719" t="str">
        <f>BIBLE!E188</f>
        <v>E25</v>
      </c>
      <c r="P83" s="1328" t="str">
        <f>BIBLE!F188</f>
        <v>Dans quelle mesure diriez-vous que votre enfant sent le besoin de protéger l’autre parent ou de défendre ses intérêts ?</v>
      </c>
      <c r="Q83" s="702" t="s">
        <v>84</v>
      </c>
      <c r="R83" s="329"/>
      <c r="S83" s="329"/>
      <c r="T83" s="1299"/>
      <c r="U83" s="749"/>
    </row>
    <row r="84" spans="6:21" ht="49" customHeight="1" x14ac:dyDescent="0.2">
      <c r="F84"/>
      <c r="T84" s="297"/>
      <c r="U84" s="654"/>
    </row>
    <row r="85" spans="6:21" ht="49" customHeight="1" x14ac:dyDescent="0.2">
      <c r="F85"/>
      <c r="T85" s="297"/>
      <c r="U85" s="654"/>
    </row>
    <row r="86" spans="6:21" ht="53" customHeight="1" x14ac:dyDescent="0.2">
      <c r="F86"/>
      <c r="T86" s="297"/>
      <c r="U86" s="654"/>
    </row>
    <row r="87" spans="6:21" ht="13" customHeight="1" x14ac:dyDescent="0.2">
      <c r="F87"/>
      <c r="T87" s="297"/>
      <c r="U87" s="654"/>
    </row>
    <row r="88" spans="6:21" ht="49" customHeight="1" x14ac:dyDescent="0.2">
      <c r="F88"/>
      <c r="T88" s="297"/>
      <c r="U88" s="654"/>
    </row>
    <row r="89" spans="6:21" ht="12" customHeight="1" x14ac:dyDescent="0.2">
      <c r="F89"/>
      <c r="T89" s="297"/>
      <c r="U89" s="654"/>
    </row>
    <row r="90" spans="6:21" ht="50" customHeight="1" x14ac:dyDescent="0.2">
      <c r="F90"/>
      <c r="T90" s="297"/>
      <c r="U90" s="654"/>
    </row>
    <row r="91" spans="6:21" ht="12" customHeight="1" x14ac:dyDescent="0.2">
      <c r="F91"/>
      <c r="T91" s="297"/>
      <c r="U91" s="654"/>
    </row>
    <row r="92" spans="6:21" ht="44" customHeight="1" x14ac:dyDescent="0.2">
      <c r="F92"/>
      <c r="T92" s="297"/>
      <c r="U92" s="654"/>
    </row>
    <row r="93" spans="6:21" ht="17" customHeight="1" x14ac:dyDescent="0.2">
      <c r="F93"/>
      <c r="T93" s="297"/>
      <c r="U93" s="654"/>
    </row>
    <row r="94" spans="6:21" ht="52" customHeight="1" x14ac:dyDescent="0.2">
      <c r="F94"/>
      <c r="T94" s="297"/>
      <c r="U94" s="654"/>
    </row>
    <row r="95" spans="6:21" ht="26" customHeight="1" x14ac:dyDescent="0.2">
      <c r="F95"/>
      <c r="T95" s="297"/>
      <c r="U95" s="654"/>
    </row>
    <row r="96" spans="6:21" ht="57" customHeight="1" x14ac:dyDescent="0.2">
      <c r="F96"/>
      <c r="T96" s="297"/>
      <c r="U96" s="654"/>
    </row>
    <row r="97" spans="6:6" ht="46" customHeight="1" x14ac:dyDescent="0.2"/>
    <row r="102" spans="6:6" x14ac:dyDescent="0.2">
      <c r="F102"/>
    </row>
    <row r="106" spans="6:6" ht="43" customHeight="1" x14ac:dyDescent="0.2"/>
    <row r="107" spans="6:6" ht="43" customHeight="1" x14ac:dyDescent="0.2"/>
    <row r="108" spans="6:6" ht="43" customHeight="1" x14ac:dyDescent="0.2"/>
    <row r="112" spans="6:6" ht="53" customHeight="1" x14ac:dyDescent="0.2"/>
    <row r="113" ht="49" customHeight="1" x14ac:dyDescent="0.2"/>
    <row r="114" ht="16" customHeight="1" x14ac:dyDescent="0.2"/>
    <row r="115" ht="52" customHeight="1" x14ac:dyDescent="0.2"/>
    <row r="116" ht="59" customHeight="1" x14ac:dyDescent="0.2"/>
  </sheetData>
  <mergeCells count="5">
    <mergeCell ref="F11:F12"/>
    <mergeCell ref="F75:F76"/>
    <mergeCell ref="F51:F52"/>
    <mergeCell ref="F43:F44"/>
    <mergeCell ref="F46:F47"/>
  </mergeCells>
  <pageMargins left="0.7" right="0.7" top="0.75" bottom="0.75" header="0.3" footer="0.3"/>
  <pageSetup scale="30" fitToHeight="4" orientation="landscape"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265DD-6BC6-524E-9EE7-2A21EDEB322E}">
  <sheetPr>
    <pageSetUpPr fitToPage="1"/>
  </sheetPr>
  <dimension ref="A1:L40"/>
  <sheetViews>
    <sheetView workbookViewId="0">
      <selection activeCell="L9" sqref="L9"/>
    </sheetView>
    <sheetView workbookViewId="1"/>
  </sheetViews>
  <sheetFormatPr baseColWidth="10" defaultRowHeight="16" x14ac:dyDescent="0.2"/>
  <cols>
    <col min="1" max="1" width="15.6640625" customWidth="1"/>
    <col min="2" max="2" width="19.1640625" customWidth="1"/>
    <col min="4" max="4" width="47" customWidth="1"/>
    <col min="5" max="5" width="17.33203125" customWidth="1"/>
    <col min="6" max="6" width="3.1640625" customWidth="1"/>
    <col min="8" max="8" width="59.1640625" customWidth="1"/>
    <col min="9" max="9" width="16" customWidth="1"/>
    <col min="12" max="12" width="37.5" customWidth="1"/>
    <col min="15" max="15" width="10.83203125" customWidth="1"/>
  </cols>
  <sheetData>
    <row r="1" spans="1:12" ht="26" x14ac:dyDescent="0.3">
      <c r="B1" s="657" t="s">
        <v>1227</v>
      </c>
    </row>
    <row r="2" spans="1:12" ht="19" x14ac:dyDescent="0.25">
      <c r="B2" s="103" t="s">
        <v>1228</v>
      </c>
    </row>
    <row r="8" spans="1:12" ht="17" thickBot="1" x14ac:dyDescent="0.25">
      <c r="B8" s="26"/>
      <c r="C8" s="16"/>
      <c r="D8" s="297"/>
      <c r="E8" s="654"/>
      <c r="F8" s="654"/>
      <c r="G8" s="16"/>
      <c r="H8" s="297"/>
      <c r="I8" s="654"/>
    </row>
    <row r="9" spans="1:12" ht="53" customHeight="1" x14ac:dyDescent="0.2">
      <c r="A9" s="743"/>
      <c r="B9" s="675" t="s">
        <v>713</v>
      </c>
      <c r="C9" s="665" t="str">
        <f>BIBLE!E99</f>
        <v>PFA12</v>
      </c>
      <c r="D9" s="676" t="str">
        <f>BIBLE!F99</f>
        <v>L'autre parent questionne votre enfant à son retour de garde afin de connaître la routine (repas, dodo, activités, etc.) chez vous.</v>
      </c>
      <c r="E9" s="676" t="str">
        <f>BIBLE!V99</f>
        <v>C: Chantage affectif, loyauté, manipulation</v>
      </c>
      <c r="F9" s="2038"/>
      <c r="G9" s="732" t="str">
        <f>BIBLE!E57</f>
        <v>PCR04</v>
      </c>
      <c r="H9" s="2039" t="str">
        <f>BIBLE!F57</f>
        <v>Vous questionnez votre enfant à son retour de garde afin de connaître la routine (repas, dodo, activités, etc.) chez l'autre parent.</v>
      </c>
      <c r="I9" s="723" t="str">
        <f>BIBLE!V57</f>
        <v>C: Chantage affectif, loyauté, manipulation</v>
      </c>
    </row>
    <row r="10" spans="1:12" ht="53" customHeight="1" thickBot="1" x14ac:dyDescent="0.25">
      <c r="A10" s="743"/>
      <c r="B10" s="679"/>
      <c r="C10" s="744"/>
      <c r="D10" s="2040"/>
      <c r="E10" s="2040"/>
      <c r="F10" s="2041"/>
      <c r="G10" s="2042" t="str">
        <f>BIBLE!E58</f>
        <v>PCR06</v>
      </c>
      <c r="H10" s="2043" t="str">
        <f>BIBLE!F58</f>
        <v xml:space="preserve">Vous faites un retour sur les interventions de l'autre parent (nutrition, hygiène, logistique, etc.) au retour des enfants, par courriel ou message texte. </v>
      </c>
      <c r="I10" s="2044" t="s">
        <v>62</v>
      </c>
    </row>
    <row r="11" spans="1:12" ht="17" customHeight="1" thickBot="1" x14ac:dyDescent="0.35">
      <c r="H11" s="319"/>
      <c r="K11" s="1995"/>
      <c r="L11" s="1995"/>
    </row>
    <row r="12" spans="1:12" ht="79" customHeight="1" thickBot="1" x14ac:dyDescent="0.35">
      <c r="A12" s="79"/>
      <c r="B12" s="681" t="s">
        <v>828</v>
      </c>
      <c r="C12" s="664" t="str">
        <f>BIBLE!E121</f>
        <v>PFA22</v>
      </c>
      <c r="D12" s="664" t="str">
        <f>BIBLE!F121</f>
        <v>Dans quelle mesure diriez-vous que l'autre parent accepte ou vit bien avec les exigences de la coparentalité (logistique horaire, transport, vacances, etc.) ?</v>
      </c>
      <c r="E12" s="695" t="s">
        <v>65</v>
      </c>
      <c r="F12" s="669"/>
      <c r="G12" s="739" t="str">
        <f>BIBLE!E64</f>
        <v>PCR10</v>
      </c>
      <c r="H12" s="1989" t="str">
        <f>BIBLE!F64</f>
        <v>Dans quelle mesure acceptez-vous ou êtes-vous serein·e face aux exigences de la coparentalité (logistique horaire, transport, vacances, etc.) ?</v>
      </c>
      <c r="I12" s="692" t="s">
        <v>65</v>
      </c>
      <c r="K12" s="1995"/>
      <c r="L12" s="1995"/>
    </row>
    <row r="13" spans="1:12" ht="17" customHeight="1" thickBot="1" x14ac:dyDescent="0.35">
      <c r="H13" s="319"/>
      <c r="K13" s="1995"/>
      <c r="L13" s="1995"/>
    </row>
    <row r="14" spans="1:12" ht="34" x14ac:dyDescent="0.3">
      <c r="A14" s="79"/>
      <c r="B14" s="675" t="s">
        <v>829</v>
      </c>
      <c r="C14" s="665" t="str">
        <f>BIBLE!E119</f>
        <v>PFA21</v>
      </c>
      <c r="D14" s="676" t="s">
        <v>553</v>
      </c>
      <c r="E14" s="740" t="s">
        <v>65</v>
      </c>
      <c r="F14" s="678"/>
      <c r="G14" s="1456" t="str">
        <f>BIBLE!E63</f>
        <v>PCR19</v>
      </c>
      <c r="H14" s="687" t="str">
        <f>BIBLE!F63</f>
        <v>Dans quelle mesure considérez-vous l'autre parent comme étant votre égal·e sur le plan parental ?</v>
      </c>
      <c r="I14" s="694" t="s">
        <v>44</v>
      </c>
      <c r="J14" s="314"/>
      <c r="K14" s="1995"/>
      <c r="L14" s="1995"/>
    </row>
    <row r="15" spans="1:12" ht="51" customHeight="1" thickBot="1" x14ac:dyDescent="0.35">
      <c r="A15" s="743"/>
      <c r="B15" s="679" t="s">
        <v>1908</v>
      </c>
      <c r="C15" s="744" t="str">
        <f>Test_Bible!A206</f>
        <v>PFA40</v>
      </c>
      <c r="D15" s="744" t="str">
        <f>Test_Bible!B206</f>
        <v>L'autre parent sent qu’il est en compétition avec vous pour l’amour de votre enfant.</v>
      </c>
      <c r="E15" s="741" t="s">
        <v>65</v>
      </c>
      <c r="F15" s="329"/>
      <c r="G15" s="329"/>
      <c r="H15" s="1990"/>
      <c r="I15" s="330"/>
      <c r="K15" s="1995"/>
      <c r="L15" s="1995"/>
    </row>
    <row r="16" spans="1:12" ht="10" customHeight="1" thickBot="1" x14ac:dyDescent="0.35">
      <c r="A16" s="7"/>
      <c r="B16" s="26"/>
      <c r="C16" s="16"/>
      <c r="D16" s="297"/>
      <c r="E16" s="654"/>
      <c r="H16" s="319"/>
      <c r="K16" s="1995"/>
      <c r="L16" s="1995"/>
    </row>
    <row r="17" spans="1:12" ht="71" customHeight="1" thickBot="1" x14ac:dyDescent="0.25">
      <c r="A17" s="743"/>
      <c r="B17" s="1566" t="s">
        <v>1271</v>
      </c>
      <c r="C17" s="664" t="str">
        <f>BIBLE!E80</f>
        <v>PFA00</v>
      </c>
      <c r="D17" s="664" t="str">
        <f>BIBLE!F80</f>
        <v>L'autre parent (coparent) accepte de faire des compromis afin d'assurer une bonne entente de garde.</v>
      </c>
      <c r="E17" s="664" t="str">
        <f>BIBLE!V80</f>
        <v>C: Chantage affectif, loyauté, manipulation</v>
      </c>
      <c r="F17" s="1569"/>
      <c r="G17" s="1988" t="str">
        <f>BIBLE!E55</f>
        <v>PCR02</v>
      </c>
      <c r="H17" s="685" t="str">
        <f>BIBLE!F55</f>
        <v>Vous devez faire des compromis afin d'assurer une bonne entente de garde.</v>
      </c>
      <c r="I17" s="2046" t="str">
        <f>BIBLE!V55</f>
        <v>C: Chantage affectif, loyauté, manipulation</v>
      </c>
    </row>
    <row r="18" spans="1:12" ht="13" customHeight="1" thickBot="1" x14ac:dyDescent="0.25">
      <c r="A18" s="863"/>
      <c r="B18" s="1570"/>
      <c r="C18" s="1717"/>
      <c r="D18" s="1568"/>
      <c r="E18" s="1567"/>
      <c r="F18" s="1571"/>
      <c r="G18" s="1717"/>
      <c r="H18" s="1991"/>
      <c r="I18" s="1567"/>
    </row>
    <row r="19" spans="1:12" ht="51" customHeight="1" thickBot="1" x14ac:dyDescent="0.25">
      <c r="A19" s="743"/>
      <c r="B19" s="1566" t="s">
        <v>1293</v>
      </c>
      <c r="C19" s="683" t="str">
        <f>BIBLE!E31</f>
        <v>B11a1</v>
      </c>
      <c r="D19" s="1305" t="str">
        <f>BIBLE!F31</f>
        <v>Est-ce que l'autre parent (coparent) respecte les ordonnances ou les jugements de la Cour ?</v>
      </c>
      <c r="E19" s="1305" t="str">
        <f>BIBLE!V31</f>
        <v>E: Interférence temps et/ou communication</v>
      </c>
      <c r="F19" s="1569"/>
      <c r="G19" s="683" t="str">
        <f>BIBLE!E32</f>
        <v>B11b</v>
      </c>
      <c r="H19" s="1305" t="str">
        <f>BIBLE!F32</f>
        <v>De votre côté-vous, respectez-vous les ordonnances et l'entente de garde ?</v>
      </c>
      <c r="I19" s="2047" t="str">
        <f>BIBLE!V32</f>
        <v>E: Interférence temps et/ou communication</v>
      </c>
    </row>
    <row r="20" spans="1:12" ht="13" customHeight="1" thickBot="1" x14ac:dyDescent="0.25">
      <c r="A20" s="863"/>
      <c r="B20" s="26"/>
      <c r="C20" s="1484"/>
      <c r="D20" s="1485"/>
      <c r="E20" s="1484"/>
      <c r="F20" s="655"/>
      <c r="G20" s="1484"/>
      <c r="H20" s="1992"/>
      <c r="I20" s="1484"/>
    </row>
    <row r="21" spans="1:12" ht="52" thickBot="1" x14ac:dyDescent="0.25">
      <c r="A21" s="2253" t="s">
        <v>1249</v>
      </c>
      <c r="B21" s="681" t="s">
        <v>842</v>
      </c>
      <c r="C21" s="664" t="str">
        <f>BIBLE!E96</f>
        <v>PFA10</v>
      </c>
      <c r="D21" s="664" t="str">
        <f>BIBLE!F96</f>
        <v>L’autre parent vous salue lors de changements de garde, à l'école ou lors d'événements culturels ou sportifs.</v>
      </c>
      <c r="E21" s="736" t="s">
        <v>69</v>
      </c>
      <c r="F21" s="670"/>
      <c r="G21" s="684" t="str">
        <f>BIBLE!E56</f>
        <v>PCR03</v>
      </c>
      <c r="H21" s="1993" t="str">
        <f>BIBLE!F56</f>
        <v xml:space="preserve">Vous saluez ou allez vers l'autre parent lors de changements de garde, à l'école ou lors d'événements culturels ou sportifs. </v>
      </c>
      <c r="I21" s="737" t="s">
        <v>69</v>
      </c>
    </row>
    <row r="22" spans="1:12" ht="17" thickBot="1" x14ac:dyDescent="0.25">
      <c r="A22" s="2253"/>
      <c r="B22" s="26"/>
      <c r="H22" s="319"/>
    </row>
    <row r="23" spans="1:12" ht="65" customHeight="1" thickBot="1" x14ac:dyDescent="0.25">
      <c r="A23" s="2253"/>
      <c r="B23" s="681" t="s">
        <v>841</v>
      </c>
      <c r="C23" s="664" t="str">
        <f>BIBLE!E100</f>
        <v>PFA13</v>
      </c>
      <c r="D23" s="664" t="str">
        <f>BIBLE!F100</f>
        <v>L’autre parent vous dénigre en la présence de votre enfant.</v>
      </c>
      <c r="E23" s="691" t="s">
        <v>62</v>
      </c>
      <c r="F23" s="670"/>
      <c r="G23" s="684" t="str">
        <f>BIBLE!E60</f>
        <v>PCR07</v>
      </c>
      <c r="H23" s="1993" t="str">
        <f>BIBLE!F60</f>
        <v>Il vous arrive de faire des reproches à l'autre parent devant votre enfant.</v>
      </c>
      <c r="I23" s="857" t="s">
        <v>62</v>
      </c>
    </row>
    <row r="24" spans="1:12" ht="17" thickBot="1" x14ac:dyDescent="0.25">
      <c r="A24" s="2253"/>
      <c r="B24" s="26"/>
      <c r="C24" s="16"/>
      <c r="D24" s="297"/>
      <c r="E24" s="654"/>
      <c r="G24" s="534"/>
      <c r="H24" s="297"/>
      <c r="I24" s="655"/>
    </row>
    <row r="25" spans="1:12" ht="52" thickBot="1" x14ac:dyDescent="0.25">
      <c r="A25" s="2253"/>
      <c r="B25" s="858" t="s">
        <v>840</v>
      </c>
      <c r="C25" s="664" t="str">
        <f>BIBLE!E107</f>
        <v>PFA16</v>
      </c>
      <c r="D25" s="664" t="str">
        <f>BIBLE!F107</f>
        <v>L'autre parent impose des changements d’horaires sans vous consulter au préalable et sans votre autorisation.</v>
      </c>
      <c r="E25" s="706" t="s">
        <v>44</v>
      </c>
      <c r="F25" s="670"/>
      <c r="G25" s="684" t="str">
        <f>BIBLE!E66</f>
        <v>PCR12</v>
      </c>
      <c r="H25" s="1993" t="str">
        <f>BIBLE!F66</f>
        <v>Il vous arrive de prendre des décisions sans consulter l'autre parent.</v>
      </c>
      <c r="I25" s="692" t="s">
        <v>65</v>
      </c>
    </row>
    <row r="26" spans="1:12" ht="17" thickBot="1" x14ac:dyDescent="0.25">
      <c r="A26" s="2253"/>
      <c r="B26" s="26"/>
      <c r="D26" s="319"/>
      <c r="H26" s="319"/>
    </row>
    <row r="27" spans="1:12" ht="52" customHeight="1" thickBot="1" x14ac:dyDescent="0.25">
      <c r="A27" s="2253"/>
      <c r="B27" s="858" t="s">
        <v>717</v>
      </c>
      <c r="C27" s="664" t="str">
        <f>BIBLE!E145</f>
        <v>PFA35</v>
      </c>
      <c r="D27" s="668" t="str">
        <f>BIBLE!F145</f>
        <v>L’autre parent laisse à votre enfant le droit de respecter ou non l'entente de garde et votre temps (tour) de garde.</v>
      </c>
      <c r="E27" s="697" t="s">
        <v>149</v>
      </c>
      <c r="F27" s="670"/>
      <c r="G27" s="739" t="str">
        <f>BIBLE!E62</f>
        <v>PCR09</v>
      </c>
      <c r="H27" s="1994" t="str">
        <f>BIBLE!F62</f>
        <v>Vous laissez à votre enfant le droit de choisir la fréquence des visites et le temps qu'il passe chez l'autre parent.</v>
      </c>
      <c r="I27" s="725" t="s">
        <v>44</v>
      </c>
    </row>
    <row r="28" spans="1:12" ht="17" thickBot="1" x14ac:dyDescent="0.25">
      <c r="A28" s="2253"/>
      <c r="B28" s="26"/>
      <c r="C28" s="16"/>
      <c r="D28" s="297"/>
      <c r="E28" s="654"/>
      <c r="G28" s="8"/>
      <c r="H28" s="297"/>
      <c r="I28" s="655"/>
    </row>
    <row r="29" spans="1:12" ht="72" customHeight="1" thickBot="1" x14ac:dyDescent="0.25">
      <c r="A29" s="2253"/>
      <c r="B29" s="681" t="s">
        <v>847</v>
      </c>
      <c r="C29" s="664" t="str">
        <f>BIBLE!E112</f>
        <v>PFA18</v>
      </c>
      <c r="D29" s="668" t="str">
        <f>BIBLE!F112</f>
        <v>À quelle fréquence l’autre parent communique-t-il ou elle avec votre enfant durant votre temps de garde ? (tél., textos, réseaux sociaux, etc.)</v>
      </c>
      <c r="E29" s="706" t="s">
        <v>44</v>
      </c>
      <c r="F29" s="670"/>
      <c r="G29" s="684" t="str">
        <f>BIBLE!E61</f>
        <v>PCR08</v>
      </c>
      <c r="H29" s="1993" t="str">
        <f>BIBLE!F61</f>
        <v>À quelle fréquence communiquez-vous avec votre enfant lorsqu’il ou elle est chez l‘autre parent ?</v>
      </c>
      <c r="I29" s="725" t="s">
        <v>44</v>
      </c>
    </row>
    <row r="30" spans="1:12" ht="17" thickBot="1" x14ac:dyDescent="0.25">
      <c r="A30" s="2253"/>
      <c r="B30" s="26"/>
      <c r="D30" s="319"/>
      <c r="H30" s="319"/>
    </row>
    <row r="31" spans="1:12" ht="52" thickBot="1" x14ac:dyDescent="0.25">
      <c r="A31" s="2253"/>
      <c r="B31" s="681" t="s">
        <v>846</v>
      </c>
      <c r="C31" s="664" t="str">
        <f>BIBLE!E94</f>
        <v>PFA09</v>
      </c>
      <c r="D31" s="668" t="str">
        <f>BIBLE!F94</f>
        <v>Arrive-t-il que l'autre parent vous accable de reproches par courriel ou texto au retour des enfants (après votre tour de garde) ?</v>
      </c>
      <c r="E31" s="736" t="s">
        <v>69</v>
      </c>
      <c r="F31" s="670"/>
      <c r="K31" s="16"/>
      <c r="L31" s="297"/>
    </row>
    <row r="32" spans="1:12" ht="17" thickBot="1" x14ac:dyDescent="0.25">
      <c r="A32" s="2253"/>
      <c r="B32" s="26"/>
      <c r="C32" s="16"/>
      <c r="D32" s="297"/>
      <c r="E32" s="654"/>
      <c r="H32" s="319"/>
    </row>
    <row r="33" spans="1:9" ht="52" thickBot="1" x14ac:dyDescent="0.25">
      <c r="A33" s="2253"/>
      <c r="B33" s="681" t="s">
        <v>402</v>
      </c>
      <c r="C33" s="664" t="str">
        <f>BIBLE!E142</f>
        <v>PFA32</v>
      </c>
      <c r="D33" s="668" t="str">
        <f>BIBLE!F142</f>
        <v>L'autre parent fait lire vos échanges et communications (courriels, textos, etc.) à votre enfant.</v>
      </c>
      <c r="E33" s="696" t="s">
        <v>84</v>
      </c>
      <c r="F33" s="670"/>
      <c r="G33" s="684" t="str">
        <f>BIBLE!E70</f>
        <v>PCR15</v>
      </c>
      <c r="H33" s="1993" t="str">
        <f>BIBLE!F70</f>
        <v>Il est important que votre enfant soit au courant des enjeux de la séparation et/ou du conflit qui vous oppose à l'autre parent.</v>
      </c>
      <c r="I33" s="738" t="s">
        <v>84</v>
      </c>
    </row>
    <row r="34" spans="1:9" ht="17" thickBot="1" x14ac:dyDescent="0.25">
      <c r="A34" s="2253"/>
      <c r="B34" s="26"/>
      <c r="C34" s="16"/>
      <c r="D34" s="297"/>
      <c r="E34" s="654"/>
      <c r="G34" s="662"/>
      <c r="H34" s="297"/>
      <c r="I34" s="654"/>
    </row>
    <row r="35" spans="1:9" ht="52" thickBot="1" x14ac:dyDescent="0.25">
      <c r="A35" s="2253"/>
      <c r="B35" s="681" t="s">
        <v>845</v>
      </c>
      <c r="C35" s="664" t="str">
        <f>BIBLE!E144</f>
        <v>PFA34</v>
      </c>
      <c r="D35" s="668" t="str">
        <f>BIBLE!F144</f>
        <v>L’autre parent refuse de vous parler et demande à votre enfant de faire les messages et autres demandes entourant la logistique familiale.</v>
      </c>
      <c r="E35" s="697" t="s">
        <v>149</v>
      </c>
      <c r="F35" s="670"/>
      <c r="G35" s="684" t="str">
        <f>BIBLE!E68</f>
        <v>PCR13</v>
      </c>
      <c r="H35" s="1993" t="str">
        <f>BIBLE!F68</f>
        <v>Le contexte de coparentalité vous contraint à demander à votre enfant de faire les messages et demandes entourant la logistique familiale.</v>
      </c>
      <c r="I35" s="698" t="s">
        <v>84</v>
      </c>
    </row>
    <row r="36" spans="1:9" ht="17" thickBot="1" x14ac:dyDescent="0.25">
      <c r="A36" s="2253"/>
      <c r="B36" s="26"/>
      <c r="D36" s="319"/>
      <c r="H36" s="319"/>
    </row>
    <row r="37" spans="1:9" ht="35" thickBot="1" x14ac:dyDescent="0.25">
      <c r="A37" s="2253"/>
      <c r="B37" s="681" t="s">
        <v>844</v>
      </c>
      <c r="C37" s="664" t="str">
        <f>BIBLE!E97</f>
        <v>PFA11</v>
      </c>
      <c r="D37" s="668" t="str">
        <f>BIBLE!F97</f>
        <v xml:space="preserve">L'autre parent est d'avis que votre enfant est assez mature pour choisir où il doit vivre et avec quel parent.  </v>
      </c>
      <c r="E37" s="736" t="s">
        <v>69</v>
      </c>
      <c r="F37" s="670"/>
      <c r="G37" s="684" t="str">
        <f>BIBLE!E69</f>
        <v>PCR14</v>
      </c>
      <c r="H37" s="1993" t="str">
        <f>BIBLE!F69</f>
        <v>Un enfant de 12 ans est assez mature pour choisir où et avec qui il veut vivre.</v>
      </c>
      <c r="I37" s="698" t="s">
        <v>84</v>
      </c>
    </row>
    <row r="38" spans="1:9" ht="17" thickBot="1" x14ac:dyDescent="0.25">
      <c r="A38" s="2253"/>
      <c r="B38" s="297"/>
      <c r="C38" s="662"/>
      <c r="D38" s="297"/>
      <c r="E38" s="654"/>
      <c r="G38" s="662"/>
      <c r="H38" s="297"/>
      <c r="I38" s="654"/>
    </row>
    <row r="39" spans="1:9" ht="52" thickBot="1" x14ac:dyDescent="0.25">
      <c r="A39" s="2253"/>
      <c r="B39" s="681" t="s">
        <v>848</v>
      </c>
      <c r="C39" s="664" t="str">
        <f>BIBLE!E129</f>
        <v>PFA28</v>
      </c>
      <c r="D39" s="668" t="str">
        <f>BIBLE!F129</f>
        <v xml:space="preserve">L’autre parent permet à votre enfant d'apporter des objets (jouets ou cadeaux reçus) provenant de chez vous. </v>
      </c>
      <c r="E39" s="695" t="s">
        <v>65</v>
      </c>
      <c r="F39" s="670"/>
      <c r="G39" s="739" t="str">
        <f>BIBLE!E65</f>
        <v>PCR11</v>
      </c>
      <c r="H39" s="1994" t="str">
        <f>BIBLE!F65</f>
        <v>Vous acceptez que les vêtements et/ou jouets de votre enfant se promènent d’une maison à l’autre.</v>
      </c>
      <c r="I39" s="692" t="s">
        <v>65</v>
      </c>
    </row>
    <row r="40" spans="1:9" x14ac:dyDescent="0.2">
      <c r="A40" s="2253"/>
      <c r="G40" s="662"/>
      <c r="H40" s="297"/>
      <c r="I40" s="654"/>
    </row>
  </sheetData>
  <mergeCells count="1">
    <mergeCell ref="A21:A40"/>
  </mergeCells>
  <phoneticPr fontId="11" type="noConversion"/>
  <pageMargins left="0.7" right="0.7" top="0.75" bottom="0.75" header="0.3" footer="0.3"/>
  <pageSetup scale="56" fitToHeight="2" orientation="landscape" horizontalDpi="0" verticalDpi="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9A9-26BE-A847-80B3-009238018E72}">
  <sheetPr>
    <pageSetUpPr fitToPage="1"/>
  </sheetPr>
  <dimension ref="A1:CW647"/>
  <sheetViews>
    <sheetView topLeftCell="A46" zoomScale="74" zoomScaleNormal="74" workbookViewId="0">
      <selection activeCell="Q52" sqref="P52:Q52"/>
    </sheetView>
    <sheetView workbookViewId="1"/>
  </sheetViews>
  <sheetFormatPr baseColWidth="10" defaultColWidth="11" defaultRowHeight="26" x14ac:dyDescent="0.3"/>
  <cols>
    <col min="2" max="2" width="15" style="1995" customWidth="1"/>
    <col min="3" max="3" width="12" customWidth="1"/>
    <col min="4" max="4" width="59" customWidth="1"/>
    <col min="5" max="5" width="30.33203125" customWidth="1"/>
    <col min="6" max="6" width="10.6640625" customWidth="1"/>
    <col min="7" max="7" width="11.33203125" customWidth="1"/>
    <col min="8" max="8" width="11.5" customWidth="1"/>
    <col min="9" max="9" width="14.1640625" bestFit="1" customWidth="1"/>
    <col min="10" max="10" width="16.1640625" customWidth="1"/>
    <col min="11" max="11" width="26.33203125" customWidth="1"/>
    <col min="12" max="15" width="26.33203125" hidden="1" customWidth="1"/>
    <col min="16" max="16" width="26.33203125" customWidth="1"/>
    <col min="17" max="21" width="16.1640625" customWidth="1"/>
    <col min="22" max="29" width="6.6640625" hidden="1" customWidth="1"/>
    <col min="30" max="30" width="6.6640625" customWidth="1"/>
    <col min="31" max="34" width="5.83203125" customWidth="1"/>
    <col min="35" max="35" width="8.83203125" customWidth="1"/>
    <col min="36" max="36" width="6.83203125" hidden="1" customWidth="1"/>
    <col min="37" max="39" width="12.6640625" hidden="1" customWidth="1"/>
    <col min="40" max="42" width="12.6640625" customWidth="1"/>
    <col min="43" max="47" width="12.6640625" style="5" customWidth="1"/>
    <col min="48" max="48" width="11.33203125" style="5" customWidth="1"/>
    <col min="49" max="49" width="6.83203125" customWidth="1"/>
    <col min="50" max="50" width="32.83203125" customWidth="1"/>
    <col min="51" max="51" width="6.83203125" customWidth="1"/>
    <col min="52" max="54" width="12.1640625" customWidth="1"/>
    <col min="55" max="55" width="9.33203125" customWidth="1"/>
    <col min="56" max="56" width="38" customWidth="1"/>
    <col min="58" max="58" width="8" customWidth="1"/>
    <col min="59" max="59" width="77.5" customWidth="1"/>
    <col min="60" max="60" width="6.6640625" customWidth="1"/>
    <col min="61" max="61" width="78" customWidth="1"/>
    <col min="62" max="62" width="6.6640625" customWidth="1"/>
    <col min="63" max="63" width="69.5" customWidth="1"/>
    <col min="64" max="64" width="8.6640625" customWidth="1"/>
    <col min="68" max="68" width="15.1640625" customWidth="1"/>
    <col min="74" max="75" width="0" hidden="1" customWidth="1"/>
    <col min="76" max="76" width="14" hidden="1" customWidth="1"/>
    <col min="77" max="77" width="11" hidden="1" customWidth="1"/>
    <col min="78" max="78" width="37.6640625" hidden="1" customWidth="1"/>
    <col min="79" max="79" width="6" hidden="1" customWidth="1"/>
    <col min="80" max="80" width="0" hidden="1" customWidth="1"/>
    <col min="81" max="81" width="39.33203125" hidden="1" customWidth="1"/>
    <col min="82" max="83" width="0" hidden="1" customWidth="1"/>
    <col min="84" max="84" width="32.83203125" hidden="1" customWidth="1"/>
    <col min="85" max="90" width="0" hidden="1" customWidth="1"/>
  </cols>
  <sheetData>
    <row r="1" spans="3:91" x14ac:dyDescent="0.3">
      <c r="C1" s="563"/>
      <c r="D1" s="50"/>
      <c r="E1" s="50"/>
      <c r="F1" s="50"/>
      <c r="G1" s="50"/>
      <c r="H1" s="50"/>
      <c r="I1" s="50"/>
      <c r="J1" s="50"/>
      <c r="K1" s="50"/>
      <c r="L1" s="50"/>
      <c r="M1" s="50"/>
      <c r="N1" s="63"/>
      <c r="BG1" s="63" t="s">
        <v>298</v>
      </c>
      <c r="BI1" s="63"/>
      <c r="BK1" s="63"/>
      <c r="BW1" s="96"/>
      <c r="BX1" s="63" t="s">
        <v>313</v>
      </c>
      <c r="CH1" s="509"/>
      <c r="CI1" s="509"/>
      <c r="CJ1" s="509"/>
      <c r="CK1" s="509"/>
      <c r="CL1" s="510"/>
      <c r="CM1" s="510"/>
    </row>
    <row r="2" spans="3:91" x14ac:dyDescent="0.3">
      <c r="C2" s="563" t="s">
        <v>536</v>
      </c>
      <c r="D2" s="50"/>
      <c r="E2" s="50"/>
      <c r="F2" s="50"/>
      <c r="G2" s="50"/>
      <c r="H2" s="50"/>
      <c r="I2" s="50"/>
      <c r="J2" s="50"/>
      <c r="K2" s="50"/>
      <c r="L2" s="50"/>
      <c r="M2" s="50"/>
      <c r="N2" s="63"/>
      <c r="BC2" s="644" t="s">
        <v>2013</v>
      </c>
      <c r="BG2" s="63"/>
      <c r="BI2" s="63"/>
      <c r="BK2" s="63"/>
      <c r="BW2" s="96"/>
      <c r="BX2" s="63"/>
      <c r="CH2" s="509"/>
      <c r="CI2" s="509"/>
      <c r="CJ2" s="509"/>
      <c r="CK2" s="509"/>
      <c r="CL2" s="510"/>
      <c r="CM2" s="510"/>
    </row>
    <row r="3" spans="3:91" ht="40" x14ac:dyDescent="0.3">
      <c r="C3" s="50" t="s">
        <v>535</v>
      </c>
      <c r="D3" s="50"/>
      <c r="E3" s="50"/>
      <c r="F3" s="50"/>
      <c r="G3" s="50"/>
      <c r="H3" s="50"/>
      <c r="I3" s="50"/>
      <c r="J3" s="50"/>
      <c r="K3" s="50"/>
      <c r="L3" s="50"/>
      <c r="M3" s="50"/>
      <c r="N3" s="63"/>
      <c r="BA3" s="1" t="s">
        <v>734</v>
      </c>
      <c r="BB3" s="1" t="s">
        <v>733</v>
      </c>
      <c r="BC3" s="1" t="s">
        <v>735</v>
      </c>
      <c r="BD3" t="s">
        <v>404</v>
      </c>
      <c r="BF3" s="818" t="s">
        <v>809</v>
      </c>
      <c r="BG3" s="480" t="s">
        <v>299</v>
      </c>
      <c r="BH3" s="7"/>
      <c r="BI3" s="817" t="s">
        <v>300</v>
      </c>
      <c r="BJ3" s="816"/>
      <c r="BK3" s="468" t="s">
        <v>301</v>
      </c>
      <c r="BW3" s="97"/>
      <c r="CH3" s="509"/>
      <c r="CI3" s="509"/>
      <c r="CJ3" s="509"/>
      <c r="CK3" s="509"/>
      <c r="CL3" s="510"/>
      <c r="CM3" s="510"/>
    </row>
    <row r="4" spans="3:91" x14ac:dyDescent="0.3">
      <c r="C4" s="50" t="s">
        <v>476</v>
      </c>
      <c r="M4" s="50"/>
      <c r="N4" s="63"/>
      <c r="AZ4" s="2" t="str">
        <f>D30</f>
        <v>Demande de garder des secrets</v>
      </c>
      <c r="BA4">
        <f>AK47</f>
        <v>1</v>
      </c>
      <c r="BB4">
        <f>AL47</f>
        <v>1</v>
      </c>
      <c r="BC4">
        <f>AM47</f>
        <v>0</v>
      </c>
      <c r="BD4" s="822" t="str">
        <f>D30</f>
        <v>Demande de garder des secrets</v>
      </c>
      <c r="BE4" s="823" t="s">
        <v>302</v>
      </c>
      <c r="BF4" s="824">
        <f>H42</f>
        <v>34</v>
      </c>
      <c r="BG4" s="825" t="str">
        <f>IF(L42="","",L42)</f>
        <v>ne doit pas raconter ce qui se passe</v>
      </c>
      <c r="BH4" s="826" t="s">
        <v>303</v>
      </c>
      <c r="BI4" s="825" t="str">
        <f>IF(N42="","",N42)</f>
        <v/>
      </c>
      <c r="BJ4" s="827" t="s">
        <v>304</v>
      </c>
      <c r="BK4" s="825" t="str">
        <f>IF(M42="","",M42)</f>
        <v/>
      </c>
      <c r="BW4" s="15"/>
      <c r="BX4" s="104" t="s">
        <v>314</v>
      </c>
      <c r="CH4" s="509"/>
      <c r="CI4" s="509"/>
      <c r="CJ4" s="509"/>
      <c r="CK4" s="509"/>
      <c r="CL4" s="510"/>
      <c r="CM4" s="510"/>
    </row>
    <row r="5" spans="3:91" ht="36" customHeight="1" x14ac:dyDescent="0.3">
      <c r="C5" s="50"/>
      <c r="D5" s="50" t="s">
        <v>477</v>
      </c>
      <c r="E5" s="564"/>
      <c r="N5" s="63"/>
      <c r="AZ5" s="2" t="str">
        <f>D50</f>
        <v>Abandon de la famille</v>
      </c>
      <c r="BA5">
        <f>AK67</f>
        <v>1</v>
      </c>
      <c r="BB5">
        <f>AL67</f>
        <v>1</v>
      </c>
      <c r="BC5">
        <f>AM67</f>
        <v>0</v>
      </c>
      <c r="BD5" s="828" t="str">
        <f>D50</f>
        <v>Abandon de la famille</v>
      </c>
      <c r="BE5" s="829" t="s">
        <v>302</v>
      </c>
      <c r="BF5" s="830">
        <f>H62</f>
        <v>8</v>
      </c>
      <c r="BG5" s="831" t="str">
        <f>IF(L62="","",L62)</f>
        <v/>
      </c>
      <c r="BH5" s="832" t="s">
        <v>303</v>
      </c>
      <c r="BI5" s="831" t="str">
        <f>IF(N62="","",N62)</f>
        <v>vous reproche d'avoir abandonné la famille sans signe de la participation du parent favorisé et|ou nouveau conjoint.e</v>
      </c>
      <c r="BJ5" s="833" t="s">
        <v>304</v>
      </c>
      <c r="BK5" s="831" t="str">
        <f>IF(M62="","",M62)</f>
        <v/>
      </c>
      <c r="BL5" s="72"/>
      <c r="BW5" s="99" t="s">
        <v>315</v>
      </c>
      <c r="BX5" s="95" t="s">
        <v>316</v>
      </c>
      <c r="BY5" s="10"/>
      <c r="BZ5" s="95" t="s">
        <v>317</v>
      </c>
      <c r="CA5" s="10"/>
      <c r="CB5" s="10"/>
      <c r="CC5" s="95" t="s">
        <v>318</v>
      </c>
      <c r="CD5" s="10"/>
    </row>
    <row r="6" spans="3:91" ht="30" customHeight="1" x14ac:dyDescent="0.3">
      <c r="C6" s="50"/>
      <c r="D6" s="50"/>
      <c r="E6" s="50"/>
      <c r="F6" s="50" t="s">
        <v>478</v>
      </c>
      <c r="G6" s="50"/>
      <c r="H6" s="50"/>
      <c r="I6" s="50"/>
      <c r="J6" s="50"/>
      <c r="K6" s="50"/>
      <c r="L6" s="50" t="s">
        <v>486</v>
      </c>
      <c r="M6" s="50" t="s">
        <v>531</v>
      </c>
      <c r="N6" s="63"/>
      <c r="AZ6" s="2" t="str">
        <f>D69</f>
        <v>Accusation de maladie mentale et dangerosité</v>
      </c>
      <c r="BA6">
        <f>AK86</f>
        <v>1</v>
      </c>
      <c r="BB6">
        <f>AL86</f>
        <v>0</v>
      </c>
      <c r="BC6">
        <f>AM86</f>
        <v>1</v>
      </c>
      <c r="BD6" s="828" t="str">
        <f>D69</f>
        <v>Accusation de maladie mentale et dangerosité</v>
      </c>
      <c r="BE6" s="829" t="s">
        <v>302</v>
      </c>
      <c r="BF6" s="830">
        <f>H81</f>
        <v>12</v>
      </c>
      <c r="BG6" s="831" t="str">
        <f>IF(L81="","",L81)</f>
        <v/>
      </c>
      <c r="BH6" s="832" t="s">
        <v>303</v>
      </c>
      <c r="BI6" s="831" t="str">
        <f>IF(N81="","",N81)</f>
        <v>croit que vous êtes instable psychologiquement sans signe de la participation du parent favorisé et|ou nouveau conjoint.e</v>
      </c>
      <c r="BJ6" s="833" t="s">
        <v>304</v>
      </c>
      <c r="BK6" s="831" t="str">
        <f>IF(M81="","",M81)</f>
        <v/>
      </c>
      <c r="BL6" s="72"/>
      <c r="BW6" s="98"/>
      <c r="BX6" s="16" t="s">
        <v>319</v>
      </c>
      <c r="BY6" s="7"/>
      <c r="BZ6" s="91" t="s">
        <v>320</v>
      </c>
      <c r="CA6" s="7"/>
      <c r="CB6" s="7"/>
      <c r="CC6" s="7" t="s">
        <v>321</v>
      </c>
      <c r="CD6" s="7"/>
      <c r="CE6" s="7"/>
      <c r="CF6" s="2269" t="s">
        <v>322</v>
      </c>
      <c r="CG6" s="2226" t="b">
        <v>1</v>
      </c>
    </row>
    <row r="7" spans="3:91" x14ac:dyDescent="0.3">
      <c r="C7" s="50"/>
      <c r="F7" s="50" t="s">
        <v>479</v>
      </c>
      <c r="G7" s="50"/>
      <c r="H7" s="50"/>
      <c r="I7" s="50"/>
      <c r="J7" s="50"/>
      <c r="K7" s="50"/>
      <c r="L7" s="50" t="s">
        <v>483</v>
      </c>
      <c r="M7" s="50" t="s">
        <v>532</v>
      </c>
      <c r="N7" s="63"/>
      <c r="AZ7" s="2" t="str">
        <f>D88</f>
        <v>Manque de sécurité</v>
      </c>
      <c r="BA7">
        <f>AK105</f>
        <v>1</v>
      </c>
      <c r="BB7">
        <f>AL105</f>
        <v>1</v>
      </c>
      <c r="BC7">
        <f>AM105</f>
        <v>1</v>
      </c>
      <c r="BD7" s="828" t="str">
        <f>D88</f>
        <v>Manque de sécurité</v>
      </c>
      <c r="BE7" s="829" t="s">
        <v>302</v>
      </c>
      <c r="BF7" s="830">
        <f>H100</f>
        <v>2</v>
      </c>
      <c r="BG7" s="831" t="str">
        <f>IF(L100="","",L100)</f>
        <v/>
      </c>
      <c r="BH7" s="832" t="s">
        <v>303</v>
      </c>
      <c r="BI7" s="831" t="str">
        <f>IF(N100="","",N100)</f>
        <v/>
      </c>
      <c r="BJ7" s="833" t="s">
        <v>304</v>
      </c>
      <c r="BK7" s="831" t="str">
        <f>IF(M100="","",M100)</f>
        <v/>
      </c>
      <c r="BL7" s="72"/>
      <c r="BW7" s="7"/>
      <c r="BZ7" s="91" t="s">
        <v>323</v>
      </c>
      <c r="CA7" s="7"/>
      <c r="CB7" s="7"/>
      <c r="CC7" s="7" t="s">
        <v>324</v>
      </c>
      <c r="CD7" s="7" t="s">
        <v>325</v>
      </c>
      <c r="CF7" s="2269"/>
      <c r="CG7" s="2226"/>
    </row>
    <row r="8" spans="3:91" x14ac:dyDescent="0.3">
      <c r="C8" s="50"/>
      <c r="D8" s="50" t="s">
        <v>480</v>
      </c>
      <c r="N8" s="63"/>
      <c r="AF8" s="115"/>
      <c r="AZ8" s="2" t="str">
        <f>D107</f>
        <v>Modifications des faits et souvenirs</v>
      </c>
      <c r="BA8">
        <f>AK124</f>
        <v>1</v>
      </c>
      <c r="BB8">
        <f>AL124</f>
        <v>1</v>
      </c>
      <c r="BC8">
        <f>AM124</f>
        <v>0</v>
      </c>
      <c r="BD8" s="828" t="str">
        <f>D107</f>
        <v>Modifications des faits et souvenirs</v>
      </c>
      <c r="BE8" s="829" t="s">
        <v>302</v>
      </c>
      <c r="BF8" s="830">
        <f>H119</f>
        <v>42</v>
      </c>
      <c r="BG8" s="831" t="str">
        <f>IF(L119="","",L119)</f>
        <v>déforme les souvenirs</v>
      </c>
      <c r="BH8" s="832" t="s">
        <v>303</v>
      </c>
      <c r="BI8" s="831" t="str">
        <f>IF(N119="","",N119)</f>
        <v/>
      </c>
      <c r="BJ8" s="833" t="s">
        <v>304</v>
      </c>
      <c r="BK8" s="831" t="str">
        <f>IF(M119="","",M119)</f>
        <v/>
      </c>
      <c r="BL8" s="72"/>
      <c r="BW8" s="98"/>
      <c r="BZ8" s="52" t="s">
        <v>326</v>
      </c>
      <c r="CC8" s="7" t="s">
        <v>327</v>
      </c>
      <c r="CD8" s="7"/>
      <c r="CE8" s="7"/>
      <c r="CF8" s="2235" t="s">
        <v>328</v>
      </c>
      <c r="CG8" s="2226" t="b">
        <v>0</v>
      </c>
      <c r="CH8" s="7"/>
    </row>
    <row r="9" spans="3:91" ht="40" x14ac:dyDescent="0.3">
      <c r="C9" s="50"/>
      <c r="E9" s="50"/>
      <c r="F9" s="50" t="s">
        <v>481</v>
      </c>
      <c r="G9" s="50"/>
      <c r="H9" s="50"/>
      <c r="I9" s="50"/>
      <c r="J9" s="50"/>
      <c r="K9" s="50"/>
      <c r="L9" s="50" t="s">
        <v>484</v>
      </c>
      <c r="M9" s="50" t="s">
        <v>533</v>
      </c>
      <c r="N9" s="63"/>
      <c r="AF9" s="115"/>
      <c r="AZ9" s="2" t="str">
        <f>D126</f>
        <v>Culpabilise l'enfant de son amour envers vous</v>
      </c>
      <c r="BA9">
        <f>AK143</f>
        <v>1</v>
      </c>
      <c r="BB9">
        <f>AL143</f>
        <v>1</v>
      </c>
      <c r="BC9">
        <f>AM143</f>
        <v>0</v>
      </c>
      <c r="BD9" s="828" t="str">
        <f>D126</f>
        <v>Culpabilise l'enfant de son amour envers vous</v>
      </c>
      <c r="BE9" s="829" t="s">
        <v>302</v>
      </c>
      <c r="BF9" s="830">
        <f>H139</f>
        <v>2</v>
      </c>
      <c r="BG9" s="831" t="str">
        <f>IF(L140="","",L140)</f>
        <v/>
      </c>
      <c r="BH9" s="832" t="s">
        <v>303</v>
      </c>
      <c r="BI9" s="831" t="str">
        <f>IF(N140="","",N140)</f>
        <v/>
      </c>
      <c r="BJ9" s="833" t="s">
        <v>304</v>
      </c>
      <c r="BK9" s="831" t="str">
        <f>IF(M140="","",M140)</f>
        <v/>
      </c>
      <c r="BL9" s="72"/>
      <c r="BW9" s="6"/>
      <c r="BX9" s="49"/>
      <c r="BZ9" s="52" t="s">
        <v>323</v>
      </c>
      <c r="CC9" s="2267" t="s">
        <v>329</v>
      </c>
      <c r="CD9" s="2267"/>
      <c r="CE9" s="2267"/>
      <c r="CF9" s="2235"/>
      <c r="CG9" s="2226"/>
      <c r="CH9" s="7"/>
    </row>
    <row r="10" spans="3:91" x14ac:dyDescent="0.3">
      <c r="C10" s="50"/>
      <c r="D10" s="50"/>
      <c r="E10" s="50"/>
      <c r="F10" s="50" t="s">
        <v>482</v>
      </c>
      <c r="G10" s="50"/>
      <c r="H10" s="50"/>
      <c r="I10" s="50"/>
      <c r="J10" s="50"/>
      <c r="K10" s="50"/>
      <c r="L10" s="50" t="s">
        <v>485</v>
      </c>
      <c r="M10" s="50" t="s">
        <v>534</v>
      </c>
      <c r="N10" s="63"/>
      <c r="AZ10" s="2" t="str">
        <f>D146</f>
        <v>Reproche au retour de garde</v>
      </c>
      <c r="BA10">
        <f>AK163</f>
        <v>1</v>
      </c>
      <c r="BB10">
        <f>AL163</f>
        <v>1</v>
      </c>
      <c r="BC10">
        <f>AM163</f>
        <v>1</v>
      </c>
      <c r="BD10" s="828" t="str">
        <f>D146</f>
        <v>Reproche au retour de garde</v>
      </c>
      <c r="BE10" s="829" t="s">
        <v>302</v>
      </c>
      <c r="BF10" s="830">
        <f>H158</f>
        <v>8</v>
      </c>
      <c r="BG10" s="831" t="str">
        <f>IF(L158="","",L158)</f>
        <v/>
      </c>
      <c r="BH10" s="832" t="s">
        <v>303</v>
      </c>
      <c r="BI10" s="831" t="str">
        <f>IF(N158="","",N158)</f>
        <v/>
      </c>
      <c r="BJ10" s="833" t="s">
        <v>304</v>
      </c>
      <c r="BK10" s="831" t="str">
        <f>IF(M158="","",M158)</f>
        <v/>
      </c>
      <c r="BX10" s="16"/>
      <c r="BZ10" s="91" t="s">
        <v>320</v>
      </c>
      <c r="CC10" s="7" t="s">
        <v>321</v>
      </c>
      <c r="CF10" s="2269" t="s">
        <v>330</v>
      </c>
      <c r="CG10" s="2226" t="b">
        <v>1</v>
      </c>
    </row>
    <row r="11" spans="3:91" ht="40" x14ac:dyDescent="0.3">
      <c r="C11" s="50"/>
      <c r="D11" s="50"/>
      <c r="E11" s="50"/>
      <c r="F11" s="50"/>
      <c r="G11" s="50"/>
      <c r="H11" s="50"/>
      <c r="I11" s="50"/>
      <c r="J11" s="50"/>
      <c r="K11" s="50"/>
      <c r="L11" s="50"/>
      <c r="M11" s="50"/>
      <c r="N11" s="63"/>
      <c r="AZ11" s="2" t="str">
        <f>D165</f>
        <v>Réaction en présence des deux parents</v>
      </c>
      <c r="BA11">
        <f>AK182</f>
        <v>1</v>
      </c>
      <c r="BB11">
        <f>AL182</f>
        <v>1</v>
      </c>
      <c r="BC11">
        <f>AM182</f>
        <v>1</v>
      </c>
      <c r="BD11" s="828" t="str">
        <f>D165</f>
        <v>Réaction en présence des deux parents</v>
      </c>
      <c r="BE11" s="829" t="s">
        <v>302</v>
      </c>
      <c r="BF11" s="830">
        <f>H177</f>
        <v>22</v>
      </c>
      <c r="BG11" s="831" t="str">
        <f>IF(L177="","",L177)</f>
        <v>vous salue lorsqu'il vous croise à l'école</v>
      </c>
      <c r="BH11" s="832" t="s">
        <v>303</v>
      </c>
      <c r="BI11" s="831" t="str">
        <f>IF(N177="","",N177)</f>
        <v/>
      </c>
      <c r="BJ11" s="833" t="s">
        <v>304</v>
      </c>
      <c r="BK11" s="831" t="str">
        <f>IF(M177="","",M177)</f>
        <v/>
      </c>
      <c r="BW11" s="15"/>
      <c r="BZ11" s="92" t="s">
        <v>331</v>
      </c>
      <c r="CC11" s="7" t="s">
        <v>327</v>
      </c>
      <c r="CF11" s="2269"/>
      <c r="CG11" s="2226"/>
    </row>
    <row r="12" spans="3:91" ht="40" x14ac:dyDescent="0.3">
      <c r="C12" s="50" t="s">
        <v>538</v>
      </c>
      <c r="D12" s="50"/>
      <c r="E12" s="50"/>
      <c r="F12" s="50"/>
      <c r="G12" s="50"/>
      <c r="H12" s="50"/>
      <c r="I12" s="50"/>
      <c r="J12" s="50"/>
      <c r="K12" s="50"/>
      <c r="L12" s="50"/>
      <c r="M12" s="50"/>
      <c r="N12" s="63"/>
      <c r="AZ12" s="2" t="str">
        <f>D184</f>
        <v>Dénigre l'autre</v>
      </c>
      <c r="BA12">
        <f>AK201</f>
        <v>1</v>
      </c>
      <c r="BB12">
        <f>AL201</f>
        <v>1</v>
      </c>
      <c r="BC12">
        <f>AM201</f>
        <v>1</v>
      </c>
      <c r="BD12" s="828" t="str">
        <f>D184</f>
        <v>Dénigre l'autre</v>
      </c>
      <c r="BE12" s="829" t="s">
        <v>302</v>
      </c>
      <c r="BF12" s="830">
        <f>H196</f>
        <v>19</v>
      </c>
      <c r="BG12" s="831" t="str">
        <f>IF(L196="","",L196)</f>
        <v/>
      </c>
      <c r="BH12" s="832" t="s">
        <v>303</v>
      </c>
      <c r="BI12" s="831" t="str">
        <f>IF(N196="","",N196)</f>
        <v/>
      </c>
      <c r="BJ12" s="833" t="s">
        <v>304</v>
      </c>
      <c r="BK12" s="831" t="str">
        <f>IF(M196="","",M196)</f>
        <v>Bien que le parent dénigre vos compétences parentales devant l'enfant l'enfant ne semble pas s'ingérer</v>
      </c>
      <c r="BW12" s="46"/>
      <c r="BX12" s="319"/>
      <c r="BZ12" s="52" t="s">
        <v>326</v>
      </c>
      <c r="CC12" s="7" t="s">
        <v>327</v>
      </c>
      <c r="CF12" s="2235" t="s">
        <v>332</v>
      </c>
      <c r="CG12" s="2226" t="b">
        <v>0</v>
      </c>
    </row>
    <row r="13" spans="3:91" ht="40" x14ac:dyDescent="0.3">
      <c r="C13" s="563" t="s">
        <v>537</v>
      </c>
      <c r="D13" s="50"/>
      <c r="E13" s="50"/>
      <c r="F13" s="50"/>
      <c r="G13" s="50"/>
      <c r="H13" s="50"/>
      <c r="I13" s="50"/>
      <c r="J13" s="50"/>
      <c r="K13" s="50"/>
      <c r="L13" s="50"/>
      <c r="M13" s="50"/>
      <c r="N13" s="63"/>
      <c r="AZ13" s="2" t="str">
        <f>D203</f>
        <v>Dénigre la nouvelle famille</v>
      </c>
      <c r="BA13">
        <f>AK220</f>
        <v>1</v>
      </c>
      <c r="BB13">
        <f>AL220</f>
        <v>1</v>
      </c>
      <c r="BC13">
        <f>AM220</f>
        <v>1</v>
      </c>
      <c r="BD13" s="828" t="str">
        <f>D203</f>
        <v>Dénigre la nouvelle famille</v>
      </c>
      <c r="BE13" s="829" t="s">
        <v>302</v>
      </c>
      <c r="BF13" s="830">
        <f>H215</f>
        <v>8</v>
      </c>
      <c r="BG13" s="831" t="str">
        <f>IF(L215="","",L215)</f>
        <v/>
      </c>
      <c r="BH13" s="832" t="s">
        <v>303</v>
      </c>
      <c r="BI13" s="831" t="str">
        <f>IF(N215="","",N215)</f>
        <v/>
      </c>
      <c r="BJ13" s="833" t="s">
        <v>304</v>
      </c>
      <c r="BK13" s="831" t="str">
        <f>IF(M215="","",M215)</f>
        <v>Bien que le parent entretient un discours haineux à l'égard de votre nouveau conjoint.e l'enfant ne semble pas s'ingérer</v>
      </c>
      <c r="BW13" s="98"/>
      <c r="BZ13" s="52" t="s">
        <v>331</v>
      </c>
      <c r="CC13" s="7" t="s">
        <v>327</v>
      </c>
      <c r="CF13" s="2235"/>
      <c r="CG13" s="2226"/>
    </row>
    <row r="14" spans="3:91" ht="85" x14ac:dyDescent="0.3">
      <c r="C14" s="50" t="s">
        <v>2083</v>
      </c>
      <c r="D14" s="50"/>
      <c r="E14" s="50"/>
      <c r="F14" s="50"/>
      <c r="G14" s="50"/>
      <c r="H14" s="50"/>
      <c r="I14" s="50"/>
      <c r="J14" s="50"/>
      <c r="K14" s="50"/>
      <c r="L14" s="50"/>
      <c r="M14" s="50"/>
      <c r="N14" s="63"/>
      <c r="AZ14" s="2" t="str">
        <f>D222</f>
        <v>La nouvelle famille est "LA vraie"</v>
      </c>
      <c r="BA14">
        <f>AK239</f>
        <v>1</v>
      </c>
      <c r="BB14">
        <f>AL239</f>
        <v>1</v>
      </c>
      <c r="BC14">
        <f>AM239</f>
        <v>1</v>
      </c>
      <c r="BD14" s="828" t="str">
        <f>D222</f>
        <v>La nouvelle famille est "LA vraie"</v>
      </c>
      <c r="BE14" s="829" t="s">
        <v>302</v>
      </c>
      <c r="BF14" s="830">
        <f>H234</f>
        <v>8</v>
      </c>
      <c r="BG14" s="831" t="str">
        <f>IF(L234="","",L234)</f>
        <v/>
      </c>
      <c r="BH14" s="832" t="s">
        <v>303</v>
      </c>
      <c r="BI14" s="831" t="str">
        <f>IF(N234="","",N234)</f>
        <v>laisse entendre que la vraie famille est celle de l'autre parent sans signe de la participation du parent favorisé et|ou nouveau conjoint.e</v>
      </c>
      <c r="BJ14" s="833" t="s">
        <v>304</v>
      </c>
      <c r="BK14" s="831" t="str">
        <f>IF(M234="","",M234)</f>
        <v/>
      </c>
      <c r="BW14" s="98"/>
      <c r="BX14" s="93" t="s">
        <v>333</v>
      </c>
      <c r="BY14" s="79"/>
      <c r="BZ14" s="94" t="s">
        <v>317</v>
      </c>
      <c r="CA14" s="79"/>
      <c r="CB14" s="79"/>
      <c r="CC14" s="94" t="s">
        <v>318</v>
      </c>
      <c r="CD14" s="79"/>
      <c r="CE14" s="79"/>
      <c r="CF14" s="94" t="s">
        <v>334</v>
      </c>
      <c r="CG14" s="7" t="s">
        <v>335</v>
      </c>
    </row>
    <row r="15" spans="3:91" ht="60" x14ac:dyDescent="0.3">
      <c r="C15" s="50" t="s">
        <v>2084</v>
      </c>
      <c r="D15" s="50"/>
      <c r="E15" s="50"/>
      <c r="F15" s="50"/>
      <c r="G15" s="50"/>
      <c r="H15" s="50"/>
      <c r="I15" s="50"/>
      <c r="J15" s="50"/>
      <c r="K15" s="50"/>
      <c r="L15" s="50"/>
      <c r="M15" s="50"/>
      <c r="N15" s="63"/>
      <c r="AZ15" s="2" t="str">
        <f>D241</f>
        <v>Le nouveau ou la nouvelle conjoint.e se fait appeler "papa" ou "maman"</v>
      </c>
      <c r="BA15">
        <f>AK258</f>
        <v>1</v>
      </c>
      <c r="BB15">
        <f>AL258</f>
        <v>1</v>
      </c>
      <c r="BC15">
        <f>AM258</f>
        <v>1</v>
      </c>
      <c r="BD15" s="828" t="str">
        <f>D241</f>
        <v>Le nouveau ou la nouvelle conjoint.e se fait appeler "papa" ou "maman"</v>
      </c>
      <c r="BE15" s="829" t="s">
        <v>302</v>
      </c>
      <c r="BF15" s="830">
        <f>H253</f>
        <v>2</v>
      </c>
      <c r="BG15" s="831" t="str">
        <f>IF(L253="","",L253)</f>
        <v/>
      </c>
      <c r="BH15" s="832" t="s">
        <v>303</v>
      </c>
      <c r="BI15" s="831" t="str">
        <f>IF(N253="","",N253)</f>
        <v/>
      </c>
      <c r="BJ15" s="833" t="s">
        <v>304</v>
      </c>
      <c r="BK15" s="831" t="str">
        <f>IF(M253="","",M253)</f>
        <v/>
      </c>
      <c r="BW15" s="98"/>
      <c r="BX15" s="49"/>
      <c r="BZ15" s="91" t="s">
        <v>320</v>
      </c>
      <c r="CA15" s="7"/>
      <c r="CB15" s="7"/>
      <c r="CC15" s="7" t="s">
        <v>336</v>
      </c>
      <c r="CD15" s="7"/>
      <c r="CE15" s="7"/>
      <c r="CF15" s="2269" t="s">
        <v>337</v>
      </c>
      <c r="CG15" s="2226" t="b">
        <v>0</v>
      </c>
    </row>
    <row r="16" spans="3:91" x14ac:dyDescent="0.3">
      <c r="C16" s="63"/>
      <c r="D16" s="63"/>
      <c r="E16" s="63"/>
      <c r="F16" s="63"/>
      <c r="G16" s="63"/>
      <c r="H16" s="63"/>
      <c r="I16" s="63"/>
      <c r="J16" s="63"/>
      <c r="K16" s="63"/>
      <c r="L16" s="63"/>
      <c r="M16" s="63"/>
      <c r="N16" s="63"/>
      <c r="AZ16" s="2" t="str">
        <f>D260</f>
        <v>Changement d'horaire de l'enfant</v>
      </c>
      <c r="BA16">
        <f>AK277</f>
        <v>1</v>
      </c>
      <c r="BB16">
        <f>AL277</f>
        <v>1</v>
      </c>
      <c r="BC16">
        <f>AM277</f>
        <v>1</v>
      </c>
      <c r="BD16" s="828" t="str">
        <f>D260</f>
        <v>Changement d'horaire de l'enfant</v>
      </c>
      <c r="BE16" s="829" t="s">
        <v>302</v>
      </c>
      <c r="BF16" s="830">
        <f>H272</f>
        <v>22</v>
      </c>
      <c r="BG16" s="831" t="str">
        <f>IF(L272="","",L272)</f>
        <v>impose des changements d'horaire sans consultation auprès de l'autre</v>
      </c>
      <c r="BH16" s="832" t="s">
        <v>303</v>
      </c>
      <c r="BI16" s="831" t="str">
        <f>IF(N272="","",N272)</f>
        <v/>
      </c>
      <c r="BJ16" s="833" t="s">
        <v>304</v>
      </c>
      <c r="BK16" s="831" t="str">
        <f>IF(M272="","",M272)</f>
        <v/>
      </c>
      <c r="BW16" s="6"/>
      <c r="BZ16" s="91" t="s">
        <v>323</v>
      </c>
      <c r="CA16" s="7"/>
      <c r="CB16" s="7"/>
      <c r="CC16" s="7" t="s">
        <v>338</v>
      </c>
      <c r="CD16" s="7"/>
      <c r="CF16" s="2269"/>
      <c r="CG16" s="2226"/>
    </row>
    <row r="17" spans="2:101" ht="40" x14ac:dyDescent="0.3">
      <c r="C17" s="63"/>
      <c r="D17" s="63"/>
      <c r="E17" s="63"/>
      <c r="F17" s="63"/>
      <c r="G17" s="63"/>
      <c r="H17" s="63"/>
      <c r="I17" s="63"/>
      <c r="J17" s="63"/>
      <c r="K17" s="63"/>
      <c r="L17" s="63"/>
      <c r="M17" s="63"/>
      <c r="N17" s="63"/>
      <c r="AZ17" s="2" t="str">
        <f>D279</f>
        <v>Organise des activités hors de sa garde</v>
      </c>
      <c r="BA17">
        <f>AK296</f>
        <v>1</v>
      </c>
      <c r="BB17">
        <f>AL296</f>
        <v>1</v>
      </c>
      <c r="BC17">
        <f>AM296</f>
        <v>1</v>
      </c>
      <c r="BD17" s="828" t="str">
        <f>D279</f>
        <v>Organise des activités hors de sa garde</v>
      </c>
      <c r="BE17" s="829" t="s">
        <v>302</v>
      </c>
      <c r="BF17" s="830">
        <f>H291</f>
        <v>34</v>
      </c>
      <c r="BG17" s="831" t="str">
        <f>IF(L291="","",L291)</f>
        <v>subit de la pression pour passer plus de temps chez l'autre</v>
      </c>
      <c r="BH17" s="832" t="s">
        <v>303</v>
      </c>
      <c r="BI17" s="831" t="str">
        <f>IF(N291="","",N291)</f>
        <v/>
      </c>
      <c r="BJ17" s="833" t="s">
        <v>304</v>
      </c>
      <c r="BK17" s="831" t="str">
        <f>IF(M291="","",M291)</f>
        <v/>
      </c>
      <c r="BZ17" s="52" t="s">
        <v>326</v>
      </c>
      <c r="CC17" s="7" t="s">
        <v>327</v>
      </c>
      <c r="CD17" s="7"/>
      <c r="CE17" s="7"/>
      <c r="CF17" s="2235" t="s">
        <v>339</v>
      </c>
      <c r="CG17" s="2226" t="b">
        <v>0</v>
      </c>
    </row>
    <row r="18" spans="2:101" ht="40" x14ac:dyDescent="0.3">
      <c r="B18" s="2027"/>
      <c r="C18" s="111"/>
      <c r="D18" s="112" t="s">
        <v>297</v>
      </c>
      <c r="E18" s="112"/>
      <c r="F18" s="111"/>
      <c r="G18" s="788" t="s">
        <v>744</v>
      </c>
      <c r="H18" s="788"/>
      <c r="I18" s="111">
        <v>4</v>
      </c>
      <c r="J18" s="111">
        <v>10</v>
      </c>
      <c r="K18" s="111"/>
      <c r="L18" s="111"/>
      <c r="M18" s="111"/>
      <c r="N18" s="111"/>
      <c r="O18" s="111"/>
      <c r="P18" s="111"/>
      <c r="Q18" s="111"/>
      <c r="R18" s="111"/>
      <c r="S18" s="111"/>
      <c r="T18" s="111"/>
      <c r="U18" s="111"/>
      <c r="AZ18" s="2" t="str">
        <f>D298</f>
        <v>Impose sa présence (appel, texto)</v>
      </c>
      <c r="BA18">
        <f>AK315</f>
        <v>1</v>
      </c>
      <c r="BB18">
        <f>AL315</f>
        <v>1</v>
      </c>
      <c r="BC18">
        <f>AM315</f>
        <v>0</v>
      </c>
      <c r="BD18" s="828" t="str">
        <f>D298</f>
        <v>Impose sa présence (appel, texto)</v>
      </c>
      <c r="BE18" s="829" t="s">
        <v>302</v>
      </c>
      <c r="BF18" s="830">
        <f>H310</f>
        <v>21</v>
      </c>
      <c r="BG18" s="831" t="str">
        <f>IF(L310="","",L310)</f>
        <v/>
      </c>
      <c r="BH18" s="832" t="s">
        <v>303</v>
      </c>
      <c r="BI18" s="831" t="str">
        <f>IF(N310="","",N310)</f>
        <v/>
      </c>
      <c r="BJ18" s="833" t="s">
        <v>304</v>
      </c>
      <c r="BK18" s="831" t="str">
        <f>IF(M310="","",M310)</f>
        <v>Bien que le parent impose sa présence régulièrement durant votre temps de garde l'enfant ne semble pas s'ingérer</v>
      </c>
      <c r="BW18" s="15"/>
      <c r="BZ18" s="52" t="s">
        <v>323</v>
      </c>
      <c r="CC18" s="2267" t="s">
        <v>329</v>
      </c>
      <c r="CD18" s="2267"/>
      <c r="CE18" s="2267"/>
      <c r="CF18" s="2235"/>
      <c r="CG18" s="2226"/>
    </row>
    <row r="19" spans="2:101" x14ac:dyDescent="0.3">
      <c r="B19" s="2027"/>
      <c r="C19" s="111"/>
      <c r="D19" s="111"/>
      <c r="E19" s="111"/>
      <c r="F19" s="111"/>
      <c r="G19" s="111"/>
      <c r="H19" s="111"/>
      <c r="I19" s="111"/>
      <c r="J19" s="111"/>
      <c r="K19" s="111"/>
      <c r="L19" s="111"/>
      <c r="M19" s="111"/>
      <c r="N19" s="111"/>
      <c r="O19" s="111"/>
      <c r="P19" s="111"/>
      <c r="Q19" s="111"/>
      <c r="R19" s="111"/>
      <c r="S19" s="111"/>
      <c r="T19" s="111"/>
      <c r="U19" s="111"/>
      <c r="AK19" s="2276" t="s">
        <v>1380</v>
      </c>
      <c r="AL19" s="2276"/>
      <c r="AM19" s="2276"/>
      <c r="AN19" s="2276" t="s">
        <v>2085</v>
      </c>
      <c r="AO19" s="2276"/>
      <c r="AP19" s="2276"/>
      <c r="AQ19" s="2254" t="s">
        <v>2086</v>
      </c>
      <c r="AR19" s="2254"/>
      <c r="AS19" s="2254"/>
      <c r="AT19" s="2254"/>
      <c r="AU19" s="2254"/>
      <c r="AV19" s="1806"/>
      <c r="AZ19" s="2" t="str">
        <f>D317</f>
        <v>Contrôle des communications</v>
      </c>
      <c r="BA19">
        <f>AK334</f>
        <v>1</v>
      </c>
      <c r="BB19">
        <f>AL334</f>
        <v>1</v>
      </c>
      <c r="BC19">
        <f>AM334</f>
        <v>1</v>
      </c>
      <c r="BD19" s="828" t="str">
        <f>D317</f>
        <v>Contrôle des communications</v>
      </c>
      <c r="BE19" s="829" t="s">
        <v>302</v>
      </c>
      <c r="BF19" s="830">
        <f>H329</f>
        <v>28</v>
      </c>
      <c r="BG19" s="831" t="str">
        <f>IF(L329="","",L329)</f>
        <v>ne répond pas à vos messages lorsqu'il est chez l'autre</v>
      </c>
      <c r="BH19" s="832" t="s">
        <v>303</v>
      </c>
      <c r="BI19" s="831" t="str">
        <f>IF(N329="","",N329)</f>
        <v/>
      </c>
      <c r="BJ19" s="833" t="s">
        <v>304</v>
      </c>
      <c r="BK19" s="831" t="str">
        <f>IF(M329="","",M329)</f>
        <v/>
      </c>
      <c r="BW19" s="46"/>
      <c r="BZ19" s="91" t="s">
        <v>320</v>
      </c>
      <c r="CC19" s="7" t="s">
        <v>336</v>
      </c>
      <c r="CF19" s="2269" t="s">
        <v>337</v>
      </c>
      <c r="CG19" s="2226" t="b">
        <v>0</v>
      </c>
    </row>
    <row r="20" spans="2:101" ht="40" x14ac:dyDescent="0.3">
      <c r="B20" s="2028"/>
      <c r="C20" s="10"/>
      <c r="D20" s="10"/>
      <c r="E20" s="10"/>
      <c r="F20" s="10"/>
      <c r="G20" s="10"/>
      <c r="H20" s="10"/>
      <c r="I20" s="10"/>
      <c r="J20" s="10"/>
      <c r="K20" s="10"/>
      <c r="L20" s="10"/>
      <c r="M20" s="10"/>
      <c r="N20" s="10"/>
      <c r="O20" s="10"/>
      <c r="P20" s="10"/>
      <c r="Q20" s="10"/>
      <c r="R20" s="10"/>
      <c r="S20" s="10"/>
      <c r="T20" s="10"/>
      <c r="U20" s="10"/>
      <c r="AC20" s="1452"/>
      <c r="AD20" s="10"/>
      <c r="AE20" s="10"/>
      <c r="AF20" s="976"/>
      <c r="AG20" s="976" t="s">
        <v>734</v>
      </c>
      <c r="AH20" s="976" t="s">
        <v>733</v>
      </c>
      <c r="AI20" s="976" t="s">
        <v>735</v>
      </c>
      <c r="AK20" s="1659" t="s">
        <v>734</v>
      </c>
      <c r="AL20" s="1659" t="s">
        <v>733</v>
      </c>
      <c r="AM20" s="1659" t="s">
        <v>735</v>
      </c>
      <c r="AN20" s="1659" t="s">
        <v>734</v>
      </c>
      <c r="AO20" s="1659" t="s">
        <v>733</v>
      </c>
      <c r="AP20" s="1659" t="s">
        <v>735</v>
      </c>
      <c r="AQ20" s="2254" t="s">
        <v>734</v>
      </c>
      <c r="AR20" s="2254"/>
      <c r="AS20" s="2254" t="s">
        <v>733</v>
      </c>
      <c r="AT20" s="2254"/>
      <c r="AU20" s="2098" t="s">
        <v>735</v>
      </c>
      <c r="AV20" s="1806"/>
      <c r="AW20" s="3"/>
      <c r="AZ20" s="2" t="str">
        <f>D336</f>
        <v>Contact de l'enfant avec la famille élargie</v>
      </c>
      <c r="BA20">
        <f>AK353</f>
        <v>1</v>
      </c>
      <c r="BB20">
        <f>AL353</f>
        <v>1</v>
      </c>
      <c r="BC20">
        <f>AM353</f>
        <v>1</v>
      </c>
      <c r="BD20" s="828" t="str">
        <f>D336</f>
        <v>Contact de l'enfant avec la famille élargie</v>
      </c>
      <c r="BE20" s="829" t="s">
        <v>302</v>
      </c>
      <c r="BF20" s="830">
        <f>H348</f>
        <v>4</v>
      </c>
      <c r="BG20" s="831" t="str">
        <f>IF(L348="","",L348)</f>
        <v/>
      </c>
      <c r="BH20" s="832" t="s">
        <v>303</v>
      </c>
      <c r="BI20" s="831" t="str">
        <f>IF(N348="","",N348)</f>
        <v>refuse les contacts avec la famille élargie sans signe de la participation du parent favorisé et|ou nouveau conjoint.e</v>
      </c>
      <c r="BJ20" s="833" t="s">
        <v>304</v>
      </c>
      <c r="BK20" s="831" t="str">
        <f>IF(M348="","",M348)</f>
        <v/>
      </c>
      <c r="BW20" s="46"/>
      <c r="BZ20" s="91"/>
      <c r="CC20" s="7"/>
      <c r="CF20" s="2269"/>
      <c r="CG20" s="2226"/>
    </row>
    <row r="21" spans="2:101" ht="16" customHeight="1" x14ac:dyDescent="0.3">
      <c r="B21" s="2028"/>
      <c r="C21" s="10"/>
      <c r="D21" s="10"/>
      <c r="E21" s="10"/>
      <c r="F21" s="10"/>
      <c r="G21" s="10"/>
      <c r="H21" s="10"/>
      <c r="I21" s="10"/>
      <c r="J21" s="10"/>
      <c r="K21" s="10"/>
      <c r="L21" s="10"/>
      <c r="M21" s="10"/>
      <c r="N21" s="10"/>
      <c r="O21" s="10"/>
      <c r="P21" s="10"/>
      <c r="Q21" s="10"/>
      <c r="R21" s="10"/>
      <c r="S21" s="10"/>
      <c r="T21" s="10"/>
      <c r="U21" s="10"/>
      <c r="AC21" s="10"/>
      <c r="AD21" s="21"/>
      <c r="AE21" s="1660" t="s">
        <v>1252</v>
      </c>
      <c r="AF21" s="21"/>
      <c r="AG21" s="14">
        <f>AE47+AE67+AE86+AE105+AE124+AE144+AE163+AE182+AE201+AE220+AE239+AE258+AE277+AE296+AE315+AE334+AE353+AE372+AE392+AE412+AE431+AE450+AE469+AE488+AE507+AE527</f>
        <v>25</v>
      </c>
      <c r="AH21" s="14">
        <f>AG47+AG67+AG86+AG105+AG124+AG144+AG163+AG182+AG201+AG220+AG239+AG258+AG277+AG296+AG315+AG334+AG353+AG372+AG392+AG412+AG431+AG450+AG469+AG488+AG507+AG527</f>
        <v>17</v>
      </c>
      <c r="AI21" s="14">
        <f>AI47+AI67+AI86+AI105+AI124+AI144+AI163+AI182+AI201+AI220+AI239+AI258+AI277+AI296+AI315+AI334+AI353+AI372+AI392+AI412+AI431+AI450+AI469+AI488+AI507+AI527</f>
        <v>10</v>
      </c>
      <c r="AK21" s="10"/>
      <c r="AL21" s="10"/>
      <c r="AM21" s="10"/>
      <c r="AN21" s="10"/>
      <c r="AO21" s="10"/>
      <c r="AP21" s="10"/>
      <c r="AQ21" s="1806" t="s">
        <v>1322</v>
      </c>
      <c r="AR21" s="1806" t="s">
        <v>1323</v>
      </c>
      <c r="AS21" s="1806" t="s">
        <v>1322</v>
      </c>
      <c r="AT21" s="1806" t="s">
        <v>1323</v>
      </c>
      <c r="AU21" s="1806" t="s">
        <v>1322</v>
      </c>
      <c r="AV21" s="1806" t="s">
        <v>1323</v>
      </c>
      <c r="AY21" s="3"/>
      <c r="AZ21" s="2" t="str">
        <f>D355</f>
        <v>Sujet personnel|intime partagé à l'enfant</v>
      </c>
      <c r="BA21">
        <f>AK372</f>
        <v>1</v>
      </c>
      <c r="BB21">
        <f>AL372</f>
        <v>1</v>
      </c>
      <c r="BC21">
        <f>AM372</f>
        <v>0</v>
      </c>
      <c r="BD21" s="828" t="str">
        <f>D355</f>
        <v>Sujet personnel|intime partagé à l'enfant</v>
      </c>
      <c r="BE21" s="829" t="s">
        <v>302</v>
      </c>
      <c r="BF21" s="830">
        <f>H367</f>
        <v>8</v>
      </c>
      <c r="BG21" s="831" t="str">
        <f>IF(L367="","",L367)</f>
        <v/>
      </c>
      <c r="BH21" s="832" t="s">
        <v>303</v>
      </c>
      <c r="BI21" s="831" t="str">
        <f>IF(N367="","",N367)</f>
        <v/>
      </c>
      <c r="BJ21" s="833" t="s">
        <v>304</v>
      </c>
      <c r="BK21" s="831" t="str">
        <f>IF(M367="","",M367)</f>
        <v/>
      </c>
      <c r="BW21" s="46"/>
      <c r="BZ21" s="91"/>
      <c r="CC21" s="7"/>
      <c r="CF21" s="2269"/>
      <c r="CG21" s="2226"/>
    </row>
    <row r="22" spans="2:101" ht="16" customHeight="1" x14ac:dyDescent="0.3">
      <c r="B22" s="2028"/>
      <c r="C22" s="10"/>
      <c r="D22" s="10"/>
      <c r="E22" s="10"/>
      <c r="F22" s="10"/>
      <c r="G22" s="10"/>
      <c r="H22" s="10"/>
      <c r="I22" s="10"/>
      <c r="J22" s="10"/>
      <c r="K22" s="10"/>
      <c r="L22" s="10"/>
      <c r="M22" s="10"/>
      <c r="N22" s="10"/>
      <c r="O22" s="10"/>
      <c r="P22" s="10"/>
      <c r="Q22" s="10"/>
      <c r="R22" s="10"/>
      <c r="S22" s="10"/>
      <c r="T22" s="10"/>
      <c r="U22" s="10"/>
      <c r="AC22" s="10"/>
      <c r="AD22" s="21"/>
      <c r="AE22" s="1661" t="s">
        <v>952</v>
      </c>
      <c r="AF22" s="1661"/>
      <c r="AG22" s="21">
        <f>SUM(AK47:AK527)</f>
        <v>26</v>
      </c>
      <c r="AH22" s="21">
        <f>SUM(AL47:AL527)</f>
        <v>24</v>
      </c>
      <c r="AI22" s="21">
        <f>SUM(AM47:AM527)</f>
        <v>18</v>
      </c>
      <c r="AK22" s="10"/>
      <c r="AL22" s="10"/>
      <c r="AM22" s="10"/>
      <c r="AN22" s="10"/>
      <c r="AO22" s="10"/>
      <c r="AP22" s="10"/>
      <c r="AQ22" s="1806"/>
      <c r="AR22" s="1806"/>
      <c r="AS22" s="1806"/>
      <c r="AT22" s="1806"/>
      <c r="AU22" s="1806"/>
      <c r="AV22" s="1806"/>
      <c r="AZ22" s="2" t="str">
        <f>D374</f>
        <v>Fait lire les communications à l'enfant</v>
      </c>
      <c r="BA22">
        <f>AK392</f>
        <v>1</v>
      </c>
      <c r="BB22">
        <f>AL392</f>
        <v>1</v>
      </c>
      <c r="BC22">
        <f>AM392</f>
        <v>1</v>
      </c>
      <c r="BD22" s="828" t="str">
        <f>D374</f>
        <v>Fait lire les communications à l'enfant</v>
      </c>
      <c r="BE22" s="829" t="s">
        <v>302</v>
      </c>
      <c r="BF22" s="830">
        <f>H387</f>
        <v>28</v>
      </c>
      <c r="BG22" s="831" t="str">
        <f>IF(L387="","",L387)</f>
        <v>est informé du contexte juridique ou autre sujet associé au conflit</v>
      </c>
      <c r="BH22" s="832" t="s">
        <v>303</v>
      </c>
      <c r="BI22" s="831" t="str">
        <f>IF(N387="","",N387)</f>
        <v/>
      </c>
      <c r="BJ22" s="833" t="s">
        <v>304</v>
      </c>
      <c r="BK22" s="831" t="str">
        <f>IF(M387="","",M387)</f>
        <v/>
      </c>
      <c r="BW22" s="46"/>
      <c r="BZ22" s="91"/>
      <c r="CC22" s="7"/>
      <c r="CF22" s="2269"/>
      <c r="CG22" s="2226"/>
    </row>
    <row r="23" spans="2:101" ht="16" customHeight="1" x14ac:dyDescent="0.3">
      <c r="B23" s="2028"/>
      <c r="C23" s="10"/>
      <c r="D23" s="10"/>
      <c r="E23" s="10"/>
      <c r="F23" s="10"/>
      <c r="G23" s="10"/>
      <c r="H23" s="10"/>
      <c r="I23" s="10"/>
      <c r="J23" s="10"/>
      <c r="K23" s="10"/>
      <c r="L23" s="10"/>
      <c r="M23" s="10"/>
      <c r="N23" s="10"/>
      <c r="O23" s="10"/>
      <c r="P23" s="10"/>
      <c r="Q23" s="10"/>
      <c r="R23" s="10"/>
      <c r="S23" s="10"/>
      <c r="T23" s="10"/>
      <c r="U23" s="10"/>
      <c r="AC23" s="1452"/>
      <c r="AD23" s="10"/>
      <c r="AE23" s="10"/>
      <c r="AF23" s="10"/>
      <c r="AG23" s="10"/>
      <c r="AH23" s="10"/>
      <c r="AI23" s="10"/>
      <c r="AK23" s="10"/>
      <c r="AL23" s="10"/>
      <c r="AM23" s="10"/>
      <c r="AN23" s="10"/>
      <c r="AO23" s="10"/>
      <c r="AP23" s="10"/>
      <c r="AQ23" s="1806"/>
      <c r="AR23" s="1806"/>
      <c r="AS23" s="1806"/>
      <c r="AT23" s="1806"/>
      <c r="AU23" s="1806"/>
      <c r="AV23" s="1806"/>
      <c r="AZ23" s="2" t="str">
        <f>D394</f>
        <v>L'enfant est messager de la logistique</v>
      </c>
      <c r="BA23">
        <f>AK412</f>
        <v>1</v>
      </c>
      <c r="BB23">
        <f>AL412</f>
        <v>1</v>
      </c>
      <c r="BC23">
        <f>AM412</f>
        <v>1</v>
      </c>
      <c r="BD23" s="828" t="str">
        <f>D394</f>
        <v>L'enfant est messager de la logistique</v>
      </c>
      <c r="BE23" s="829" t="s">
        <v>302</v>
      </c>
      <c r="BF23" s="830">
        <f>H407</f>
        <v>20</v>
      </c>
      <c r="BG23" s="831" t="str">
        <f>IF(L407="","",L407)</f>
        <v/>
      </c>
      <c r="BH23" s="832" t="s">
        <v>303</v>
      </c>
      <c r="BI23" s="831" t="str">
        <f>IF(N407="","",N407)</f>
        <v/>
      </c>
      <c r="BJ23" s="833" t="s">
        <v>304</v>
      </c>
      <c r="BK23" s="831" t="str">
        <f>IF(M407="","",M407)</f>
        <v>Bien que le parent Le nouveau conjoint.e est responsable de la logistique familiale l'enfant ne semble pas s'ingérer</v>
      </c>
      <c r="BW23" s="46"/>
      <c r="BZ23" s="91"/>
      <c r="CC23" s="7"/>
      <c r="CF23" s="2269"/>
      <c r="CG23" s="2226"/>
    </row>
    <row r="24" spans="2:101" ht="16" customHeight="1" x14ac:dyDescent="0.3">
      <c r="B24" s="974"/>
      <c r="C24" s="10"/>
      <c r="D24" s="10"/>
      <c r="E24" s="10"/>
      <c r="F24" s="10"/>
      <c r="G24" s="10"/>
      <c r="H24" s="10"/>
      <c r="I24" s="10"/>
      <c r="J24" s="10"/>
      <c r="K24" s="10"/>
      <c r="L24" s="10"/>
      <c r="M24" s="10"/>
      <c r="N24" s="10"/>
      <c r="O24" s="10"/>
      <c r="P24" s="10"/>
      <c r="Q24" s="10"/>
      <c r="R24" s="10"/>
      <c r="S24" s="10"/>
      <c r="T24" s="10"/>
      <c r="U24" s="10"/>
      <c r="AC24" s="10"/>
      <c r="AD24" s="10"/>
      <c r="AE24" s="1660" t="s">
        <v>1253</v>
      </c>
      <c r="AF24" s="10"/>
      <c r="AG24" s="975">
        <f>AE553+AE573+AE593+AE613+AE633</f>
        <v>1</v>
      </c>
      <c r="AH24" s="975">
        <f>AG553+AG573+AG593+AG613+AG633</f>
        <v>0</v>
      </c>
      <c r="AI24" s="975">
        <f>AI553+AI573+AI593+AI613+AI633</f>
        <v>2</v>
      </c>
      <c r="AK24" s="10"/>
      <c r="AL24" s="10"/>
      <c r="AM24" s="10"/>
      <c r="AN24" s="10"/>
      <c r="AO24" s="10"/>
      <c r="AP24" s="10"/>
      <c r="AQ24" s="1806"/>
      <c r="AR24" s="1806"/>
      <c r="AS24" s="1806"/>
      <c r="AT24" s="1806"/>
      <c r="AU24" s="1806"/>
      <c r="AV24" s="1806"/>
      <c r="AZ24" s="2" t="str">
        <f>D414</f>
        <v>Liberté du choix de l'enfant</v>
      </c>
      <c r="BA24">
        <f>AK431</f>
        <v>1</v>
      </c>
      <c r="BB24">
        <f>AL431</f>
        <v>1</v>
      </c>
      <c r="BC24">
        <f>AM431</f>
        <v>1</v>
      </c>
      <c r="BD24" s="828" t="str">
        <f>D414</f>
        <v>Liberté du choix de l'enfant</v>
      </c>
      <c r="BE24" s="829" t="s">
        <v>302</v>
      </c>
      <c r="BF24" s="830">
        <f>H426</f>
        <v>0</v>
      </c>
      <c r="BG24" s="831" t="str">
        <f>IF(L426="","",L426)</f>
        <v/>
      </c>
      <c r="BH24" s="832" t="s">
        <v>303</v>
      </c>
      <c r="BI24" s="831" t="str">
        <f>IF(N426="","",N426)</f>
        <v/>
      </c>
      <c r="BJ24" s="833" t="s">
        <v>304</v>
      </c>
      <c r="BK24" s="831" t="str">
        <f>IF(M426="","",M426)</f>
        <v/>
      </c>
      <c r="BW24" s="98"/>
      <c r="BZ24" s="92" t="s">
        <v>331</v>
      </c>
      <c r="CC24" s="7" t="s">
        <v>327</v>
      </c>
      <c r="CF24" s="2269"/>
      <c r="CG24" s="2226"/>
    </row>
    <row r="25" spans="2:101" ht="16" customHeight="1" x14ac:dyDescent="0.3">
      <c r="B25" s="974"/>
      <c r="C25" s="10"/>
      <c r="D25" s="10"/>
      <c r="E25" s="10"/>
      <c r="F25" s="10"/>
      <c r="G25" s="10"/>
      <c r="H25" s="10"/>
      <c r="I25" s="10"/>
      <c r="J25" s="10"/>
      <c r="K25" s="10"/>
      <c r="L25" s="10"/>
      <c r="M25" s="10"/>
      <c r="N25" s="10"/>
      <c r="O25" s="10"/>
      <c r="P25" s="10"/>
      <c r="Q25" s="10"/>
      <c r="R25" s="10"/>
      <c r="S25" s="10"/>
      <c r="T25" s="10"/>
      <c r="U25" s="10"/>
      <c r="AC25" s="10"/>
      <c r="AD25" s="10"/>
      <c r="AE25" s="977" t="s">
        <v>952</v>
      </c>
      <c r="AF25" s="977"/>
      <c r="AG25" s="10">
        <f>SUM(AK535:AK633)</f>
        <v>2</v>
      </c>
      <c r="AH25" s="10">
        <f>SUM(AL535:AL633)</f>
        <v>1</v>
      </c>
      <c r="AI25" s="10">
        <f>SUM(AM535:AM633)</f>
        <v>5</v>
      </c>
      <c r="AK25" s="10"/>
      <c r="AL25" s="10"/>
      <c r="AM25" s="10"/>
      <c r="AN25" s="10"/>
      <c r="AO25" s="10"/>
      <c r="AP25" s="10"/>
      <c r="AQ25" s="1806"/>
      <c r="AR25" s="1806"/>
      <c r="AS25" s="1806"/>
      <c r="AT25" s="1806"/>
      <c r="AU25" s="1806"/>
      <c r="AV25" s="1806"/>
      <c r="AZ25" s="2" t="str">
        <f>D433</f>
        <v>Maturité de l'enfant de choisir</v>
      </c>
      <c r="BA25">
        <f>AK450</f>
        <v>1</v>
      </c>
      <c r="BB25">
        <f>AL450</f>
        <v>1</v>
      </c>
      <c r="BC25">
        <f>AM450</f>
        <v>0</v>
      </c>
      <c r="BD25" s="828" t="str">
        <f>D433</f>
        <v>Maturité de l'enfant de choisir</v>
      </c>
      <c r="BE25" s="829" t="s">
        <v>302</v>
      </c>
      <c r="BF25" s="830">
        <f>H445</f>
        <v>3</v>
      </c>
      <c r="BG25" s="831" t="str">
        <f>IF(L445="","",L445)</f>
        <v/>
      </c>
      <c r="BH25" s="832" t="s">
        <v>303</v>
      </c>
      <c r="BI25" s="831" t="str">
        <f>IF(N445="","",N445)</f>
        <v/>
      </c>
      <c r="BJ25" s="833" t="s">
        <v>304</v>
      </c>
      <c r="BK25" s="831" t="str">
        <f>IF(M445="","",M445)</f>
        <v/>
      </c>
      <c r="BW25" s="98"/>
      <c r="BZ25" s="92"/>
      <c r="CC25" s="7"/>
      <c r="CF25" s="784"/>
      <c r="CG25" s="8"/>
    </row>
    <row r="26" spans="2:101" ht="16" customHeight="1" x14ac:dyDescent="0.3">
      <c r="B26" s="974"/>
      <c r="C26" s="10"/>
      <c r="D26" s="10"/>
      <c r="E26" s="10"/>
      <c r="F26" s="10"/>
      <c r="G26" s="10"/>
      <c r="H26" s="10"/>
      <c r="I26" s="10"/>
      <c r="J26" s="10"/>
      <c r="K26" s="10"/>
      <c r="L26" s="10"/>
      <c r="M26" s="10"/>
      <c r="N26" s="10"/>
      <c r="O26" s="10"/>
      <c r="P26" s="10"/>
      <c r="Q26" s="10"/>
      <c r="R26" s="10"/>
      <c r="S26" s="10"/>
      <c r="T26" s="10"/>
      <c r="U26" s="10"/>
      <c r="AC26" s="10"/>
      <c r="AD26" s="10"/>
      <c r="AE26" s="10"/>
      <c r="AF26" s="977"/>
      <c r="AG26" s="977"/>
      <c r="AH26" s="975"/>
      <c r="AI26" s="975"/>
      <c r="AJ26" s="975"/>
      <c r="AK26" s="10"/>
      <c r="AL26" s="10"/>
      <c r="AM26" s="10"/>
      <c r="AN26" s="10"/>
      <c r="AO26" s="10"/>
      <c r="AP26" s="10"/>
      <c r="AQ26" s="1806"/>
      <c r="AR26" s="1806"/>
      <c r="AS26" s="1806"/>
      <c r="AT26" s="1806"/>
      <c r="AU26" s="1806"/>
      <c r="AV26" s="1806"/>
      <c r="AZ26" s="2" t="str">
        <f>D452</f>
        <v>Respecter les désirs de l'enfant</v>
      </c>
      <c r="BA26">
        <f>AK469</f>
        <v>1</v>
      </c>
      <c r="BB26">
        <f>AL469</f>
        <v>0</v>
      </c>
      <c r="BC26">
        <f>AM469</f>
        <v>1</v>
      </c>
      <c r="BD26" s="828" t="str">
        <f>D452</f>
        <v>Respecter les désirs de l'enfant</v>
      </c>
      <c r="BE26" s="829" t="s">
        <v>302</v>
      </c>
      <c r="BF26" s="830">
        <f>H464</f>
        <v>0</v>
      </c>
      <c r="BG26" s="831" t="str">
        <f>IF(L464="","",L464)</f>
        <v/>
      </c>
      <c r="BH26" s="832" t="s">
        <v>303</v>
      </c>
      <c r="BI26" s="831" t="str">
        <f>IF(N464="","",N464)</f>
        <v/>
      </c>
      <c r="BJ26" s="833" t="s">
        <v>304</v>
      </c>
      <c r="BK26" s="831" t="str">
        <f>IF(M464="","",M464)</f>
        <v/>
      </c>
      <c r="BW26" s="98"/>
      <c r="BZ26" s="92"/>
      <c r="CC26" s="7"/>
      <c r="CF26" s="784"/>
      <c r="CG26" s="8"/>
    </row>
    <row r="27" spans="2:101" ht="35" customHeight="1" x14ac:dyDescent="0.3">
      <c r="E27" s="814"/>
      <c r="F27" s="2165"/>
      <c r="G27" s="2165"/>
      <c r="H27" s="2165"/>
      <c r="I27" s="96"/>
      <c r="J27" s="96"/>
      <c r="K27" s="96"/>
      <c r="L27" s="815"/>
      <c r="M27" s="815"/>
      <c r="N27" s="815"/>
      <c r="O27" s="96"/>
      <c r="P27" s="96"/>
      <c r="Q27" s="96"/>
      <c r="R27" s="96"/>
      <c r="S27" s="96"/>
      <c r="T27" s="96"/>
      <c r="U27" s="96"/>
      <c r="V27" s="96"/>
      <c r="AD27" s="1646"/>
      <c r="AE27" s="1409"/>
      <c r="AF27" s="1409"/>
      <c r="AG27" s="1409"/>
      <c r="AH27" s="1409"/>
      <c r="AI27" s="1409" t="s">
        <v>1379</v>
      </c>
      <c r="AK27" s="10"/>
      <c r="AL27" s="10"/>
      <c r="AM27" s="10"/>
      <c r="AZ27" s="2" t="str">
        <f>D471</f>
        <v>Demande / force l'enfant à choisir</v>
      </c>
      <c r="BA27">
        <f>AK488</f>
        <v>1</v>
      </c>
      <c r="BB27">
        <f>AL488</f>
        <v>1</v>
      </c>
      <c r="BC27">
        <f>AM488</f>
        <v>0</v>
      </c>
      <c r="BD27" s="828" t="str">
        <f>D471</f>
        <v>Demande / force l'enfant à choisir</v>
      </c>
      <c r="BE27" s="829" t="s">
        <v>302</v>
      </c>
      <c r="BF27" s="830">
        <f>H483</f>
        <v>0</v>
      </c>
      <c r="BG27" s="831" t="str">
        <f>IF(L483="","",L483)</f>
        <v/>
      </c>
      <c r="BH27" s="832" t="s">
        <v>303</v>
      </c>
      <c r="BI27" s="831" t="str">
        <f>IF(N483="","",N483)</f>
        <v/>
      </c>
      <c r="BJ27" s="833" t="s">
        <v>304</v>
      </c>
      <c r="BK27" s="831" t="str">
        <f>IF(M483="","",M483)</f>
        <v/>
      </c>
      <c r="BW27" s="98"/>
      <c r="BZ27" s="92"/>
      <c r="CC27" s="7"/>
      <c r="CF27" s="784"/>
      <c r="CG27" s="8"/>
    </row>
    <row r="28" spans="2:101" ht="32" customHeight="1" thickBot="1" x14ac:dyDescent="0.4">
      <c r="C28" s="467" t="s">
        <v>1250</v>
      </c>
      <c r="F28" s="115"/>
      <c r="G28" s="1209"/>
      <c r="H28" s="115"/>
      <c r="AD28" t="s">
        <v>1387</v>
      </c>
      <c r="AI28" s="166">
        <f>'Constat Final'!V15</f>
        <v>0</v>
      </c>
      <c r="AK28" s="10"/>
      <c r="AL28" s="10"/>
      <c r="AM28" s="10"/>
      <c r="AZ28" s="2" t="str">
        <f>D490</f>
        <v>Transport d'objets d'un domicile à l'autre</v>
      </c>
      <c r="BA28">
        <f>AK507</f>
        <v>1</v>
      </c>
      <c r="BB28">
        <f>AL507</f>
        <v>1</v>
      </c>
      <c r="BC28">
        <f>AM507</f>
        <v>1</v>
      </c>
      <c r="BD28" s="828" t="str">
        <f>D490</f>
        <v>Transport d'objets d'un domicile à l'autre</v>
      </c>
      <c r="BE28" s="829" t="s">
        <v>302</v>
      </c>
      <c r="BF28" s="830">
        <f>H502</f>
        <v>26</v>
      </c>
      <c r="BG28" s="831" t="str">
        <f>IF(L503="","",L503)</f>
        <v/>
      </c>
      <c r="BH28" s="832" t="s">
        <v>303</v>
      </c>
      <c r="BI28" s="831" t="str">
        <f>IF(N503="","",N503)</f>
        <v/>
      </c>
      <c r="BJ28" s="833" t="s">
        <v>304</v>
      </c>
      <c r="BK28" s="831" t="str">
        <f>IF(M503="","",M503)</f>
        <v/>
      </c>
      <c r="BW28" s="98"/>
      <c r="BZ28" s="52" t="s">
        <v>326</v>
      </c>
      <c r="CC28" s="7" t="s">
        <v>327</v>
      </c>
      <c r="CF28" s="2235" t="s">
        <v>340</v>
      </c>
      <c r="CG28" s="2226" t="b">
        <v>0</v>
      </c>
      <c r="CU28" s="50" t="s">
        <v>1350</v>
      </c>
    </row>
    <row r="29" spans="2:101" ht="32" customHeight="1" x14ac:dyDescent="0.3">
      <c r="E29" s="108" t="s">
        <v>305</v>
      </c>
      <c r="F29" s="1612"/>
      <c r="G29" s="1612"/>
      <c r="H29" s="1612"/>
      <c r="I29" s="2270" t="s">
        <v>1395</v>
      </c>
      <c r="J29" s="2271"/>
      <c r="K29" s="2272"/>
      <c r="L29" s="2268"/>
      <c r="M29" s="2268"/>
      <c r="N29" s="2268"/>
      <c r="O29" s="1619"/>
      <c r="P29" s="2273" t="s">
        <v>1394</v>
      </c>
      <c r="Q29" s="2274"/>
      <c r="R29" s="2275"/>
      <c r="S29" s="1678" t="s">
        <v>1393</v>
      </c>
      <c r="T29" s="1618"/>
      <c r="U29" s="1619"/>
      <c r="V29" s="96"/>
      <c r="W29" s="96"/>
      <c r="AK29" s="10"/>
      <c r="AL29" s="10"/>
      <c r="AM29" s="10"/>
      <c r="AZ29" s="2" t="str">
        <f>D509</f>
        <v>Sérénité et confidence face à la séparation</v>
      </c>
      <c r="BA29">
        <f>AK527</f>
        <v>1</v>
      </c>
      <c r="BB29">
        <f>AL527</f>
        <v>1</v>
      </c>
      <c r="BC29">
        <f>AM527</f>
        <v>1</v>
      </c>
      <c r="BD29" s="828" t="str">
        <f>D509</f>
        <v>Sérénité et confidence face à la séparation</v>
      </c>
      <c r="BE29" s="829" t="s">
        <v>302</v>
      </c>
      <c r="BF29" s="830">
        <f>H522</f>
        <v>21</v>
      </c>
      <c r="BG29" s="831">
        <f>IF(L522="","",L522)</f>
        <v>0</v>
      </c>
      <c r="BH29" s="832" t="s">
        <v>303</v>
      </c>
      <c r="BI29" s="831" t="str">
        <f>IF(N522="","",N522)</f>
        <v/>
      </c>
      <c r="BJ29" s="833" t="s">
        <v>304</v>
      </c>
      <c r="BK29" s="831" t="str">
        <f>IF(M522="","",M522)</f>
        <v/>
      </c>
      <c r="BW29" s="6"/>
      <c r="BZ29" s="52" t="s">
        <v>331</v>
      </c>
      <c r="CC29" s="7" t="s">
        <v>327</v>
      </c>
      <c r="CF29" s="2235"/>
      <c r="CG29" s="2226"/>
    </row>
    <row r="30" spans="2:101" ht="32" customHeight="1" x14ac:dyDescent="0.3">
      <c r="B30" s="2029">
        <v>1</v>
      </c>
      <c r="D30" s="476" t="str">
        <f>'Action-Réaction finale'!F8</f>
        <v>Demande de garder des secrets</v>
      </c>
      <c r="E30" s="107"/>
      <c r="F30" s="65"/>
      <c r="G30" s="18"/>
      <c r="H30" s="18"/>
      <c r="I30" s="2255" t="s">
        <v>734</v>
      </c>
      <c r="J30" s="2256"/>
      <c r="K30" s="2256"/>
      <c r="L30" s="2257" t="s">
        <v>1378</v>
      </c>
      <c r="M30" s="2257"/>
      <c r="N30" s="2257"/>
      <c r="O30" s="2258"/>
      <c r="P30" s="2259" t="s">
        <v>733</v>
      </c>
      <c r="Q30" s="2260"/>
      <c r="R30" s="2261"/>
      <c r="S30" s="2262" t="s">
        <v>735</v>
      </c>
      <c r="T30" s="2263"/>
      <c r="U30" s="2264"/>
      <c r="V30" s="15"/>
      <c r="W30" s="15"/>
      <c r="AD30" s="956"/>
      <c r="AE30" s="956"/>
      <c r="AF30" s="956"/>
      <c r="AG30" s="956"/>
      <c r="AH30" s="956"/>
      <c r="AI30" s="957"/>
      <c r="AK30" s="10"/>
      <c r="AL30" s="10"/>
      <c r="AM30" s="10"/>
      <c r="AN30" s="1659" t="s">
        <v>734</v>
      </c>
      <c r="AO30" s="1659" t="s">
        <v>733</v>
      </c>
      <c r="AP30" s="1659" t="s">
        <v>735</v>
      </c>
      <c r="AQ30" s="2254" t="s">
        <v>734</v>
      </c>
      <c r="AR30" s="2254"/>
      <c r="AS30" s="2254" t="s">
        <v>733</v>
      </c>
      <c r="AT30" s="2254"/>
      <c r="AU30" s="2254" t="s">
        <v>735</v>
      </c>
      <c r="AV30" s="2254"/>
      <c r="AZ30" s="2" t="str">
        <f>D536</f>
        <v>Interrogatoires au retour de garde</v>
      </c>
      <c r="BA30">
        <f>AK553</f>
        <v>0</v>
      </c>
      <c r="BB30">
        <f>AL553</f>
        <v>1</v>
      </c>
      <c r="BC30">
        <f>AM553</f>
        <v>1</v>
      </c>
      <c r="BD30" s="816"/>
      <c r="BE30" s="110"/>
      <c r="BF30" s="477"/>
      <c r="BG30" s="113"/>
      <c r="BH30" s="481"/>
      <c r="BI30" s="113"/>
      <c r="BJ30" s="482"/>
      <c r="BK30" s="478"/>
      <c r="CU30" t="s">
        <v>1351</v>
      </c>
      <c r="CV30" t="s">
        <v>1354</v>
      </c>
      <c r="CW30" t="s">
        <v>1355</v>
      </c>
    </row>
    <row r="31" spans="2:101" ht="54" customHeight="1" x14ac:dyDescent="0.2">
      <c r="B31" s="2030"/>
      <c r="D31" s="102" t="s">
        <v>998</v>
      </c>
      <c r="E31" s="983" t="s">
        <v>997</v>
      </c>
      <c r="F31" s="32" t="s">
        <v>231</v>
      </c>
      <c r="G31" s="32" t="s">
        <v>22</v>
      </c>
      <c r="H31" s="32" t="s">
        <v>750</v>
      </c>
      <c r="I31" s="1620" t="s">
        <v>306</v>
      </c>
      <c r="J31" s="43" t="s">
        <v>307</v>
      </c>
      <c r="K31" s="43" t="s">
        <v>308</v>
      </c>
      <c r="L31" s="43" t="s">
        <v>413</v>
      </c>
      <c r="M31" s="43" t="s">
        <v>388</v>
      </c>
      <c r="N31" s="43" t="s">
        <v>389</v>
      </c>
      <c r="O31" s="1621" t="s">
        <v>390</v>
      </c>
      <c r="P31" s="1620" t="s">
        <v>306</v>
      </c>
      <c r="Q31" s="43" t="s">
        <v>307</v>
      </c>
      <c r="R31" s="1621" t="s">
        <v>308</v>
      </c>
      <c r="S31" s="1620" t="s">
        <v>306</v>
      </c>
      <c r="T31" s="43" t="s">
        <v>307</v>
      </c>
      <c r="U31" s="1621" t="s">
        <v>308</v>
      </c>
      <c r="V31" s="818"/>
      <c r="W31" s="955" t="s">
        <v>928</v>
      </c>
      <c r="X31" s="1391" t="s">
        <v>734</v>
      </c>
      <c r="Y31" s="955" t="s">
        <v>928</v>
      </c>
      <c r="Z31" s="1395" t="s">
        <v>733</v>
      </c>
      <c r="AA31" s="955"/>
      <c r="AB31" s="1399" t="s">
        <v>735</v>
      </c>
      <c r="AD31" s="970" t="s">
        <v>734</v>
      </c>
      <c r="AE31" s="971" t="s">
        <v>946</v>
      </c>
      <c r="AF31" s="970" t="s">
        <v>733</v>
      </c>
      <c r="AG31" s="971" t="s">
        <v>947</v>
      </c>
      <c r="AH31" s="970" t="s">
        <v>735</v>
      </c>
      <c r="AI31" s="971" t="s">
        <v>948</v>
      </c>
      <c r="AK31" s="10"/>
      <c r="AL31" s="10"/>
      <c r="AM31" s="10"/>
      <c r="AN31" s="10"/>
      <c r="AO31" s="10"/>
      <c r="AP31" s="10"/>
      <c r="AQ31" s="1806" t="s">
        <v>1322</v>
      </c>
      <c r="AR31" s="1806" t="s">
        <v>1323</v>
      </c>
      <c r="AS31" s="1806" t="s">
        <v>1322</v>
      </c>
      <c r="AT31" s="1806" t="s">
        <v>1323</v>
      </c>
      <c r="AU31" s="1806" t="s">
        <v>1322</v>
      </c>
      <c r="AV31" s="1806" t="s">
        <v>1323</v>
      </c>
      <c r="AZ31" s="2" t="str">
        <f>D556</f>
        <v>Exigences de coparentalité</v>
      </c>
      <c r="BA31">
        <f>AK573</f>
        <v>0</v>
      </c>
      <c r="BB31">
        <f>AL573</f>
        <v>0</v>
      </c>
      <c r="BC31">
        <f>AM573</f>
        <v>1</v>
      </c>
      <c r="BD31" s="816"/>
      <c r="BE31" s="110"/>
      <c r="BF31" s="477"/>
      <c r="BG31" s="113"/>
      <c r="BH31" s="481"/>
      <c r="BI31" s="113"/>
      <c r="BJ31" s="482"/>
      <c r="BK31" s="478"/>
      <c r="CV31" t="s">
        <v>1356</v>
      </c>
    </row>
    <row r="32" spans="2:101" ht="32" customHeight="1" x14ac:dyDescent="0.2">
      <c r="B32" s="2031" t="str">
        <f>'Action-Réaction finale'!I8</f>
        <v>A:Alliance</v>
      </c>
      <c r="C32" s="414" t="str">
        <f>'Action-Réaction finale'!G8</f>
        <v>PFA03</v>
      </c>
      <c r="D32" s="26" t="str">
        <f>Test_Bible!B170</f>
        <v>Selon vous, dans quelle mesure l'autre parent demande à votre enfant de garder des secrets ou de vous cacher des choses ?</v>
      </c>
      <c r="E32" s="101" t="s">
        <v>415</v>
      </c>
      <c r="F32" s="790">
        <f>Test_Bible!P170</f>
        <v>7</v>
      </c>
      <c r="G32" s="789">
        <f>Test_Bible!D170</f>
        <v>2</v>
      </c>
      <c r="H32" s="790">
        <f>F32*G32</f>
        <v>14</v>
      </c>
      <c r="I32" s="1622">
        <v>4</v>
      </c>
      <c r="J32" s="1615">
        <v>10</v>
      </c>
      <c r="K32" s="45" t="b">
        <f>IF(AND(F32&gt;=I32,F32&lt;=J32),TRUE,FALSE)</f>
        <v>1</v>
      </c>
      <c r="L32" s="45"/>
      <c r="M32" s="45"/>
      <c r="N32" s="45"/>
      <c r="O32" s="1623"/>
      <c r="P32" s="1622">
        <v>2</v>
      </c>
      <c r="Q32" s="1615">
        <v>7</v>
      </c>
      <c r="R32" s="1623" t="b">
        <f>IF(AND(F32&gt;=P32,F32&lt;=Q32),TRUE,FALSE)</f>
        <v>1</v>
      </c>
      <c r="S32" s="1647">
        <v>11</v>
      </c>
      <c r="T32" s="1648">
        <v>11</v>
      </c>
      <c r="U32" s="1623" t="b">
        <f>IF(AND(F32&gt;=S32,F32&lt;=T32),TRUE,FALSE)</f>
        <v>0</v>
      </c>
      <c r="V32" s="931"/>
      <c r="W32" s="1403"/>
      <c r="X32" s="1404">
        <v>2</v>
      </c>
      <c r="Y32" s="1405"/>
      <c r="Z32" s="1408">
        <v>2</v>
      </c>
      <c r="AA32" s="1405"/>
      <c r="AB32" s="1416">
        <v>11</v>
      </c>
      <c r="AD32" s="958"/>
      <c r="AE32" s="959"/>
      <c r="AF32" s="958"/>
      <c r="AG32" s="959"/>
      <c r="AH32" s="958"/>
      <c r="AI32" s="959"/>
      <c r="AK32" s="10"/>
      <c r="AL32" s="10"/>
      <c r="AM32" s="10"/>
      <c r="AN32" s="975">
        <f>IF($K32=TRUE,H32,0)</f>
        <v>14</v>
      </c>
      <c r="AO32" s="975">
        <f>IF($R32=TRUE,H32,0)</f>
        <v>14</v>
      </c>
      <c r="AP32" s="975">
        <f>IF($U32=TRUE,H32,0)</f>
        <v>0</v>
      </c>
      <c r="AQ32" s="1806">
        <f>IF(I32=11,0,G32*I32)</f>
        <v>8</v>
      </c>
      <c r="AR32" s="1806">
        <f>IF(J32=11,0,G32*J32)</f>
        <v>20</v>
      </c>
      <c r="AS32" s="1806">
        <f>IF(P32=11,0,G32*P32)</f>
        <v>4</v>
      </c>
      <c r="AT32" s="1806">
        <f>IF(Q32=11,0,G32*Q32)</f>
        <v>14</v>
      </c>
      <c r="AU32" s="1806">
        <f>IF(S32=11,0,S32*G32)</f>
        <v>0</v>
      </c>
      <c r="AV32" s="1806">
        <f>IF(T32=11,0,T32*G32)</f>
        <v>0</v>
      </c>
      <c r="AZ32" s="2" t="str">
        <f>D576</f>
        <v>Valeur du co-parent</v>
      </c>
      <c r="BA32">
        <f>AK593</f>
        <v>1</v>
      </c>
      <c r="BB32">
        <f>AL593</f>
        <v>0</v>
      </c>
      <c r="BC32">
        <f>AM593</f>
        <v>1</v>
      </c>
      <c r="BD32" s="816"/>
      <c r="BE32" s="110"/>
      <c r="BF32" s="477"/>
      <c r="BG32" s="113"/>
      <c r="BH32" s="481"/>
      <c r="BI32" s="113"/>
      <c r="BJ32" s="482"/>
      <c r="BK32" s="478"/>
      <c r="CU32" t="s">
        <v>1352</v>
      </c>
    </row>
    <row r="33" spans="2:99" ht="32" customHeight="1" x14ac:dyDescent="0.2">
      <c r="B33" s="2030"/>
      <c r="C33" s="414"/>
      <c r="D33" s="26"/>
      <c r="E33" s="101"/>
      <c r="F33" s="790"/>
      <c r="G33" s="789"/>
      <c r="H33" s="790">
        <f>F33*G33</f>
        <v>0</v>
      </c>
      <c r="I33" s="1647">
        <v>11</v>
      </c>
      <c r="J33" s="1648">
        <v>11</v>
      </c>
      <c r="K33" s="45" t="b">
        <f>IF(AND(F33&gt;=I33,F33&lt;=J33),TRUE,FALSE)</f>
        <v>0</v>
      </c>
      <c r="L33" s="45"/>
      <c r="M33" s="45"/>
      <c r="N33" s="45"/>
      <c r="O33" s="1623"/>
      <c r="P33" s="1647">
        <v>11</v>
      </c>
      <c r="Q33" s="1648">
        <v>11</v>
      </c>
      <c r="R33" s="1623" t="b">
        <f>IF(AND(F33&gt;=P33,F33&lt;=Q33),TRUE,FALSE)</f>
        <v>0</v>
      </c>
      <c r="S33" s="1647">
        <v>11</v>
      </c>
      <c r="T33" s="1648">
        <v>11</v>
      </c>
      <c r="U33" s="1623" t="b">
        <f>IF(AND(F33&gt;=S33,F33&lt;=T33),TRUE,FALSE)</f>
        <v>0</v>
      </c>
      <c r="V33" s="931"/>
      <c r="W33" s="1406" t="s">
        <v>943</v>
      </c>
      <c r="X33" s="1425">
        <v>11</v>
      </c>
      <c r="Y33" s="1426"/>
      <c r="Z33" s="1427">
        <v>11</v>
      </c>
      <c r="AA33" s="1426"/>
      <c r="AB33" s="1421">
        <v>11</v>
      </c>
      <c r="AD33" s="960"/>
      <c r="AE33" s="961"/>
      <c r="AF33" s="960"/>
      <c r="AG33" s="961"/>
      <c r="AH33" s="960"/>
      <c r="AI33" s="961"/>
      <c r="AK33" s="10"/>
      <c r="AL33" s="10"/>
      <c r="AM33" s="10"/>
      <c r="AN33" s="975">
        <f>IF($K33=TRUE,H33,0)</f>
        <v>0</v>
      </c>
      <c r="AO33" s="975">
        <f>IF($R33=TRUE,H33,0)</f>
        <v>0</v>
      </c>
      <c r="AP33" s="975">
        <f>IF($U33=TRUE,H33,0)</f>
        <v>0</v>
      </c>
      <c r="AQ33" s="1806">
        <f>IF(I33=11,0,G33*I33)</f>
        <v>0</v>
      </c>
      <c r="AR33" s="1806">
        <f>IF(J33=11,0,G33*J33)</f>
        <v>0</v>
      </c>
      <c r="AS33" s="1806">
        <f>IF(P33=11,0,G33*P33)</f>
        <v>0</v>
      </c>
      <c r="AT33" s="1806">
        <f>IF(Q33=11,0,G33*Q33)</f>
        <v>0</v>
      </c>
      <c r="AU33" s="1806">
        <f>IF(S33=11,0,S33*G33)</f>
        <v>0</v>
      </c>
      <c r="AV33" s="1806">
        <f>IF(T33=11,0,T33*G33)</f>
        <v>0</v>
      </c>
      <c r="AZ33" s="2" t="str">
        <f>D596</f>
        <v>Prise de décision sans le consentement de l'autre</v>
      </c>
      <c r="BA33">
        <f>AK613</f>
        <v>0</v>
      </c>
      <c r="BB33">
        <f>AL613</f>
        <v>0</v>
      </c>
      <c r="BC33">
        <f>AM613</f>
        <v>1</v>
      </c>
      <c r="BD33" s="816"/>
      <c r="BE33" s="110"/>
      <c r="BF33" s="477"/>
      <c r="BG33" s="113"/>
      <c r="BH33" s="481"/>
      <c r="BI33" s="113"/>
      <c r="BJ33" s="482"/>
      <c r="BK33" s="478"/>
    </row>
    <row r="34" spans="2:99" ht="32" customHeight="1" x14ac:dyDescent="0.2">
      <c r="B34" s="2030"/>
      <c r="C34" s="792" t="s">
        <v>745</v>
      </c>
      <c r="D34" s="793" t="str">
        <f>_xlfn.XLOOKUP(H34,H32:H33,D32:D33)</f>
        <v>Selon vous, dans quelle mesure l'autre parent demande à votre enfant de garder des secrets ou de vous cacher des choses ?</v>
      </c>
      <c r="E34" s="794" t="str">
        <f>_xlfn.XLOOKUP(H34,H32:H33,E32:E33)</f>
        <v>demande de garder des secrets | cacher des choses</v>
      </c>
      <c r="F34" s="795"/>
      <c r="G34" s="795"/>
      <c r="H34" s="795">
        <f>IF(AND(K32=TRUE,K33=FALSE),H32,IF(AND(K32=FALSE,K33=TRUE),H33,MAX(H32,H33)))</f>
        <v>14</v>
      </c>
      <c r="I34" s="1624"/>
      <c r="J34" s="796"/>
      <c r="K34" s="797" t="b">
        <f>IF(AND(K32=FALSE,K33=FALSE),FALSE,TRUE)</f>
        <v>1</v>
      </c>
      <c r="L34" s="45"/>
      <c r="M34" s="45"/>
      <c r="N34" s="45"/>
      <c r="O34" s="1623"/>
      <c r="P34" s="1624"/>
      <c r="Q34" s="796"/>
      <c r="R34" s="1637" t="b">
        <f>IF(AND(R32=FALSE,R33=FALSE),FALSE,TRUE)</f>
        <v>1</v>
      </c>
      <c r="S34" s="1624"/>
      <c r="T34" s="796"/>
      <c r="U34" s="1637" t="b">
        <f>IF(AND(U32=FALSE,U33=FALSE),FALSE,TRUE)</f>
        <v>0</v>
      </c>
      <c r="V34" s="931"/>
      <c r="W34" s="931" t="s">
        <v>943</v>
      </c>
      <c r="X34" s="1393"/>
      <c r="Y34" s="284"/>
      <c r="Z34" s="1396"/>
      <c r="AA34" s="284"/>
      <c r="AB34" s="1401"/>
      <c r="AD34" s="960"/>
      <c r="AE34" s="961"/>
      <c r="AF34" s="960"/>
      <c r="AG34" s="961"/>
      <c r="AH34" s="960"/>
      <c r="AI34" s="961"/>
      <c r="AK34" s="10"/>
      <c r="AL34" s="10"/>
      <c r="AM34" s="10"/>
      <c r="AN34" s="2100">
        <f>IF($K34=TRUE,MAX(AN32:AN33),0)</f>
        <v>14</v>
      </c>
      <c r="AO34" s="2100">
        <f>IF($R34=TRUE,MAX(AO32:AO33),0)</f>
        <v>14</v>
      </c>
      <c r="AP34" s="2100">
        <f>IF($U34=TRUE,MAX(AP32:AP33),0)</f>
        <v>0</v>
      </c>
      <c r="AQ34" s="2099">
        <f>MAX(AQ32:AQ33)</f>
        <v>8</v>
      </c>
      <c r="AR34" s="2099">
        <f t="shared" ref="AR34:AV34" si="0">MAX(AR32:AR33)</f>
        <v>20</v>
      </c>
      <c r="AS34" s="2099">
        <f t="shared" si="0"/>
        <v>4</v>
      </c>
      <c r="AT34" s="2099">
        <f t="shared" si="0"/>
        <v>14</v>
      </c>
      <c r="AU34" s="2099">
        <f t="shared" si="0"/>
        <v>0</v>
      </c>
      <c r="AV34" s="2099">
        <f t="shared" si="0"/>
        <v>0</v>
      </c>
      <c r="AZ34" s="2" t="str">
        <f>D616</f>
        <v>Respect de l'ordonnance de garde</v>
      </c>
      <c r="BA34">
        <f>AK633</f>
        <v>1</v>
      </c>
      <c r="BB34">
        <f>AL633</f>
        <v>0</v>
      </c>
      <c r="BC34">
        <f>AM633</f>
        <v>1</v>
      </c>
      <c r="BD34" s="816"/>
      <c r="BE34" s="110"/>
      <c r="BF34" s="477"/>
      <c r="BG34" s="113"/>
      <c r="BH34" s="481"/>
      <c r="BI34" s="113"/>
      <c r="BJ34" s="482"/>
      <c r="BK34" s="478"/>
    </row>
    <row r="35" spans="2:99" ht="32" customHeight="1" x14ac:dyDescent="0.2">
      <c r="B35" s="2030"/>
      <c r="C35" s="52"/>
      <c r="D35" s="26"/>
      <c r="E35" s="101"/>
      <c r="F35" s="790"/>
      <c r="G35" s="789"/>
      <c r="H35" s="790">
        <f>F35*G35</f>
        <v>0</v>
      </c>
      <c r="I35" s="1647">
        <v>11</v>
      </c>
      <c r="J35" s="1648">
        <v>11</v>
      </c>
      <c r="K35" s="45" t="b">
        <f>IF(AND(F35&gt;=I35,F35&lt;=J35),TRUE,FALSE)</f>
        <v>0</v>
      </c>
      <c r="L35" s="45"/>
      <c r="M35" s="45"/>
      <c r="N35" s="45"/>
      <c r="O35" s="1623"/>
      <c r="P35" s="1647">
        <v>11</v>
      </c>
      <c r="Q35" s="1648">
        <v>11</v>
      </c>
      <c r="R35" s="1623" t="b">
        <f>IF(AND(F35&gt;=P35,F35&lt;=Q35),TRUE,FALSE)</f>
        <v>0</v>
      </c>
      <c r="S35" s="1647">
        <v>11</v>
      </c>
      <c r="T35" s="1648">
        <v>11</v>
      </c>
      <c r="U35" s="1623" t="b">
        <f>IF(AND(F35&gt;=S35,F35&lt;=T35),TRUE,FALSE)</f>
        <v>0</v>
      </c>
      <c r="V35" s="931"/>
      <c r="W35" s="1403"/>
      <c r="X35" s="1422">
        <v>11</v>
      </c>
      <c r="Y35" s="1423"/>
      <c r="Z35" s="1424">
        <v>11</v>
      </c>
      <c r="AA35" s="1423"/>
      <c r="AB35" s="1416">
        <v>11</v>
      </c>
      <c r="AD35" s="960"/>
      <c r="AE35" s="961"/>
      <c r="AF35" s="960"/>
      <c r="AG35" s="961"/>
      <c r="AH35" s="960"/>
      <c r="AI35" s="961"/>
      <c r="AK35" s="10"/>
      <c r="AL35" s="10"/>
      <c r="AM35" s="10"/>
      <c r="AN35" s="975">
        <f>IF(K35=TRUE,H35,0)</f>
        <v>0</v>
      </c>
      <c r="AO35" s="975">
        <f>IF(R35=TRUE,H35,0)</f>
        <v>0</v>
      </c>
      <c r="AP35" s="975">
        <f>IF(U35=TRUE,H35,0)</f>
        <v>0</v>
      </c>
      <c r="AQ35" s="1806">
        <f>IF(I35=11,0,G35*I35)</f>
        <v>0</v>
      </c>
      <c r="AR35" s="1806">
        <f>IF(J35=11,0,G35*J35)</f>
        <v>0</v>
      </c>
      <c r="AS35" s="1806">
        <f>IF(P35=11,0,G35*P35)</f>
        <v>0</v>
      </c>
      <c r="AT35" s="1806">
        <f>IF(Q35=11,0,G35*Q35)</f>
        <v>0</v>
      </c>
      <c r="AU35" s="1806">
        <f>IF(S35=11,0,S35*G35)</f>
        <v>0</v>
      </c>
      <c r="AV35" s="1806">
        <f>IF(T35=11,0,T35*G35)</f>
        <v>0</v>
      </c>
      <c r="AZ35" s="21" t="s">
        <v>2015</v>
      </c>
      <c r="BA35" s="21">
        <f>AG21</f>
        <v>25</v>
      </c>
      <c r="BB35" s="21">
        <f>AH21</f>
        <v>17</v>
      </c>
      <c r="BC35" s="21">
        <f>AI21</f>
        <v>10</v>
      </c>
      <c r="BD35" s="816"/>
      <c r="BE35" s="110"/>
      <c r="BF35" s="477"/>
      <c r="BG35" s="113"/>
      <c r="BH35" s="481"/>
      <c r="BI35" s="113"/>
      <c r="BJ35" s="482"/>
      <c r="BK35" s="478"/>
      <c r="CU35" t="s">
        <v>1353</v>
      </c>
    </row>
    <row r="36" spans="2:99" ht="32" customHeight="1" x14ac:dyDescent="0.2">
      <c r="B36" s="2030"/>
      <c r="C36" s="52"/>
      <c r="D36" s="26"/>
      <c r="E36" s="62"/>
      <c r="F36" s="35"/>
      <c r="G36" s="35"/>
      <c r="H36" s="35">
        <f>F36*G36</f>
        <v>0</v>
      </c>
      <c r="I36" s="1647">
        <v>11</v>
      </c>
      <c r="J36" s="1648">
        <v>11</v>
      </c>
      <c r="K36" s="45" t="b">
        <f>IF(AND(F36&gt;=I36,F36&lt;=J36),TRUE,FALSE)</f>
        <v>0</v>
      </c>
      <c r="L36" s="45"/>
      <c r="M36" s="45"/>
      <c r="N36" s="45"/>
      <c r="O36" s="1623"/>
      <c r="P36" s="1647">
        <v>11</v>
      </c>
      <c r="Q36" s="1648">
        <v>11</v>
      </c>
      <c r="R36" s="1623" t="b">
        <f>IF(AND(F36&gt;=P36,F36&lt;=Q36),TRUE,FALSE)</f>
        <v>0</v>
      </c>
      <c r="S36" s="1647">
        <v>11</v>
      </c>
      <c r="T36" s="1648">
        <v>11</v>
      </c>
      <c r="U36" s="1623" t="b">
        <f>IF(AND(F36&gt;=S36,F36&lt;=T36),TRUE,FALSE)</f>
        <v>0</v>
      </c>
      <c r="V36" s="931"/>
      <c r="W36" s="1406" t="s">
        <v>943</v>
      </c>
      <c r="X36" s="1425">
        <v>11</v>
      </c>
      <c r="Y36" s="1426"/>
      <c r="Z36" s="1427">
        <v>11</v>
      </c>
      <c r="AA36" s="1426"/>
      <c r="AB36" s="1421">
        <v>11</v>
      </c>
      <c r="AD36" s="960"/>
      <c r="AE36" s="961"/>
      <c r="AF36" s="960"/>
      <c r="AG36" s="961"/>
      <c r="AH36" s="960"/>
      <c r="AI36" s="961"/>
      <c r="AK36" s="10"/>
      <c r="AL36" s="10"/>
      <c r="AM36" s="10"/>
      <c r="AN36" s="975">
        <f>IF(K36=TRUE,H36,0)</f>
        <v>0</v>
      </c>
      <c r="AO36" s="975">
        <f>IF(R36=TRUE,H36,0)</f>
        <v>0</v>
      </c>
      <c r="AP36" s="975">
        <f>IF(U36=TRUE,H36,0)</f>
        <v>0</v>
      </c>
      <c r="AQ36" s="1806">
        <f>IF(I36=11,0,G36*I36)</f>
        <v>0</v>
      </c>
      <c r="AR36" s="1806">
        <f>IF(J36=11,0,G36*J36)</f>
        <v>0</v>
      </c>
      <c r="AS36" s="1806">
        <f>IF(P36=11,0,G36*P36)</f>
        <v>0</v>
      </c>
      <c r="AT36" s="1806">
        <f>IF(Q36=11,0,G36*Q36)</f>
        <v>0</v>
      </c>
      <c r="AU36" s="1806">
        <f>IF(S36=11,0,S36*G36)</f>
        <v>0</v>
      </c>
      <c r="AV36" s="1806">
        <f>IF(T36=11,0,T36*G36)</f>
        <v>0</v>
      </c>
      <c r="AZ36" s="21" t="s">
        <v>2014</v>
      </c>
      <c r="BA36" s="21">
        <f>SUM(BA4:BA34)</f>
        <v>28</v>
      </c>
      <c r="BB36" s="21">
        <f>SUM(BB4:BB34)</f>
        <v>25</v>
      </c>
      <c r="BC36" s="21">
        <f>SUM(BC4:BC34)</f>
        <v>23</v>
      </c>
      <c r="BD36" s="816"/>
      <c r="BE36" s="110"/>
      <c r="BF36" s="477"/>
      <c r="BG36" s="113"/>
      <c r="BH36" s="481"/>
      <c r="BI36" s="113"/>
      <c r="BJ36" s="482"/>
      <c r="BK36" s="478"/>
    </row>
    <row r="37" spans="2:99" ht="32" customHeight="1" thickBot="1" x14ac:dyDescent="0.25">
      <c r="B37" s="2030"/>
      <c r="C37" s="798" t="s">
        <v>746</v>
      </c>
      <c r="D37" s="799">
        <f>_xlfn.XLOOKUP(H37,H35:H36,D35:D36)</f>
        <v>0</v>
      </c>
      <c r="E37" s="800">
        <f>_xlfn.XLOOKUP(H37,H35:H36,E35:E36)</f>
        <v>0</v>
      </c>
      <c r="F37" s="801"/>
      <c r="G37" s="801"/>
      <c r="H37" s="795">
        <f>IF(AND(K35=TRUE,K36=FALSE),H35,IF(AND(K35=FALSE,K36=TRUE),H36,MAX(H35,H36)))</f>
        <v>0</v>
      </c>
      <c r="I37" s="1625"/>
      <c r="J37" s="802"/>
      <c r="K37" s="803" t="b">
        <f>IF(AND(K35=FALSE,K36=FALSE),FALSE,TRUE)</f>
        <v>0</v>
      </c>
      <c r="L37" s="45"/>
      <c r="M37" s="45"/>
      <c r="N37" s="45"/>
      <c r="O37" s="1623"/>
      <c r="P37" s="1625"/>
      <c r="Q37" s="802"/>
      <c r="R37" s="1638" t="b">
        <f>IF(AND(R35=FALSE,R36=FALSE),FALSE,TRUE)</f>
        <v>0</v>
      </c>
      <c r="S37" s="1625"/>
      <c r="T37" s="802"/>
      <c r="U37" s="1638" t="b">
        <f>IF(AND(U35=FALSE,U36=FALSE),FALSE,TRUE)</f>
        <v>0</v>
      </c>
      <c r="V37" s="931"/>
      <c r="W37" s="931"/>
      <c r="X37" s="1392"/>
      <c r="Y37" s="8"/>
      <c r="Z37" s="1397"/>
      <c r="AA37" s="8"/>
      <c r="AB37" s="1400"/>
      <c r="AD37" s="960"/>
      <c r="AE37" s="961"/>
      <c r="AF37" s="960"/>
      <c r="AG37" s="961"/>
      <c r="AH37" s="960"/>
      <c r="AI37" s="961"/>
      <c r="AK37" s="10"/>
      <c r="AL37" s="10"/>
      <c r="AM37" s="10"/>
      <c r="AN37" s="2100">
        <f>IF($K37=TRUE,MAX(AN35:AN36),0)</f>
        <v>0</v>
      </c>
      <c r="AO37" s="2100">
        <f>IF($R37=TRUE,MAX(AO35:AO36),0)</f>
        <v>0</v>
      </c>
      <c r="AP37" s="2100">
        <f>IF($U37=TRUE,MAX(AP35:AP36),0)</f>
        <v>0</v>
      </c>
      <c r="AQ37" s="2099">
        <f>MAX(AQ35:AQ36)</f>
        <v>0</v>
      </c>
      <c r="AR37" s="2099">
        <f t="shared" ref="AR37" si="1">MAX(AR35:AR36)</f>
        <v>0</v>
      </c>
      <c r="AS37" s="2099">
        <f t="shared" ref="AS37" si="2">MAX(AS35:AS36)</f>
        <v>0</v>
      </c>
      <c r="AT37" s="2099">
        <f t="shared" ref="AT37" si="3">MAX(AT35:AT36)</f>
        <v>0</v>
      </c>
      <c r="AU37" s="2099">
        <f t="shared" ref="AU37" si="4">MAX(AU35:AU36)</f>
        <v>0</v>
      </c>
      <c r="AV37" s="2099">
        <f t="shared" ref="AV37" si="5">MAX(AV35:AV36)</f>
        <v>0</v>
      </c>
      <c r="BC37" s="7"/>
      <c r="BD37" s="816"/>
      <c r="BE37" s="110"/>
      <c r="BF37" s="477"/>
      <c r="BG37" s="113"/>
      <c r="BH37" s="481"/>
      <c r="BI37" s="113"/>
      <c r="BJ37" s="482"/>
      <c r="BK37" s="478"/>
    </row>
    <row r="38" spans="2:99" ht="32" customHeight="1" thickBot="1" x14ac:dyDescent="0.25">
      <c r="B38" s="2030"/>
      <c r="C38" s="804" t="s">
        <v>754</v>
      </c>
      <c r="D38" s="805"/>
      <c r="E38" s="805" t="str">
        <f>IF(H38=H34,E34,E37)</f>
        <v>demande de garder des secrets | cacher des choses</v>
      </c>
      <c r="F38" s="806"/>
      <c r="G38" s="806"/>
      <c r="H38" s="806">
        <f>IF(AND($K34=TRUE,$K37=FALSE),H34,IF(AND($K34=FALSE,$K37=TRUE),H37,IF(AND($K34=TRUE,$K37=TRUE),H34+H37,MAX(H34,H37))))</f>
        <v>14</v>
      </c>
      <c r="I38" s="1626"/>
      <c r="J38" s="807"/>
      <c r="K38" s="808" t="b">
        <f>IF(AND(K34=FALSE,K37=FALSE),FALSE,TRUE)</f>
        <v>1</v>
      </c>
      <c r="L38" s="1610"/>
      <c r="M38" s="1610"/>
      <c r="N38" s="1610"/>
      <c r="O38" s="1627"/>
      <c r="P38" s="1626"/>
      <c r="Q38" s="807"/>
      <c r="R38" s="808" t="b">
        <f>IF(AND(R34=FALSE,R37=FALSE),FALSE,TRUE)</f>
        <v>1</v>
      </c>
      <c r="S38" s="1626"/>
      <c r="T38" s="807"/>
      <c r="U38" s="808" t="b">
        <f>IF(AND(U34=FALSE,U37=FALSE),FALSE,TRUE)</f>
        <v>0</v>
      </c>
      <c r="V38" s="931"/>
      <c r="W38" s="931" t="s">
        <v>942</v>
      </c>
      <c r="X38" s="1392"/>
      <c r="Y38" s="8"/>
      <c r="Z38" s="1397"/>
      <c r="AA38" s="8"/>
      <c r="AB38" s="1400"/>
      <c r="AD38" s="960" t="str">
        <f>IF(K38=TRUE,"V","F")</f>
        <v>V</v>
      </c>
      <c r="AE38" s="961"/>
      <c r="AF38" s="960" t="str">
        <f>IF(R38=TRUE,"V","F")</f>
        <v>V</v>
      </c>
      <c r="AG38" s="961"/>
      <c r="AH38" s="960" t="str">
        <f>IF(U38=TRUE,"V","F")</f>
        <v>F</v>
      </c>
      <c r="AI38" s="961"/>
      <c r="AJ38" t="str">
        <f>IF(OR(AD38="V",AF38="V"),IF(H37&gt;H34,"Le NC contribue plus que le coparent","Le coparent joue un plus grand rôle que le NC"),"pas de contexte significatif de la part du coparent et NC")</f>
        <v>Le coparent joue un plus grand rôle que le NC</v>
      </c>
      <c r="AK38" s="10"/>
      <c r="AL38" s="10"/>
      <c r="AM38" s="10"/>
      <c r="AN38" s="631">
        <f>IF(AND($K34=TRUE,$K37=FALSE),AN34,IF(AND($K34=FALSE,$K37=TRUE),AN37,IF(AND($K34=TRUE,$K37=TRUE),AN34+AN37,0)))</f>
        <v>14</v>
      </c>
      <c r="AO38" s="631">
        <f>IF(AND($R34=TRUE,$R37=FALSE),AO34,IF(AND($R34=FALSE,$R37=TRUE),AO37,IF(AND($R34=TRUE,$R37=TRUE),AO34+AO37,0)))</f>
        <v>14</v>
      </c>
      <c r="AP38" s="631">
        <f>IF(AND($U34=TRUE,$U37=FALSE),AP34,IF(AND($U34=FALSE,$U37=TRUE),AP37,IF(AND($U34=TRUE,$U37=TRUE),AP34+AP37,0)))</f>
        <v>0</v>
      </c>
      <c r="AQ38" s="631">
        <f>IF(AND($K34=TRUE,$K37=FALSE),AQ34,IF(AND($K34=FALSE,$K37=TRUE),AQ37,IF(AND($K34=TRUE,$K37=TRUE),AQ34+AQ37,MAX(AQ34,AQ37))))</f>
        <v>8</v>
      </c>
      <c r="AR38" s="631">
        <f>IF(AND($K34=TRUE,$K37=FALSE),AR34,IF(AND($K34=FALSE,$K37=TRUE),AR37,IF(AND($K34=TRUE,$K37=TRUE),AR34+AR37,MAX(AR34,AR37))))</f>
        <v>20</v>
      </c>
      <c r="AS38" s="631">
        <f t="shared" ref="AS38:AT38" si="6">IF(AND($R34=TRUE,$R37=FALSE),AS34,IF(AND($R34=FALSE,$R37=TRUE),AS37,IF(AND($R34=TRUE,$R37=TRUE),AS34+AS37,MAX(AS34,AS37))))</f>
        <v>4</v>
      </c>
      <c r="AT38" s="631">
        <f t="shared" si="6"/>
        <v>14</v>
      </c>
      <c r="AU38" s="631">
        <f t="shared" ref="AU38:AV38" si="7">IF(AND($U34=TRUE,$U37=FALSE),AU34,IF(AND($U34=FALSE,$U37=TRUE),AU37,IF(AND($U34=TRUE,$U37=TRUE),AU34+AU37,MAX(AU34,AU37))))</f>
        <v>0</v>
      </c>
      <c r="AV38" s="631">
        <f t="shared" si="7"/>
        <v>0</v>
      </c>
      <c r="BC38" s="7"/>
      <c r="BD38" s="816"/>
      <c r="BE38" s="110"/>
      <c r="BF38" s="477"/>
      <c r="BG38" s="113"/>
      <c r="BH38" s="481"/>
      <c r="BI38" s="113"/>
      <c r="BJ38" s="482"/>
      <c r="BK38" s="478"/>
    </row>
    <row r="39" spans="2:99" ht="49" customHeight="1" x14ac:dyDescent="0.2">
      <c r="B39" s="2030" t="str">
        <f>'Action-Réaction finale'!Q8</f>
        <v>A:Alliance</v>
      </c>
      <c r="C39" s="313" t="str">
        <f>'Action-Réaction finale'!O8</f>
        <v>E03</v>
      </c>
      <c r="D39" s="26" t="str">
        <f>Test_Bible!B267</f>
        <v>Votre enfant garde des secrets et vous cache de l'information concernant sa relation avec l'autre parent.</v>
      </c>
      <c r="E39" s="62" t="s">
        <v>416</v>
      </c>
      <c r="F39" s="790">
        <f>Test_Bible!P267</f>
        <v>7</v>
      </c>
      <c r="G39" s="789">
        <f>Test_Bible!D267</f>
        <v>1</v>
      </c>
      <c r="H39" s="790">
        <f>F39*G39</f>
        <v>7</v>
      </c>
      <c r="I39" s="1622">
        <v>4</v>
      </c>
      <c r="J39" s="1615">
        <f>$J$18</f>
        <v>10</v>
      </c>
      <c r="K39" s="45" t="b">
        <f>IF(AND(F39&gt;=I39,F39&lt;=J39),TRUE,FALSE)</f>
        <v>1</v>
      </c>
      <c r="L39" s="45"/>
      <c r="M39" s="45"/>
      <c r="N39" s="45"/>
      <c r="O39" s="1623"/>
      <c r="P39" s="1622">
        <v>2</v>
      </c>
      <c r="Q39" s="1615">
        <v>7</v>
      </c>
      <c r="R39" s="1623" t="b">
        <f>IF(AND(F39&gt;=P39,F39&lt;=Q39),TRUE,FALSE)</f>
        <v>1</v>
      </c>
      <c r="S39" s="1622"/>
      <c r="T39" s="1615"/>
      <c r="U39" s="1623"/>
      <c r="V39" s="1593"/>
      <c r="W39" s="1403"/>
      <c r="X39" s="1404">
        <v>4</v>
      </c>
      <c r="Y39" s="1405"/>
      <c r="Z39" s="1408">
        <v>2</v>
      </c>
      <c r="AA39" s="1405"/>
      <c r="AB39" s="1416">
        <v>11</v>
      </c>
      <c r="AD39" s="960" t="s">
        <v>945</v>
      </c>
      <c r="AE39" s="961"/>
      <c r="AF39" s="960"/>
      <c r="AG39" s="961"/>
      <c r="AH39" s="960"/>
      <c r="AI39" s="961"/>
      <c r="AK39" s="10"/>
      <c r="AL39" s="10"/>
      <c r="AM39" s="10"/>
      <c r="AN39" s="975">
        <f>IF($K39=TRUE,H39,0)</f>
        <v>7</v>
      </c>
      <c r="AO39" s="975">
        <f>IF($R39=TRUE,H39,0)</f>
        <v>7</v>
      </c>
      <c r="AP39" s="975"/>
      <c r="AQ39" s="1806">
        <f>IF(I39=11,0,G39*I39)</f>
        <v>4</v>
      </c>
      <c r="AR39" s="1806">
        <f>IF(J39=11,0,G39*J39)</f>
        <v>10</v>
      </c>
      <c r="AS39" s="1806">
        <f>IF(P39=11,0,G39*P39)</f>
        <v>2</v>
      </c>
      <c r="AT39" s="1806">
        <f>IF(Q39=11,0,G39*Q39)</f>
        <v>7</v>
      </c>
      <c r="AU39" s="1806"/>
      <c r="AV39" s="1806"/>
      <c r="BC39" s="7"/>
      <c r="BD39" s="816"/>
      <c r="BE39" s="110"/>
      <c r="BF39" s="477"/>
      <c r="BG39" s="113"/>
      <c r="BH39" s="481"/>
      <c r="BI39" s="113"/>
      <c r="BJ39" s="482"/>
      <c r="BK39" s="478"/>
    </row>
    <row r="40" spans="2:99" ht="49" customHeight="1" thickBot="1" x14ac:dyDescent="0.25">
      <c r="B40" s="2030" t="str">
        <f>'Action-Réaction finale'!Q9</f>
        <v>A:Alliance</v>
      </c>
      <c r="C40" s="313" t="str">
        <f>'Action-Réaction finale'!O9</f>
        <v>E03a</v>
      </c>
      <c r="D40" s="767" t="str">
        <f>Test_Bible!B268</f>
        <v>Votre enfant a reçu l’ordre de ne pas vous raconter ce qui se passe chez l’autre parent.</v>
      </c>
      <c r="E40" s="62" t="s">
        <v>417</v>
      </c>
      <c r="F40" s="790">
        <f>Test_Bible!P268</f>
        <v>10</v>
      </c>
      <c r="G40" s="789">
        <f>Test_Bible!D268</f>
        <v>2</v>
      </c>
      <c r="H40" s="790">
        <f>F40*G40</f>
        <v>20</v>
      </c>
      <c r="I40" s="1622">
        <v>4</v>
      </c>
      <c r="J40" s="1615">
        <v>10</v>
      </c>
      <c r="K40" s="45" t="b">
        <f>IF(AND(F40&gt;=I40,F40&lt;=J40),TRUE,FALSE)</f>
        <v>1</v>
      </c>
      <c r="L40" s="45"/>
      <c r="M40" s="45"/>
      <c r="N40" s="45"/>
      <c r="O40" s="1623"/>
      <c r="P40" s="1622">
        <v>2</v>
      </c>
      <c r="Q40" s="1615">
        <v>7</v>
      </c>
      <c r="R40" s="1623" t="b">
        <f>IF(AND(F40&gt;=P40,F40&lt;=Q40),TRUE,FALSE)</f>
        <v>0</v>
      </c>
      <c r="S40" s="1647"/>
      <c r="T40" s="1648"/>
      <c r="U40" s="1623"/>
      <c r="V40" s="931"/>
      <c r="W40" s="1406" t="s">
        <v>943</v>
      </c>
      <c r="X40" s="1411">
        <v>4</v>
      </c>
      <c r="Y40" s="1412"/>
      <c r="Z40" s="1413">
        <v>2</v>
      </c>
      <c r="AA40" s="1412"/>
      <c r="AB40" s="1421">
        <v>11</v>
      </c>
      <c r="AD40" s="960"/>
      <c r="AE40" s="961"/>
      <c r="AF40" s="960"/>
      <c r="AG40" s="961"/>
      <c r="AH40" s="960"/>
      <c r="AI40" s="961"/>
      <c r="AK40" s="10"/>
      <c r="AL40" s="10"/>
      <c r="AM40" s="10"/>
      <c r="AN40" s="975">
        <f>IF($K40=TRUE,H40,0)</f>
        <v>20</v>
      </c>
      <c r="AO40" s="975">
        <f>IF($R40=TRUE,H40,0)</f>
        <v>0</v>
      </c>
      <c r="AP40" s="975"/>
      <c r="AQ40" s="1806">
        <f>IF(I40=11,0,G40*I40)</f>
        <v>8</v>
      </c>
      <c r="AR40" s="1806">
        <f>IF(J40=11,0,G40*J40)</f>
        <v>20</v>
      </c>
      <c r="AS40" s="1806">
        <f>IF(P40=11,0,G40*P40)</f>
        <v>4</v>
      </c>
      <c r="AT40" s="1806">
        <f>IF(Q40=11,0,G40*Q40)</f>
        <v>14</v>
      </c>
      <c r="AU40" s="1806"/>
      <c r="AV40" s="1806"/>
      <c r="BC40" s="7"/>
      <c r="BD40" s="816"/>
      <c r="BE40" s="110"/>
      <c r="BF40" s="477"/>
      <c r="BG40" s="113"/>
      <c r="BH40" s="481"/>
      <c r="BI40" s="113"/>
      <c r="BJ40" s="482"/>
      <c r="BK40" s="478"/>
    </row>
    <row r="41" spans="2:99" ht="32" customHeight="1" thickBot="1" x14ac:dyDescent="0.25">
      <c r="B41" s="2030"/>
      <c r="C41" s="809" t="s">
        <v>747</v>
      </c>
      <c r="D41" s="810" t="str">
        <f>_xlfn.XLOOKUP(H41,H39:H40,D39:D40)</f>
        <v>Votre enfant a reçu l’ordre de ne pas vous raconter ce qui se passe chez l’autre parent.</v>
      </c>
      <c r="E41" s="810" t="str">
        <f>_xlfn.XLOOKUP(H41,H39:H40,E39:E40)</f>
        <v>ne doit pas raconter ce qui se passe</v>
      </c>
      <c r="F41" s="811"/>
      <c r="G41" s="811"/>
      <c r="H41" s="811">
        <f>IF(AND(K39=TRUE,K40=FALSE),H39,IF(AND(K39=FALSE,K40=TRUE),H40,MAX(H39,H40)))</f>
        <v>20</v>
      </c>
      <c r="I41" s="1628"/>
      <c r="J41" s="812"/>
      <c r="K41" s="813" t="b">
        <f>IF(AND(K39=FALSE,K40=FALSE),FALSE,TRUE)</f>
        <v>1</v>
      </c>
      <c r="L41" s="1611"/>
      <c r="M41" s="1611"/>
      <c r="N41" s="1611"/>
      <c r="O41" s="1629"/>
      <c r="P41" s="1628"/>
      <c r="Q41" s="812"/>
      <c r="R41" s="813" t="b">
        <f>IF(AND(R39=FALSE,R40=FALSE),FALSE,TRUE)</f>
        <v>1</v>
      </c>
      <c r="S41" s="1628"/>
      <c r="T41" s="812"/>
      <c r="U41" s="813"/>
      <c r="V41" s="931"/>
      <c r="W41" s="931"/>
      <c r="X41" s="1394"/>
      <c r="Z41" s="1398"/>
      <c r="AB41" s="1402"/>
      <c r="AD41" s="960" t="str">
        <f>IF(K41=TRUE,"V","F")</f>
        <v>V</v>
      </c>
      <c r="AE41" s="961"/>
      <c r="AF41" s="960" t="str">
        <f>IF(R41=TRUE,"V","F")</f>
        <v>V</v>
      </c>
      <c r="AG41" s="961"/>
      <c r="AH41" s="960"/>
      <c r="AI41" s="961"/>
      <c r="AK41" s="10"/>
      <c r="AL41" s="10"/>
      <c r="AM41" s="10"/>
      <c r="AN41" s="2102">
        <f>IF(AND($K39=TRUE,$K40=FALSE),AN39,IF(AND($K39=FALSE,$K40=TRUE),AN40,IF(AND($K39=TRUE,$K40=TRUE),MAX(AN39,AN40),0)))</f>
        <v>20</v>
      </c>
      <c r="AO41" s="2102">
        <f>IF(AND($R39=TRUE,$R40=FALSE),AO39,IF(AND($R39=FALSE,$R40=TRUE),AO40,IF(AND($R39=TRUE,$R40=TRUE),MAX(AO39,AO40),0)))</f>
        <v>7</v>
      </c>
      <c r="AP41" s="2102"/>
      <c r="AQ41" s="2102">
        <f>IF(AND($K39=TRUE,$K40=FALSE),AQ39,IF(AND($K39=FALSE,$K40=TRUE),AQ40,IF(AND($K39=TRUE,$K40=TRUE),MAX(AQ39,AQ40),0)))</f>
        <v>8</v>
      </c>
      <c r="AR41" s="2102">
        <f>IF(AND($K39=TRUE,$K40=FALSE),AR39,IF(AND($K39=FALSE,$K40=TRUE),AR40,IF(AND($K39=TRUE,$K40=TRUE),MAX(AR39,AR40),0)))</f>
        <v>20</v>
      </c>
      <c r="AS41" s="2102">
        <f t="shared" ref="AS41:AT41" si="8">IF(AND($R39=TRUE,$R40=FALSE),AS39,IF(AND($R39=FALSE,$R40=TRUE),AS40,IF(AND($R39=TRUE,$R40=TRUE),MAX(AS39,AS40),0)))</f>
        <v>2</v>
      </c>
      <c r="AT41" s="2102">
        <f t="shared" si="8"/>
        <v>7</v>
      </c>
      <c r="AU41" s="2102"/>
      <c r="AV41" s="2102"/>
      <c r="BC41" s="7"/>
      <c r="BD41" s="816"/>
      <c r="BE41" s="110"/>
      <c r="BF41" s="477"/>
      <c r="BG41" s="113"/>
      <c r="BH41" s="481"/>
      <c r="BI41" s="113"/>
      <c r="BJ41" s="482"/>
      <c r="BK41" s="478"/>
    </row>
    <row r="42" spans="2:99" ht="32" customHeight="1" x14ac:dyDescent="0.2">
      <c r="B42" s="2030"/>
      <c r="D42" s="421" t="s">
        <v>310</v>
      </c>
      <c r="E42" s="785"/>
      <c r="F42" s="474" t="s">
        <v>398</v>
      </c>
      <c r="G42" s="47"/>
      <c r="H42" s="47">
        <f>IF(AND(K38=TRUE,K41=FALSE),H38,IF(AND(K38=FALSE,K41=TRUE),H41,IF(AND(K38=TRUE,K41=TRUE),H38+H41,MAX(H38,H41))))</f>
        <v>34</v>
      </c>
      <c r="I42" s="1630"/>
      <c r="J42" s="475"/>
      <c r="K42" s="1613"/>
      <c r="L42" s="1614" t="str">
        <f>IF(AND(K41=TRUE,K38=TRUE),E41,"")</f>
        <v>ne doit pas raconter ce qui se passe</v>
      </c>
      <c r="M42" s="1614" t="str">
        <f>IF(AND(K38=TRUE,K41=FALSE),"Bien que le parent "&amp;E38&amp;" l'enfant ne semble pas s'ingérer","")</f>
        <v/>
      </c>
      <c r="N42" s="1614" t="str">
        <f>IF(AND(K38=FALSE,K41=TRUE),E41&amp;" sans signe de la participation du parent favorisé et|ou nouveau conjoint.e","")</f>
        <v/>
      </c>
      <c r="O42" s="1631" t="str">
        <f>IF(AND(K38=FALSE,K41=FALSE),"aucun comportement significatif de cette nature","")</f>
        <v/>
      </c>
      <c r="P42" s="1630"/>
      <c r="Q42" s="475"/>
      <c r="R42" s="1639"/>
      <c r="S42" s="1630"/>
      <c r="T42" s="475"/>
      <c r="U42" s="1639"/>
      <c r="V42" s="170"/>
      <c r="W42" s="170"/>
      <c r="X42" s="1394"/>
      <c r="Z42" s="1398"/>
      <c r="AB42" s="1402"/>
      <c r="AD42" s="962"/>
      <c r="AE42" s="963">
        <f>IF(AND(AD38="V",AD41="V"),2,IF(OR(AD38="V",AD41="V"),1,0))</f>
        <v>2</v>
      </c>
      <c r="AF42" s="962"/>
      <c r="AG42" s="963">
        <f>IF(OR(AF38="V",AF41="V"),1,0)</f>
        <v>1</v>
      </c>
      <c r="AH42" s="962"/>
      <c r="AI42" s="963"/>
      <c r="AK42" s="10"/>
      <c r="AL42" s="10"/>
      <c r="AM42" s="10"/>
      <c r="AN42" s="2097">
        <f>IF(AND($AD38="V",$AD41="F"),AN38,IF(AND($AD38="F",$AD41="V"),AN41,IF(AND($AD38="V",$AD41="V"),AN38+AN41,0)))</f>
        <v>34</v>
      </c>
      <c r="AO42" s="2097">
        <f>IF(AND($AF38="V",$AF41="F"),AO38,IF(AND($AF38="F",$AF41="V"),AO41,IF(AND($AF38="V",$AF41="V"),AO38+AO41,0)))</f>
        <v>21</v>
      </c>
      <c r="AP42" s="2097"/>
      <c r="AQ42" s="2097">
        <f>IF(AND($AD38="V",$AD41="F"),AQ38,IF(AND($AD38="F",$AD41="V"),AQ41,IF(AND($AD38="V",$AD41="V"),AQ38+AQ41,0)))</f>
        <v>16</v>
      </c>
      <c r="AR42" s="2097">
        <f>IF(AND($AD38="V",$AD41="F"),AR38,IF(AND($AD38="F",$AD41="V"),AR41,IF(AND($AD38="V",$AD41="V"),AR38+AR41,0)))</f>
        <v>40</v>
      </c>
      <c r="AS42" s="2097">
        <f>IF(AND($AF38="V",$AF41="F"),AS38,IF(AND($AF38="F",$AF41="V"),AS41,IF(AND($AF38="V",$AF41="V"),AS38+AS41,0)))</f>
        <v>6</v>
      </c>
      <c r="AT42" s="2097">
        <f>IF(AND($AF38="V",$AF41="F"),AT38,IF(AND($AF38="F",$AF41="V"),AT41,IF(AND($AF38="V",$AF41="V"),AT38+AT41,0)))</f>
        <v>21</v>
      </c>
      <c r="AU42" s="2097"/>
      <c r="AV42" s="2097"/>
      <c r="BC42" s="7"/>
      <c r="BD42" s="816"/>
      <c r="BE42" s="110"/>
      <c r="BF42" s="477"/>
      <c r="BG42" s="113"/>
      <c r="BH42" s="481"/>
      <c r="BI42" s="113"/>
      <c r="BJ42" s="482"/>
      <c r="BK42" s="478"/>
    </row>
    <row r="43" spans="2:99" ht="32" customHeight="1" x14ac:dyDescent="0.3">
      <c r="C43" t="s">
        <v>243</v>
      </c>
      <c r="I43" s="146"/>
      <c r="L43" s="46"/>
      <c r="M43" s="46"/>
      <c r="N43" s="46"/>
      <c r="O43" s="1652"/>
      <c r="P43" s="146"/>
      <c r="R43" s="326"/>
      <c r="S43" s="146"/>
      <c r="U43" s="326"/>
      <c r="V43" s="46"/>
      <c r="X43" s="1394"/>
      <c r="Z43" s="1398"/>
      <c r="AB43" s="1402"/>
      <c r="AD43" s="960"/>
      <c r="AE43" s="961"/>
      <c r="AF43" s="960"/>
      <c r="AG43" s="961"/>
      <c r="AH43" s="960"/>
      <c r="AI43" s="961"/>
      <c r="AK43" s="10"/>
      <c r="AL43" s="10"/>
      <c r="AM43" s="10"/>
      <c r="AN43" s="975"/>
      <c r="AO43" s="975"/>
      <c r="AP43" s="975"/>
      <c r="AQ43" s="1806"/>
      <c r="AR43" s="1806"/>
      <c r="AS43" s="1806"/>
      <c r="AT43" s="1806"/>
      <c r="AU43" s="1806"/>
      <c r="AV43" s="1806"/>
      <c r="BC43" s="7"/>
      <c r="BD43" s="816"/>
      <c r="BE43" s="110"/>
      <c r="BF43" s="477"/>
      <c r="BG43" s="113"/>
      <c r="BH43" s="481"/>
      <c r="BI43" s="113"/>
      <c r="BJ43" s="482"/>
      <c r="BK43" s="478"/>
    </row>
    <row r="44" spans="2:99" ht="32" customHeight="1" x14ac:dyDescent="0.3">
      <c r="C44" s="964"/>
      <c r="D44" s="972"/>
      <c r="E44" s="965"/>
      <c r="F44" s="973"/>
      <c r="G44" s="973"/>
      <c r="H44" s="973">
        <f>F44*G44</f>
        <v>0</v>
      </c>
      <c r="I44" s="1647">
        <v>11</v>
      </c>
      <c r="J44" s="1648">
        <v>11</v>
      </c>
      <c r="K44" s="45" t="b">
        <f>IF(AND(F44&gt;=I44,F44&lt;=J44),TRUE,FALSE)</f>
        <v>0</v>
      </c>
      <c r="L44" s="32"/>
      <c r="M44" s="32"/>
      <c r="N44" s="32"/>
      <c r="O44" s="1632"/>
      <c r="P44" s="1647">
        <v>11</v>
      </c>
      <c r="Q44" s="1648">
        <v>11</v>
      </c>
      <c r="R44" s="1623" t="b">
        <f>IF(AND(F44&gt;=P44,F44&lt;=Q44),TRUE,FALSE)</f>
        <v>0</v>
      </c>
      <c r="S44" s="1647">
        <v>11</v>
      </c>
      <c r="T44" s="1648">
        <v>11</v>
      </c>
      <c r="U44" s="1623" t="b">
        <f>IF(AND(F44&gt;=S44,F44&lt;=T44),TRUE,FALSE)</f>
        <v>0</v>
      </c>
      <c r="V44" s="46"/>
      <c r="W44" s="1433"/>
      <c r="X44" s="1422">
        <v>11</v>
      </c>
      <c r="Y44" s="1423"/>
      <c r="Z44" s="1424">
        <v>11</v>
      </c>
      <c r="AA44" s="1423"/>
      <c r="AB44" s="1416">
        <v>11</v>
      </c>
      <c r="AD44" s="960"/>
      <c r="AE44" s="961"/>
      <c r="AF44" s="960"/>
      <c r="AG44" s="961"/>
      <c r="AH44" s="960"/>
      <c r="AI44" s="961"/>
      <c r="AK44" s="10"/>
      <c r="AL44" s="10"/>
      <c r="AM44" s="10"/>
      <c r="AN44" s="975">
        <f>IF($K44=TRUE,H44,0)</f>
        <v>0</v>
      </c>
      <c r="AO44" s="975">
        <f>IF($R44=TRUE,H44,0)</f>
        <v>0</v>
      </c>
      <c r="AP44" s="975">
        <f>IF($U44=TRUE,H44,0)</f>
        <v>0</v>
      </c>
      <c r="AQ44" s="1806">
        <f>IF(I44=11,0,G44*I44)</f>
        <v>0</v>
      </c>
      <c r="AR44" s="1806">
        <f>IF(J44=11,0,G44*J44)</f>
        <v>0</v>
      </c>
      <c r="AS44" s="1806">
        <f>IF(P44=11,0,G44*P44)</f>
        <v>0</v>
      </c>
      <c r="AT44" s="1806">
        <f>IF(Q44=11,0,G44*Q44)</f>
        <v>0</v>
      </c>
      <c r="AU44" s="1806">
        <f>IF(S44=11,0,S44*G44)</f>
        <v>0</v>
      </c>
      <c r="AV44" s="1806">
        <f>IF(T44=11,0,T44*G44)</f>
        <v>0</v>
      </c>
      <c r="BC44" s="7"/>
      <c r="BD44" s="816"/>
      <c r="BE44" s="110"/>
      <c r="BF44" s="477"/>
      <c r="BG44" s="113"/>
      <c r="BH44" s="481"/>
      <c r="BI44" s="113"/>
      <c r="BJ44" s="482"/>
      <c r="BK44" s="478"/>
    </row>
    <row r="45" spans="2:99" ht="32" customHeight="1" thickBot="1" x14ac:dyDescent="0.35">
      <c r="C45" s="964"/>
      <c r="D45" s="972"/>
      <c r="E45" s="965"/>
      <c r="F45" s="973"/>
      <c r="G45" s="973"/>
      <c r="H45" s="973">
        <f>F45*G45</f>
        <v>0</v>
      </c>
      <c r="I45" s="1647">
        <v>11</v>
      </c>
      <c r="J45" s="1648">
        <v>11</v>
      </c>
      <c r="K45" s="45" t="b">
        <f>IF(AND(F45&gt;=I45,F45&lt;=J45),TRUE,FALSE)</f>
        <v>0</v>
      </c>
      <c r="L45" s="32"/>
      <c r="M45" s="32"/>
      <c r="N45" s="32"/>
      <c r="O45" s="1632"/>
      <c r="P45" s="1647">
        <v>11</v>
      </c>
      <c r="Q45" s="1648">
        <v>11</v>
      </c>
      <c r="R45" s="1623" t="b">
        <f>IF(AND(F45&gt;=P45,F45&lt;=Q45),TRUE,FALSE)</f>
        <v>0</v>
      </c>
      <c r="S45" s="1647">
        <v>11</v>
      </c>
      <c r="T45" s="1648">
        <v>11</v>
      </c>
      <c r="U45" s="1623" t="b">
        <f>IF(AND(F45&gt;=S45,F45&lt;=T45),TRUE,FALSE)</f>
        <v>0</v>
      </c>
      <c r="V45" s="46"/>
      <c r="W45" s="1640"/>
      <c r="X45" s="1435"/>
      <c r="Y45" s="1431"/>
      <c r="Z45" s="1430"/>
      <c r="AA45" s="1431"/>
      <c r="AB45" s="1432"/>
      <c r="AD45" s="960"/>
      <c r="AE45" s="961"/>
      <c r="AF45" s="960"/>
      <c r="AG45" s="961"/>
      <c r="AH45" s="960"/>
      <c r="AI45" s="961"/>
      <c r="AK45" s="10"/>
      <c r="AL45" s="10"/>
      <c r="AM45" s="10"/>
      <c r="AN45" s="975">
        <f>IF($K45=TRUE,H45,0)</f>
        <v>0</v>
      </c>
      <c r="AO45" s="975">
        <f>IF($R45=TRUE,H45,0)</f>
        <v>0</v>
      </c>
      <c r="AP45" s="975">
        <f>IF($U45=TRUE,H45,0)</f>
        <v>0</v>
      </c>
      <c r="AQ45" s="1806">
        <f>IF(I45=11,0,G45*I45)</f>
        <v>0</v>
      </c>
      <c r="AR45" s="1806">
        <f>IF(J45=11,0,G45*J45)</f>
        <v>0</v>
      </c>
      <c r="AS45" s="1806">
        <f>IF(P45=11,0,G45*P45)</f>
        <v>0</v>
      </c>
      <c r="AT45" s="1806">
        <f>IF(Q45=11,0,G45*Q45)</f>
        <v>0</v>
      </c>
      <c r="AU45" s="1806">
        <f>IF(S45=11,0,S45*G45)</f>
        <v>0</v>
      </c>
      <c r="AV45" s="1806">
        <f>IF(T45=11,0,T45*G45)</f>
        <v>0</v>
      </c>
      <c r="BC45" s="7"/>
      <c r="BD45" s="816"/>
      <c r="BE45" s="110"/>
      <c r="BF45" s="477"/>
      <c r="BG45" s="113"/>
      <c r="BH45" s="481"/>
      <c r="BI45" s="113"/>
      <c r="BJ45" s="482"/>
      <c r="BK45" s="478"/>
    </row>
    <row r="46" spans="2:99" ht="32" customHeight="1" thickBot="1" x14ac:dyDescent="0.35">
      <c r="C46" s="1641"/>
      <c r="D46" s="1642"/>
      <c r="E46" s="1643"/>
      <c r="F46" s="474" t="s">
        <v>398</v>
      </c>
      <c r="G46" s="47"/>
      <c r="H46" s="47">
        <f>IF(AND(K44=TRUE,K45=FALSE),H44,IF(AND(K44=FALSE,K45=TRUE),H45,MAX(H44,H45)))</f>
        <v>0</v>
      </c>
      <c r="I46" s="1644"/>
      <c r="J46" s="1645"/>
      <c r="K46" s="1651" t="b">
        <f>IF(AND(K44=FALSE,K45=FALSE),FALSE,TRUE)</f>
        <v>0</v>
      </c>
      <c r="L46" s="1633"/>
      <c r="M46" s="1634"/>
      <c r="N46" s="1634"/>
      <c r="O46" s="1635"/>
      <c r="P46" s="1644"/>
      <c r="Q46" s="1645"/>
      <c r="R46" s="1651" t="b">
        <f>IF(AND(R44=FALSE,R45=FALSE),FALSE,TRUE)</f>
        <v>0</v>
      </c>
      <c r="S46" s="1656"/>
      <c r="T46" s="1657"/>
      <c r="U46" s="1658" t="b">
        <f>IF(AND(U44=FALSE,U45=FALSE),FALSE,TRUE)</f>
        <v>0</v>
      </c>
      <c r="W46" s="1434"/>
      <c r="X46" s="1425">
        <v>2</v>
      </c>
      <c r="Y46" s="1426"/>
      <c r="Z46" s="1427">
        <v>11</v>
      </c>
      <c r="AA46" s="1426"/>
      <c r="AB46" s="1421">
        <v>11</v>
      </c>
      <c r="AD46" s="1564" t="str">
        <f>IF(K46=TRUE,"V","F")</f>
        <v>F</v>
      </c>
      <c r="AE46" s="1565"/>
      <c r="AF46" s="1564" t="str">
        <f>IF(R46=TRUE,"V","F")</f>
        <v>F</v>
      </c>
      <c r="AG46" s="1565"/>
      <c r="AH46" s="1564" t="str">
        <f>IF(U46=TRUE,"V","F")</f>
        <v>F</v>
      </c>
      <c r="AI46" s="1565"/>
      <c r="AK46" s="10"/>
      <c r="AL46" s="10"/>
      <c r="AM46" s="10"/>
      <c r="AN46" s="2102">
        <f>IF(AND($K44=TRUE,$K45=FALSE),AN44,IF(AND($K44=FALSE,$K45=TRUE),AN45,MAX(AN44,AN45)))</f>
        <v>0</v>
      </c>
      <c r="AO46" s="2102">
        <f>IF(AND($R44=TRUE,$R45=FALSE),AO44,IF(AND($R44=FALSE,$R45=TRUE),AO45,MAX(AO44,AO45)))</f>
        <v>0</v>
      </c>
      <c r="AP46" s="2102">
        <f>IF(AND($U44=TRUE,$U45=FALSE),AP44,IF(AND($U44=FALSE,$U45=TRUE),AP45,MAX(AP44,AP45)))</f>
        <v>0</v>
      </c>
      <c r="AQ46" s="2102">
        <f>IF(AND($K44=TRUE,$K45=FALSE),AQ44,IF(AND($K44=FALSE,$K45=TRUE),AQ45,MAX(AQ44,AQ45)))</f>
        <v>0</v>
      </c>
      <c r="AR46" s="2102">
        <f>IF(AND($K44=TRUE,$K45=FALSE),AR44,IF(AND($K44=FALSE,$K45=TRUE),AR45,MAX(AR44,AR45)))</f>
        <v>0</v>
      </c>
      <c r="AS46" s="2102">
        <f>IF(AND($R44=TRUE,$R45=FALSE),AS44,IF(AND($R44=FALSE,$R45=TRUE),AS45,MAX(AS44,AS45)))</f>
        <v>0</v>
      </c>
      <c r="AT46" s="2102">
        <f>IF(AND($R44=TRUE,$R45=FALSE),AT44,IF(AND($R44=FALSE,$R45=TRUE),AT45,MAX(AT44,AT45)))</f>
        <v>0</v>
      </c>
      <c r="AU46" s="2102">
        <f>IF(AND($U44=TRUE,$U45=FALSE),AU44,IF(AND($U44=FALSE,$U45=TRUE),AU45,MAX(AU44,AU45)))</f>
        <v>0</v>
      </c>
      <c r="AV46" s="2102">
        <f>IF(AND($U44=TRUE,$U45=FALSE),AV44,IF(AND($U44=FALSE,$U45=TRUE),AV45,MAX(AV44,AV45)))</f>
        <v>0</v>
      </c>
      <c r="BC46" s="7"/>
      <c r="BD46" s="816"/>
      <c r="BE46" s="110"/>
      <c r="BF46" s="477"/>
      <c r="BG46" s="113"/>
      <c r="BH46" s="481"/>
      <c r="BI46" s="113"/>
      <c r="BJ46" s="482"/>
      <c r="BK46" s="478"/>
    </row>
    <row r="47" spans="2:99" ht="32" customHeight="1" x14ac:dyDescent="0.3">
      <c r="E47" s="814"/>
      <c r="F47" s="96"/>
      <c r="G47" s="96"/>
      <c r="H47" s="96"/>
      <c r="I47" s="96"/>
      <c r="J47" s="96"/>
      <c r="K47" s="96"/>
      <c r="L47" s="815"/>
      <c r="M47" s="815"/>
      <c r="N47" s="815"/>
      <c r="O47" s="96"/>
      <c r="P47" s="96"/>
      <c r="Q47" s="96"/>
      <c r="R47" s="96"/>
      <c r="S47" s="96"/>
      <c r="T47" s="96"/>
      <c r="U47" s="96"/>
      <c r="V47" s="96"/>
      <c r="AD47" s="1649"/>
      <c r="AE47" s="1650">
        <f>IF(AND(AD46="V",AD38="V"),AE42-1,AE42)</f>
        <v>2</v>
      </c>
      <c r="AF47" s="1649"/>
      <c r="AG47" s="1650">
        <f>IF(OR(AF38="V",AF41="V",AF46="V"),1,0)</f>
        <v>1</v>
      </c>
      <c r="AH47" s="1649"/>
      <c r="AI47" s="1650">
        <f>IF(AH38="V",1,IF(AH46="V",1,0))</f>
        <v>0</v>
      </c>
      <c r="AK47" s="10">
        <v>1</v>
      </c>
      <c r="AL47" s="10">
        <v>1</v>
      </c>
      <c r="AM47" s="10"/>
      <c r="AN47" s="2101">
        <f>IF($AD46="F",AN42,AN42+AN46)</f>
        <v>34</v>
      </c>
      <c r="AO47" s="2101">
        <f>IF($AF46="F",AO42,AO42+AO46)</f>
        <v>21</v>
      </c>
      <c r="AP47" s="2101">
        <f>IF(AND($AH38="V",$AH46="F"),AP38,IF(AND($AH38="F",$AH46="V"),AP46,IF(AND($AH38="V",$AH46="V"),AP38+AP46,0)))</f>
        <v>0</v>
      </c>
      <c r="AQ47" s="2101">
        <f>IF($AD46="F",AQ42,AQ42+AQ46)</f>
        <v>16</v>
      </c>
      <c r="AR47" s="2101">
        <f t="shared" ref="AR47" si="9">IF($AD46="F",AR42,AR42+AR46)</f>
        <v>40</v>
      </c>
      <c r="AS47" s="2101">
        <f t="shared" ref="AS47:AT47" si="10">IF($AF46="F",AS42,AS42+AS46)</f>
        <v>6</v>
      </c>
      <c r="AT47" s="2101">
        <f t="shared" si="10"/>
        <v>21</v>
      </c>
      <c r="AU47" s="2101">
        <f t="shared" ref="AU47:AV47" si="11">IF(AND($AH38="V",$AH46="F"),AU38,IF(AND($AH38="F",$AH46="V"),AU46,IF(AND($AH38="V",$AH46="V"),AU38+AU46,0)))</f>
        <v>0</v>
      </c>
      <c r="AV47" s="2101">
        <f t="shared" si="11"/>
        <v>0</v>
      </c>
      <c r="BC47" s="7"/>
      <c r="BD47" s="816"/>
      <c r="BE47" s="110"/>
      <c r="BF47" s="477"/>
      <c r="BG47" s="113"/>
      <c r="BH47" s="481"/>
      <c r="BI47" s="113"/>
      <c r="BJ47" s="482"/>
      <c r="BK47" s="478"/>
    </row>
    <row r="48" spans="2:99" ht="32" customHeight="1" thickBot="1" x14ac:dyDescent="0.35">
      <c r="E48" s="814"/>
      <c r="F48" s="96"/>
      <c r="G48" s="96"/>
      <c r="H48" s="96"/>
      <c r="I48" s="96"/>
      <c r="J48" s="96"/>
      <c r="K48" s="96"/>
      <c r="L48" s="815"/>
      <c r="M48" s="815"/>
      <c r="N48" s="815"/>
      <c r="O48" s="96"/>
      <c r="P48" s="96"/>
      <c r="Q48" s="96"/>
      <c r="R48" s="96"/>
      <c r="S48" s="96"/>
      <c r="T48" s="96"/>
      <c r="U48" s="96"/>
      <c r="V48" s="96"/>
      <c r="AD48" s="1668"/>
      <c r="AE48" s="1669"/>
      <c r="AF48" s="1409"/>
      <c r="AG48" s="1409"/>
      <c r="AH48" s="1409"/>
      <c r="AI48" s="1409"/>
      <c r="AK48" s="10"/>
      <c r="AL48" s="10"/>
      <c r="AM48" s="10"/>
      <c r="BC48" s="7"/>
      <c r="BD48" s="816"/>
      <c r="BE48" s="110"/>
      <c r="BF48" s="477"/>
      <c r="BG48" s="113"/>
      <c r="BH48" s="481"/>
      <c r="BI48" s="113"/>
      <c r="BJ48" s="482"/>
      <c r="BK48" s="478"/>
    </row>
    <row r="49" spans="2:63" ht="32" customHeight="1" x14ac:dyDescent="0.3">
      <c r="E49" s="814"/>
      <c r="F49" s="96"/>
      <c r="G49" s="96"/>
      <c r="H49" s="96"/>
      <c r="I49" s="2270" t="s">
        <v>1395</v>
      </c>
      <c r="J49" s="2271"/>
      <c r="K49" s="2272"/>
      <c r="L49" s="2268"/>
      <c r="M49" s="2268"/>
      <c r="N49" s="2268"/>
      <c r="O49" s="1619"/>
      <c r="P49" s="2273" t="s">
        <v>1394</v>
      </c>
      <c r="Q49" s="2274"/>
      <c r="R49" s="2275"/>
      <c r="S49" s="1678" t="s">
        <v>1393</v>
      </c>
      <c r="T49" s="1618"/>
      <c r="U49" s="1619"/>
      <c r="V49" s="96"/>
      <c r="AD49" s="1409"/>
      <c r="AE49" s="1409"/>
      <c r="AF49" s="1409"/>
      <c r="AG49" s="1409"/>
      <c r="AH49" s="1409"/>
      <c r="AI49" s="1409"/>
      <c r="AK49" s="10"/>
      <c r="AL49" s="10"/>
      <c r="AM49" s="10"/>
      <c r="BC49" s="7"/>
      <c r="BD49" s="816"/>
      <c r="BE49" s="110"/>
      <c r="BF49" s="477"/>
      <c r="BG49" s="113"/>
      <c r="BH49" s="481"/>
      <c r="BI49" s="113"/>
      <c r="BJ49" s="482"/>
      <c r="BK49" s="478"/>
    </row>
    <row r="50" spans="2:63" ht="32" customHeight="1" x14ac:dyDescent="0.3">
      <c r="B50" s="2029">
        <v>2</v>
      </c>
      <c r="D50" s="476" t="str">
        <f>'Action-Réaction finale'!F11</f>
        <v>Abandon de la famille</v>
      </c>
      <c r="E50" s="107"/>
      <c r="F50" s="65"/>
      <c r="G50" s="18"/>
      <c r="H50" s="18"/>
      <c r="I50" s="2255" t="s">
        <v>734</v>
      </c>
      <c r="J50" s="2256"/>
      <c r="K50" s="2256"/>
      <c r="L50" s="2257" t="s">
        <v>1378</v>
      </c>
      <c r="M50" s="2257"/>
      <c r="N50" s="2257"/>
      <c r="O50" s="2258"/>
      <c r="P50" s="2259" t="s">
        <v>733</v>
      </c>
      <c r="Q50" s="2260"/>
      <c r="R50" s="2261"/>
      <c r="S50" s="2262" t="s">
        <v>735</v>
      </c>
      <c r="T50" s="2263"/>
      <c r="U50" s="2264"/>
      <c r="V50" s="15"/>
      <c r="W50" s="15"/>
      <c r="AD50" s="956"/>
      <c r="AE50" s="956"/>
      <c r="AF50" s="956"/>
      <c r="AG50" s="956"/>
      <c r="AH50" s="956"/>
      <c r="AI50" s="957"/>
      <c r="AK50" s="10"/>
      <c r="AL50" s="10"/>
      <c r="AM50" s="10"/>
      <c r="AN50" s="1659" t="s">
        <v>734</v>
      </c>
      <c r="AO50" s="1659" t="s">
        <v>733</v>
      </c>
      <c r="AP50" s="1659" t="s">
        <v>735</v>
      </c>
      <c r="AQ50" s="2254" t="s">
        <v>734</v>
      </c>
      <c r="AR50" s="2254"/>
      <c r="AS50" s="2254" t="s">
        <v>733</v>
      </c>
      <c r="AT50" s="2254"/>
      <c r="AU50" s="2254" t="s">
        <v>735</v>
      </c>
      <c r="AV50" s="2254"/>
      <c r="BC50" s="7"/>
      <c r="BD50" s="816"/>
      <c r="BE50" s="110"/>
      <c r="BF50" s="477"/>
      <c r="BG50" s="113"/>
      <c r="BH50" s="481"/>
      <c r="BI50" s="113"/>
      <c r="BJ50" s="482"/>
      <c r="BK50" s="478"/>
    </row>
    <row r="51" spans="2:63" ht="32" customHeight="1" x14ac:dyDescent="0.2">
      <c r="B51" s="2030"/>
      <c r="D51" s="102" t="s">
        <v>998</v>
      </c>
      <c r="E51" s="983" t="s">
        <v>997</v>
      </c>
      <c r="F51" s="32" t="s">
        <v>748</v>
      </c>
      <c r="G51" s="32" t="s">
        <v>749</v>
      </c>
      <c r="H51" s="32" t="s">
        <v>750</v>
      </c>
      <c r="I51" s="1620" t="s">
        <v>306</v>
      </c>
      <c r="J51" s="43" t="s">
        <v>307</v>
      </c>
      <c r="K51" s="43" t="s">
        <v>308</v>
      </c>
      <c r="L51" s="43" t="s">
        <v>413</v>
      </c>
      <c r="M51" s="43" t="s">
        <v>388</v>
      </c>
      <c r="N51" s="43" t="s">
        <v>389</v>
      </c>
      <c r="O51" s="1621" t="s">
        <v>390</v>
      </c>
      <c r="P51" s="1620" t="s">
        <v>306</v>
      </c>
      <c r="Q51" s="43" t="s">
        <v>307</v>
      </c>
      <c r="R51" s="1621" t="s">
        <v>308</v>
      </c>
      <c r="S51" s="1620" t="s">
        <v>306</v>
      </c>
      <c r="T51" s="43" t="s">
        <v>307</v>
      </c>
      <c r="U51" s="1621" t="s">
        <v>308</v>
      </c>
      <c r="V51" s="818"/>
      <c r="W51" s="955" t="s">
        <v>928</v>
      </c>
      <c r="X51" s="1391" t="s">
        <v>734</v>
      </c>
      <c r="Y51" s="955" t="s">
        <v>928</v>
      </c>
      <c r="Z51" s="1395" t="s">
        <v>733</v>
      </c>
      <c r="AA51" s="955" t="s">
        <v>928</v>
      </c>
      <c r="AB51" s="1399" t="s">
        <v>735</v>
      </c>
      <c r="AD51" s="970" t="s">
        <v>734</v>
      </c>
      <c r="AE51" s="971" t="s">
        <v>946</v>
      </c>
      <c r="AF51" s="970" t="s">
        <v>733</v>
      </c>
      <c r="AG51" s="971" t="s">
        <v>947</v>
      </c>
      <c r="AH51" s="970" t="s">
        <v>735</v>
      </c>
      <c r="AI51" s="971" t="s">
        <v>948</v>
      </c>
      <c r="AK51" s="10"/>
      <c r="AL51" s="10"/>
      <c r="AM51" s="10"/>
      <c r="AN51" s="10"/>
      <c r="AO51" s="10"/>
      <c r="AP51" s="10"/>
      <c r="AQ51" s="1806" t="s">
        <v>1322</v>
      </c>
      <c r="AR51" s="1806" t="s">
        <v>1323</v>
      </c>
      <c r="AS51" s="1806" t="s">
        <v>1322</v>
      </c>
      <c r="AT51" s="1806" t="s">
        <v>1323</v>
      </c>
      <c r="AU51" s="1806" t="s">
        <v>1322</v>
      </c>
      <c r="AV51" s="1806" t="s">
        <v>1323</v>
      </c>
      <c r="BD51" s="816"/>
      <c r="BE51" s="110"/>
      <c r="BF51" s="477"/>
      <c r="BG51" s="113"/>
      <c r="BH51" s="481"/>
      <c r="BI51" s="113"/>
      <c r="BJ51" s="482"/>
      <c r="BK51" s="478"/>
    </row>
    <row r="52" spans="2:63" ht="32" customHeight="1" x14ac:dyDescent="0.2">
      <c r="B52" s="1847" t="str">
        <f>'Action-Réaction finale'!I11</f>
        <v>B:Altération/dévoiement de la réalité</v>
      </c>
      <c r="C52" s="414" t="str">
        <f>'Action-Réaction finale'!G11</f>
        <v>PFA04</v>
      </c>
      <c r="D52" s="26" t="str">
        <f>Test_Bible!B171</f>
        <v>L’autre parent laisse entendre à votre enfant que vous avez abandonné la famille.</v>
      </c>
      <c r="E52" s="101" t="s">
        <v>758</v>
      </c>
      <c r="F52" s="790">
        <f>Test_Bible!P171</f>
        <v>1</v>
      </c>
      <c r="G52" s="789">
        <f>Test_Bible!D171</f>
        <v>1</v>
      </c>
      <c r="H52" s="790">
        <f>F52*G52</f>
        <v>1</v>
      </c>
      <c r="I52" s="1622">
        <v>4</v>
      </c>
      <c r="J52" s="1615">
        <v>10</v>
      </c>
      <c r="K52" s="45" t="b">
        <f>IF(AND(F52&gt;=I52,F52&lt;=J52),TRUE,FALSE)</f>
        <v>0</v>
      </c>
      <c r="L52" s="45"/>
      <c r="M52" s="45"/>
      <c r="N52" s="45"/>
      <c r="O52" s="1623"/>
      <c r="P52" s="1622">
        <v>2</v>
      </c>
      <c r="Q52" s="1615">
        <v>7</v>
      </c>
      <c r="R52" s="1623" t="b">
        <f>IF(AND(F52&gt;=P52,F52&lt;=Q52),TRUE,FALSE)</f>
        <v>0</v>
      </c>
      <c r="S52" s="1647">
        <v>11</v>
      </c>
      <c r="T52" s="1648">
        <v>11</v>
      </c>
      <c r="U52" s="1623" t="b">
        <f>IF(AND(F52&gt;=S52,F52&lt;=T52),TRUE,FALSE)</f>
        <v>0</v>
      </c>
      <c r="V52" s="1593"/>
      <c r="W52" s="1403"/>
      <c r="X52" s="1404">
        <v>4</v>
      </c>
      <c r="Y52" s="1405"/>
      <c r="Z52" s="1408">
        <v>2</v>
      </c>
      <c r="AA52" s="1405"/>
      <c r="AB52" s="1416">
        <v>11</v>
      </c>
      <c r="AD52" s="958"/>
      <c r="AE52" s="959"/>
      <c r="AF52" s="958"/>
      <c r="AG52" s="959"/>
      <c r="AH52" s="958"/>
      <c r="AI52" s="959"/>
      <c r="AK52" s="10"/>
      <c r="AL52" s="10"/>
      <c r="AM52" s="10"/>
      <c r="AN52" s="975">
        <f>IF($K52=TRUE,H52,0)</f>
        <v>0</v>
      </c>
      <c r="AO52" s="975">
        <f>IF($R52=TRUE,H52,0)</f>
        <v>0</v>
      </c>
      <c r="AP52" s="975">
        <f>IF($U52=TRUE,H52,0)</f>
        <v>0</v>
      </c>
      <c r="AQ52" s="1806">
        <f>IF(I52=11,0,G52*I52)</f>
        <v>4</v>
      </c>
      <c r="AR52" s="1806">
        <f>IF(J52=11,0,G52*J52)</f>
        <v>10</v>
      </c>
      <c r="AS52" s="1806">
        <f>IF(P52=11,0,G52*P52)</f>
        <v>2</v>
      </c>
      <c r="AT52" s="1806">
        <f>IF(Q52=11,0,G52*Q52)</f>
        <v>7</v>
      </c>
      <c r="AU52" s="1806">
        <f>IF(S52=11,0,S52*G52)</f>
        <v>0</v>
      </c>
      <c r="AV52" s="1806">
        <f>IF(T52=11,0,T52*G52)</f>
        <v>0</v>
      </c>
      <c r="BD52" s="816"/>
      <c r="BE52" s="110"/>
      <c r="BF52" s="477"/>
      <c r="BG52" s="113"/>
      <c r="BH52" s="481"/>
      <c r="BI52" s="113"/>
      <c r="BJ52" s="482"/>
      <c r="BK52" s="478"/>
    </row>
    <row r="53" spans="2:63" ht="38" customHeight="1" x14ac:dyDescent="0.2">
      <c r="B53" s="1847" t="str">
        <f>'Action-Réaction finale'!I12</f>
        <v>B:Altération/dévoiement de la réalité</v>
      </c>
      <c r="C53" s="414" t="str">
        <f>'Action-Réaction finale'!G12</f>
        <v>PFA04a</v>
      </c>
      <c r="D53" s="767" t="str">
        <f>Test_Bible!B172</f>
        <v/>
      </c>
      <c r="E53" s="101" t="s">
        <v>311</v>
      </c>
      <c r="F53" s="790">
        <f>Test_Bible!P172</f>
        <v>0</v>
      </c>
      <c r="G53" s="789">
        <f>Test_Bible!D172</f>
        <v>2</v>
      </c>
      <c r="H53" s="790">
        <f>F53*G53</f>
        <v>0</v>
      </c>
      <c r="I53" s="1622">
        <v>4</v>
      </c>
      <c r="J53" s="1615">
        <f>$J$18</f>
        <v>10</v>
      </c>
      <c r="K53" s="45" t="b">
        <f>IF(AND(F53&gt;=I53,F53&lt;=J53),TRUE,FALSE)</f>
        <v>0</v>
      </c>
      <c r="L53" s="45"/>
      <c r="M53" s="45"/>
      <c r="N53" s="45"/>
      <c r="O53" s="1623"/>
      <c r="P53" s="1647">
        <v>11</v>
      </c>
      <c r="Q53" s="1648">
        <v>11</v>
      </c>
      <c r="R53" s="1623" t="b">
        <f>IF(AND(F53&gt;=P53,F53&lt;=Q53),TRUE,FALSE)</f>
        <v>0</v>
      </c>
      <c r="S53" s="1647">
        <v>11</v>
      </c>
      <c r="T53" s="1648">
        <v>11</v>
      </c>
      <c r="U53" s="1623" t="b">
        <f>IF(AND(F53&gt;=S53,F53&lt;=T53),TRUE,FALSE)</f>
        <v>0</v>
      </c>
      <c r="V53" s="931"/>
      <c r="W53" s="1406" t="s">
        <v>943</v>
      </c>
      <c r="X53" s="1411">
        <v>4</v>
      </c>
      <c r="Y53" s="1412"/>
      <c r="Z53" s="1413">
        <v>1</v>
      </c>
      <c r="AA53" s="1412"/>
      <c r="AB53" s="1421">
        <v>11</v>
      </c>
      <c r="AD53" s="960"/>
      <c r="AE53" s="961"/>
      <c r="AF53" s="960"/>
      <c r="AG53" s="961"/>
      <c r="AH53" s="960"/>
      <c r="AI53" s="961"/>
      <c r="AK53" s="10"/>
      <c r="AL53" s="10"/>
      <c r="AM53" s="10"/>
      <c r="AN53" s="975">
        <f>IF($K53=TRUE,H53,0)</f>
        <v>0</v>
      </c>
      <c r="AO53" s="975">
        <f>IF($R53=TRUE,H53,0)</f>
        <v>0</v>
      </c>
      <c r="AP53" s="975">
        <f>IF($U53=TRUE,H53,0)</f>
        <v>0</v>
      </c>
      <c r="AQ53" s="1806">
        <f>IF(I53=11,0,G53*I53)</f>
        <v>8</v>
      </c>
      <c r="AR53" s="1806">
        <f>IF(J53=11,0,G53*J53)</f>
        <v>20</v>
      </c>
      <c r="AS53" s="1806">
        <f>IF(P53=11,0,G53*P53)</f>
        <v>0</v>
      </c>
      <c r="AT53" s="1806">
        <f>IF(Q53=11,0,G53*Q53)</f>
        <v>0</v>
      </c>
      <c r="AU53" s="1806">
        <f>IF(S53=11,0,S53*G53)</f>
        <v>0</v>
      </c>
      <c r="AV53" s="1806">
        <f>IF(T53=11,0,T53*G53)</f>
        <v>0</v>
      </c>
      <c r="BD53" s="816"/>
      <c r="BE53" s="110"/>
      <c r="BF53" s="477"/>
      <c r="BG53" s="113"/>
      <c r="BH53" s="481"/>
      <c r="BI53" s="113"/>
      <c r="BJ53" s="482"/>
      <c r="BK53" s="478"/>
    </row>
    <row r="54" spans="2:63" ht="32" customHeight="1" x14ac:dyDescent="0.2">
      <c r="B54" s="1847"/>
      <c r="C54" s="792" t="s">
        <v>745</v>
      </c>
      <c r="D54" s="793" t="str">
        <f>_xlfn.XLOOKUP(H54,H52:H53,D52:D53)</f>
        <v>L’autre parent laisse entendre à votre enfant que vous avez abandonné la famille.</v>
      </c>
      <c r="E54" s="794" t="str">
        <f>_xlfn.XLOOKUP(H54,H52:H53,E52:E53)</f>
        <v>laisse entendre que vous avez abandonné la famille</v>
      </c>
      <c r="F54" s="795"/>
      <c r="G54" s="795"/>
      <c r="H54" s="795">
        <f>IF(AND(K52=TRUE,K53=FALSE),H52,IF(AND(K52=FALSE,K53=TRUE),H53,MAX(H52,H53)))</f>
        <v>1</v>
      </c>
      <c r="I54" s="1624"/>
      <c r="J54" s="796"/>
      <c r="K54" s="797" t="b">
        <f>IF(AND(K52=FALSE,K53=FALSE),FALSE,TRUE)</f>
        <v>0</v>
      </c>
      <c r="L54" s="45"/>
      <c r="M54" s="45"/>
      <c r="N54" s="45"/>
      <c r="O54" s="1623"/>
      <c r="P54" s="1624"/>
      <c r="Q54" s="796"/>
      <c r="R54" s="1637" t="b">
        <f>IF(AND(R52=FALSE,R53=FALSE),FALSE,TRUE)</f>
        <v>0</v>
      </c>
      <c r="S54" s="1624"/>
      <c r="T54" s="796"/>
      <c r="U54" s="1637" t="b">
        <f>IF(AND(U52=FALSE,U53=FALSE),FALSE,TRUE)</f>
        <v>0</v>
      </c>
      <c r="V54" s="931"/>
      <c r="W54" s="931" t="s">
        <v>943</v>
      </c>
      <c r="X54" s="1392"/>
      <c r="Y54" s="8"/>
      <c r="Z54" s="1397"/>
      <c r="AA54" s="8"/>
      <c r="AB54" s="1401"/>
      <c r="AD54" s="960"/>
      <c r="AE54" s="961"/>
      <c r="AF54" s="960"/>
      <c r="AG54" s="961"/>
      <c r="AH54" s="960"/>
      <c r="AI54" s="961"/>
      <c r="AK54" s="10"/>
      <c r="AL54" s="10"/>
      <c r="AM54" s="10"/>
      <c r="AN54" s="2100">
        <f>IF($K54=TRUE,MAX(AN52:AN53),0)</f>
        <v>0</v>
      </c>
      <c r="AO54" s="2100">
        <f>IF($R54=TRUE,MAX(AO52:AO53),0)</f>
        <v>0</v>
      </c>
      <c r="AP54" s="2100">
        <f>IF($U54=TRUE,MAX(AP52:AP53),0)</f>
        <v>0</v>
      </c>
      <c r="AQ54" s="2099">
        <f>MAX(AQ52:AQ53)</f>
        <v>8</v>
      </c>
      <c r="AR54" s="2099">
        <f t="shared" ref="AR54" si="12">MAX(AR52:AR53)</f>
        <v>20</v>
      </c>
      <c r="AS54" s="2099">
        <f t="shared" ref="AS54" si="13">MAX(AS52:AS53)</f>
        <v>2</v>
      </c>
      <c r="AT54" s="2099">
        <f t="shared" ref="AT54" si="14">MAX(AT52:AT53)</f>
        <v>7</v>
      </c>
      <c r="AU54" s="2099">
        <f t="shared" ref="AU54" si="15">MAX(AU52:AU53)</f>
        <v>0</v>
      </c>
      <c r="AV54" s="2099">
        <f t="shared" ref="AV54" si="16">MAX(AV52:AV53)</f>
        <v>0</v>
      </c>
      <c r="BD54" s="816"/>
      <c r="BE54" s="110"/>
      <c r="BF54" s="477"/>
      <c r="BG54" s="113"/>
      <c r="BH54" s="481"/>
      <c r="BI54" s="113"/>
      <c r="BJ54" s="482"/>
      <c r="BK54" s="478"/>
    </row>
    <row r="55" spans="2:63" ht="32" customHeight="1" x14ac:dyDescent="0.2">
      <c r="B55" s="2030"/>
      <c r="C55" s="52"/>
      <c r="D55" s="26"/>
      <c r="E55" s="101"/>
      <c r="F55" s="790"/>
      <c r="G55" s="789"/>
      <c r="H55" s="790">
        <f>F55*G55</f>
        <v>0</v>
      </c>
      <c r="I55" s="1647">
        <v>11</v>
      </c>
      <c r="J55" s="1648">
        <v>11</v>
      </c>
      <c r="K55" s="45" t="b">
        <f>IF(AND(F55&gt;=I55,F55&lt;=J55),TRUE,FALSE)</f>
        <v>0</v>
      </c>
      <c r="L55" s="45"/>
      <c r="M55" s="45"/>
      <c r="N55" s="45"/>
      <c r="O55" s="1623"/>
      <c r="P55" s="1647">
        <v>11</v>
      </c>
      <c r="Q55" s="1648">
        <v>11</v>
      </c>
      <c r="R55" s="1623" t="b">
        <f>IF(AND(F55&gt;=P55,F55&lt;=Q55),TRUE,FALSE)</f>
        <v>0</v>
      </c>
      <c r="S55" s="1647">
        <v>11</v>
      </c>
      <c r="T55" s="1648">
        <v>11</v>
      </c>
      <c r="U55" s="1623" t="b">
        <f>IF(AND(F55&gt;=S55,F55&lt;=T55),TRUE,FALSE)</f>
        <v>0</v>
      </c>
      <c r="V55" s="931"/>
      <c r="W55" s="1403"/>
      <c r="X55" s="1422">
        <v>11</v>
      </c>
      <c r="Y55" s="1423"/>
      <c r="Z55" s="1424">
        <v>11</v>
      </c>
      <c r="AA55" s="1423"/>
      <c r="AB55" s="1416">
        <v>11</v>
      </c>
      <c r="AD55" s="960"/>
      <c r="AE55" s="961"/>
      <c r="AF55" s="960"/>
      <c r="AG55" s="961"/>
      <c r="AH55" s="960"/>
      <c r="AI55" s="961"/>
      <c r="AK55" s="10"/>
      <c r="AL55" s="10"/>
      <c r="AM55" s="10"/>
      <c r="AN55" s="975">
        <f>IF(K55=TRUE,H55,0)</f>
        <v>0</v>
      </c>
      <c r="AO55" s="975">
        <f>IF(R55=TRUE,H55,0)</f>
        <v>0</v>
      </c>
      <c r="AP55" s="975">
        <f>IF(U55=TRUE,H55,0)</f>
        <v>0</v>
      </c>
      <c r="AQ55" s="1806">
        <f>IF(I55=11,0,G55*I55)</f>
        <v>0</v>
      </c>
      <c r="AR55" s="1806">
        <f>IF(J55=11,0,G55*J55)</f>
        <v>0</v>
      </c>
      <c r="AS55" s="1806">
        <f>IF(P55=11,0,G55*P55)</f>
        <v>0</v>
      </c>
      <c r="AT55" s="1806">
        <f>IF(Q55=11,0,G55*Q55)</f>
        <v>0</v>
      </c>
      <c r="AU55" s="1806">
        <f>IF(S55=11,0,S55*G55)</f>
        <v>0</v>
      </c>
      <c r="AV55" s="1806">
        <f>IF(T55=11,0,T55*G55)</f>
        <v>0</v>
      </c>
      <c r="BD55" s="816"/>
      <c r="BE55" s="110"/>
      <c r="BF55" s="477"/>
      <c r="BG55" s="113"/>
      <c r="BH55" s="481"/>
      <c r="BI55" s="113"/>
      <c r="BJ55" s="482"/>
      <c r="BK55" s="478"/>
    </row>
    <row r="56" spans="2:63" ht="32" customHeight="1" x14ac:dyDescent="0.2">
      <c r="B56" s="2030"/>
      <c r="C56" s="52"/>
      <c r="D56" s="26"/>
      <c r="E56" s="62"/>
      <c r="F56" s="35"/>
      <c r="G56" s="35"/>
      <c r="H56" s="35">
        <f>F56*G56</f>
        <v>0</v>
      </c>
      <c r="I56" s="1647">
        <v>11</v>
      </c>
      <c r="J56" s="1648">
        <v>11</v>
      </c>
      <c r="K56" s="45" t="b">
        <f>IF(AND(F56&gt;=I56,F56&lt;=J56),TRUE,FALSE)</f>
        <v>0</v>
      </c>
      <c r="L56" s="45"/>
      <c r="M56" s="45"/>
      <c r="N56" s="45"/>
      <c r="O56" s="1623"/>
      <c r="P56" s="1647">
        <v>11</v>
      </c>
      <c r="Q56" s="1648">
        <v>11</v>
      </c>
      <c r="R56" s="1623" t="b">
        <f>IF(AND(F56&gt;=P56,F56&lt;=Q56),TRUE,FALSE)</f>
        <v>0</v>
      </c>
      <c r="S56" s="1647">
        <v>11</v>
      </c>
      <c r="T56" s="1648">
        <v>11</v>
      </c>
      <c r="U56" s="1623" t="b">
        <f>IF(AND(F56&gt;=S56,F56&lt;=T56),TRUE,FALSE)</f>
        <v>0</v>
      </c>
      <c r="V56" s="931"/>
      <c r="W56" s="1406" t="s">
        <v>943</v>
      </c>
      <c r="X56" s="1425">
        <v>11</v>
      </c>
      <c r="Y56" s="1426"/>
      <c r="Z56" s="1427">
        <v>11</v>
      </c>
      <c r="AA56" s="1426"/>
      <c r="AB56" s="1421">
        <v>11</v>
      </c>
      <c r="AD56" s="960"/>
      <c r="AE56" s="961"/>
      <c r="AF56" s="960"/>
      <c r="AG56" s="961"/>
      <c r="AH56" s="960"/>
      <c r="AI56" s="961"/>
      <c r="AK56" s="10"/>
      <c r="AL56" s="10"/>
      <c r="AM56" s="10"/>
      <c r="AN56" s="975">
        <f>IF(K56=TRUE,H56,0)</f>
        <v>0</v>
      </c>
      <c r="AO56" s="975">
        <f>IF(R56=TRUE,H56,0)</f>
        <v>0</v>
      </c>
      <c r="AP56" s="975">
        <f>IF(U56=TRUE,H56,0)</f>
        <v>0</v>
      </c>
      <c r="AQ56" s="1806">
        <f>IF(I56=11,0,G56*I56)</f>
        <v>0</v>
      </c>
      <c r="AR56" s="1806">
        <f>IF(J56=11,0,G56*J56)</f>
        <v>0</v>
      </c>
      <c r="AS56" s="1806">
        <f>IF(P56=11,0,G56*P56)</f>
        <v>0</v>
      </c>
      <c r="AT56" s="1806">
        <f>IF(Q56=11,0,G56*Q56)</f>
        <v>0</v>
      </c>
      <c r="AU56" s="1806">
        <f>IF(S56=11,0,S56*G56)</f>
        <v>0</v>
      </c>
      <c r="AV56" s="1806">
        <f>IF(T56=11,0,T56*G56)</f>
        <v>0</v>
      </c>
      <c r="BC56" s="7"/>
      <c r="BD56" s="816"/>
      <c r="BE56" s="110"/>
      <c r="BF56" s="477"/>
      <c r="BG56" s="113"/>
      <c r="BH56" s="481"/>
      <c r="BI56" s="113"/>
      <c r="BJ56" s="482"/>
      <c r="BK56" s="478"/>
    </row>
    <row r="57" spans="2:63" ht="32" customHeight="1" thickBot="1" x14ac:dyDescent="0.25">
      <c r="B57" s="2030"/>
      <c r="C57" s="798" t="s">
        <v>746</v>
      </c>
      <c r="D57" s="799">
        <f>_xlfn.XLOOKUP(H57,H55:H56,D55:D56)</f>
        <v>0</v>
      </c>
      <c r="E57" s="800">
        <f>_xlfn.XLOOKUP(H57,H55:H56,E55:E56)</f>
        <v>0</v>
      </c>
      <c r="F57" s="801"/>
      <c r="G57" s="801"/>
      <c r="H57" s="795">
        <f>IF(AND(K55=TRUE,K56=FALSE),H55,IF(AND(K55=FALSE,K56=TRUE),H56,MAX(H55,H56)))</f>
        <v>0</v>
      </c>
      <c r="I57" s="1625"/>
      <c r="J57" s="802"/>
      <c r="K57" s="803" t="b">
        <f>IF(AND(K55=FALSE,K56=FALSE),FALSE,TRUE)</f>
        <v>0</v>
      </c>
      <c r="L57" s="45"/>
      <c r="M57" s="45"/>
      <c r="N57" s="45"/>
      <c r="O57" s="1623"/>
      <c r="P57" s="1625"/>
      <c r="Q57" s="802"/>
      <c r="R57" s="1638" t="b">
        <f>IF(AND(R55=FALSE,R56=FALSE),FALSE,TRUE)</f>
        <v>0</v>
      </c>
      <c r="S57" s="1625"/>
      <c r="T57" s="802"/>
      <c r="U57" s="1638" t="b">
        <f>IF(AND(U55=FALSE,U56=FALSE),FALSE,TRUE)</f>
        <v>0</v>
      </c>
      <c r="V57" s="931"/>
      <c r="W57" s="931"/>
      <c r="X57" s="1392"/>
      <c r="Y57" s="8"/>
      <c r="Z57" s="1397"/>
      <c r="AA57" s="8"/>
      <c r="AB57" s="1400"/>
      <c r="AD57" s="960"/>
      <c r="AE57" s="961"/>
      <c r="AF57" s="960"/>
      <c r="AG57" s="961"/>
      <c r="AH57" s="960"/>
      <c r="AI57" s="961"/>
      <c r="AK57" s="10"/>
      <c r="AL57" s="10"/>
      <c r="AM57" s="10"/>
      <c r="AN57" s="2100">
        <f>IF($K57=TRUE,MAX(AN55:AN56),0)</f>
        <v>0</v>
      </c>
      <c r="AO57" s="2100">
        <f>IF($R57=TRUE,MAX(AO55:AO56),0)</f>
        <v>0</v>
      </c>
      <c r="AP57" s="2100">
        <f>IF($U57=TRUE,MAX(AP55:AP56),0)</f>
        <v>0</v>
      </c>
      <c r="AQ57" s="2099">
        <f>MAX(AQ55:AQ56)</f>
        <v>0</v>
      </c>
      <c r="AR57" s="2099">
        <f t="shared" ref="AR57" si="17">MAX(AR55:AR56)</f>
        <v>0</v>
      </c>
      <c r="AS57" s="2099">
        <f t="shared" ref="AS57" si="18">MAX(AS55:AS56)</f>
        <v>0</v>
      </c>
      <c r="AT57" s="2099">
        <f t="shared" ref="AT57" si="19">MAX(AT55:AT56)</f>
        <v>0</v>
      </c>
      <c r="AU57" s="2099">
        <f t="shared" ref="AU57" si="20">MAX(AU55:AU56)</f>
        <v>0</v>
      </c>
      <c r="AV57" s="2099">
        <f t="shared" ref="AV57" si="21">MAX(AV55:AV56)</f>
        <v>0</v>
      </c>
      <c r="BC57" s="7"/>
      <c r="BD57" s="816"/>
      <c r="BE57" s="110"/>
      <c r="BF57" s="477"/>
      <c r="BG57" s="113"/>
      <c r="BH57" s="481"/>
      <c r="BI57" s="113"/>
      <c r="BJ57" s="482"/>
      <c r="BK57" s="478"/>
    </row>
    <row r="58" spans="2:63" ht="32" customHeight="1" thickBot="1" x14ac:dyDescent="0.25">
      <c r="B58" s="2030"/>
      <c r="C58" s="804" t="s">
        <v>754</v>
      </c>
      <c r="D58" s="805"/>
      <c r="E58" s="805" t="str">
        <f>IF(H58=H54,E54,E57)</f>
        <v>laisse entendre que vous avez abandonné la famille</v>
      </c>
      <c r="F58" s="806"/>
      <c r="G58" s="806"/>
      <c r="H58" s="806">
        <f>IF(AND(K54=TRUE,K57=FALSE),H54,IF(AND(K54=FALSE,K57=TRUE),H57,IF(AND(K54=TRUE,K57=TRUE),H54+H57,MAX(H54,H57))))</f>
        <v>1</v>
      </c>
      <c r="I58" s="1626"/>
      <c r="J58" s="807"/>
      <c r="K58" s="808" t="b">
        <f>IF(AND(K54=FALSE,K57=FALSE),FALSE,TRUE)</f>
        <v>0</v>
      </c>
      <c r="L58" s="1610"/>
      <c r="M58" s="1610"/>
      <c r="N58" s="1610"/>
      <c r="O58" s="1627"/>
      <c r="P58" s="1626"/>
      <c r="Q58" s="807"/>
      <c r="R58" s="808" t="b">
        <f>IF(AND(R54=FALSE,R57=FALSE),FALSE,TRUE)</f>
        <v>0</v>
      </c>
      <c r="S58" s="1626"/>
      <c r="T58" s="807"/>
      <c r="U58" s="808" t="b">
        <f>IF(AND(U54=FALSE,U57=FALSE),FALSE,TRUE)</f>
        <v>0</v>
      </c>
      <c r="V58" s="931"/>
      <c r="W58" s="931" t="s">
        <v>942</v>
      </c>
      <c r="X58" s="1392"/>
      <c r="Y58" s="8"/>
      <c r="Z58" s="1397"/>
      <c r="AA58" s="8"/>
      <c r="AB58" s="1400"/>
      <c r="AD58" s="960" t="str">
        <f>IF(K58=TRUE,"V","F")</f>
        <v>F</v>
      </c>
      <c r="AE58" s="961"/>
      <c r="AF58" s="960" t="str">
        <f>IF(R58=TRUE,"V","F")</f>
        <v>F</v>
      </c>
      <c r="AG58" s="961"/>
      <c r="AH58" s="960" t="str">
        <f>IF(U58=TRUE,"V","F")</f>
        <v>F</v>
      </c>
      <c r="AI58" s="961"/>
      <c r="AJ58" t="str">
        <f>IF(OR(AD58="V",AF58="V"),IF(H57&gt;H54,"Le NC contribue plus que le coparent","Le coparent joue un plus grand rôle que le NC"),"pas de contexte significatif de la part du coparent et NC")</f>
        <v>pas de contexte significatif de la part du coparent et NC</v>
      </c>
      <c r="AK58" s="10"/>
      <c r="AL58" s="10"/>
      <c r="AM58" s="10"/>
      <c r="AN58" s="631">
        <f>IF(AND($K54=TRUE,$K57=FALSE),AN54,IF(AND($K54=FALSE,$K57=TRUE),AN57,IF(AND($K54=TRUE,$K57=TRUE),AN54+AN57,0)))</f>
        <v>0</v>
      </c>
      <c r="AO58" s="631">
        <f>IF(AND($R54=TRUE,$R57=FALSE),AO54,IF(AND($R54=FALSE,$R57=TRUE),AO57,IF(AND($R54=TRUE,$R57=TRUE),AO54+AO57,0)))</f>
        <v>0</v>
      </c>
      <c r="AP58" s="631">
        <f>IF(AND($U54=TRUE,$U57=FALSE),AP54,IF(AND($U54=FALSE,$U57=TRUE),AP57,IF(AND($U54=TRUE,$U57=TRUE),AP54+AP57,0)))</f>
        <v>0</v>
      </c>
      <c r="AQ58" s="631">
        <f>IF(AND($K54=TRUE,$K57=FALSE),AQ54,IF(AND($K54=FALSE,$K57=TRUE),AQ57,IF(AND($K54=TRUE,$K57=TRUE),AQ54+AQ57,MAX(AQ54,AQ57))))</f>
        <v>8</v>
      </c>
      <c r="AR58" s="631">
        <f>IF(AND($K54=TRUE,$K57=FALSE),AR54,IF(AND($K54=FALSE,$K57=TRUE),AR57,IF(AND($K54=TRUE,$K57=TRUE),AR54+AR57,MAX(AR54,AR57))))</f>
        <v>20</v>
      </c>
      <c r="AS58" s="631">
        <f t="shared" ref="AS58" si="22">IF(AND($R54=TRUE,$R57=FALSE),AS54,IF(AND($R54=FALSE,$R57=TRUE),AS57,IF(AND($R54=TRUE,$R57=TRUE),AS54+AS57,MAX(AS54,AS57))))</f>
        <v>2</v>
      </c>
      <c r="AT58" s="631">
        <f t="shared" ref="AT58" si="23">IF(AND($R54=TRUE,$R57=FALSE),AT54,IF(AND($R54=FALSE,$R57=TRUE),AT57,IF(AND($R54=TRUE,$R57=TRUE),AT54+AT57,MAX(AT54,AT57))))</f>
        <v>7</v>
      </c>
      <c r="AU58" s="631">
        <f t="shared" ref="AU58" si="24">IF(AND($U54=TRUE,$U57=FALSE),AU54,IF(AND($U54=FALSE,$U57=TRUE),AU57,IF(AND($U54=TRUE,$U57=TRUE),AU54+AU57,MAX(AU54,AU57))))</f>
        <v>0</v>
      </c>
      <c r="AV58" s="631">
        <f t="shared" ref="AV58" si="25">IF(AND($U54=TRUE,$U57=FALSE),AV54,IF(AND($U54=FALSE,$U57=TRUE),AV57,IF(AND($U54=TRUE,$U57=TRUE),AV54+AV57,MAX(AV54,AV57))))</f>
        <v>0</v>
      </c>
      <c r="BC58" s="7"/>
      <c r="BD58" s="816"/>
      <c r="BE58" s="110"/>
      <c r="BF58" s="477"/>
      <c r="BG58" s="113"/>
      <c r="BH58" s="481"/>
      <c r="BI58" s="113"/>
      <c r="BJ58" s="482"/>
      <c r="BK58" s="478"/>
    </row>
    <row r="59" spans="2:63" ht="32" customHeight="1" x14ac:dyDescent="0.2">
      <c r="B59" s="2030" t="str">
        <f>'Action-Réaction finale'!Q11</f>
        <v>B:Altération/dévoiement de la réalité</v>
      </c>
      <c r="C59" s="313" t="str">
        <f>'Action-Réaction finale'!O11</f>
        <v>E06</v>
      </c>
      <c r="D59" s="26" t="str">
        <f>Test_Bible!B278</f>
        <v>Votre enfant vous accuse ou vous reproche d'avoir brisé ou abandonné la famille.</v>
      </c>
      <c r="E59" s="101" t="s">
        <v>312</v>
      </c>
      <c r="F59" s="790">
        <f>Test_Bible!P278</f>
        <v>4</v>
      </c>
      <c r="G59" s="789">
        <f>Test_Bible!D278</f>
        <v>2</v>
      </c>
      <c r="H59" s="790">
        <f>F59*G59</f>
        <v>8</v>
      </c>
      <c r="I59" s="1622">
        <v>4</v>
      </c>
      <c r="J59" s="1615">
        <f>$J$18</f>
        <v>10</v>
      </c>
      <c r="K59" s="45" t="b">
        <f>IF(AND(F59&gt;=I59,F59&lt;=J59),TRUE,FALSE)</f>
        <v>1</v>
      </c>
      <c r="L59" s="45"/>
      <c r="M59" s="45"/>
      <c r="N59" s="45"/>
      <c r="O59" s="1623"/>
      <c r="P59" s="1622">
        <v>2</v>
      </c>
      <c r="Q59" s="1615">
        <v>7</v>
      </c>
      <c r="R59" s="1623" t="b">
        <f>IF(AND(F59&gt;=P59,F59&lt;=Q59),TRUE,FALSE)</f>
        <v>1</v>
      </c>
      <c r="S59" s="1622"/>
      <c r="T59" s="1615"/>
      <c r="U59" s="1623"/>
      <c r="V59" s="931"/>
      <c r="W59" s="1403"/>
      <c r="X59" s="1404">
        <v>4</v>
      </c>
      <c r="Y59" s="1405"/>
      <c r="Z59" s="1408">
        <v>2</v>
      </c>
      <c r="AA59" s="1405"/>
      <c r="AB59" s="1416">
        <v>11</v>
      </c>
      <c r="AD59" s="960" t="s">
        <v>945</v>
      </c>
      <c r="AE59" s="961"/>
      <c r="AF59" s="960"/>
      <c r="AG59" s="961"/>
      <c r="AH59" s="960"/>
      <c r="AI59" s="961"/>
      <c r="AK59" s="10"/>
      <c r="AL59" s="10"/>
      <c r="AM59" s="10"/>
      <c r="AN59" s="975">
        <f>IF($K59=TRUE,H59,0)</f>
        <v>8</v>
      </c>
      <c r="AO59" s="975">
        <f>IF($R59=TRUE,H59,0)</f>
        <v>8</v>
      </c>
      <c r="AP59" s="975"/>
      <c r="AQ59" s="1806">
        <f>IF(I59=11,0,G59*I59)</f>
        <v>8</v>
      </c>
      <c r="AR59" s="1806">
        <f>IF(J59=11,0,G59*J59)</f>
        <v>20</v>
      </c>
      <c r="AS59" s="1806">
        <f>IF(P59=11,0,G59*P59)</f>
        <v>4</v>
      </c>
      <c r="AT59" s="1806">
        <f>IF(Q59=11,0,G59*Q59)</f>
        <v>14</v>
      </c>
      <c r="AU59" s="1806"/>
      <c r="AV59" s="1806"/>
      <c r="BD59" s="816"/>
      <c r="BE59" s="110"/>
      <c r="BF59" s="477"/>
      <c r="BG59" s="113"/>
      <c r="BH59" s="481"/>
      <c r="BI59" s="113"/>
      <c r="BJ59" s="482"/>
      <c r="BK59" s="478"/>
    </row>
    <row r="60" spans="2:63" ht="32" customHeight="1" thickBot="1" x14ac:dyDescent="0.25">
      <c r="B60" s="2030"/>
      <c r="C60" s="313"/>
      <c r="D60" s="26"/>
      <c r="E60" s="101"/>
      <c r="F60" s="790"/>
      <c r="G60" s="789"/>
      <c r="H60" s="790">
        <f>F60*G60</f>
        <v>0</v>
      </c>
      <c r="I60" s="1647">
        <v>11</v>
      </c>
      <c r="J60" s="1648">
        <v>11</v>
      </c>
      <c r="K60" s="45" t="b">
        <f>IF(AND(F60&gt;=I60,F60&lt;=J60),TRUE,FALSE)</f>
        <v>0</v>
      </c>
      <c r="L60" s="45"/>
      <c r="M60" s="45"/>
      <c r="N60" s="45"/>
      <c r="O60" s="1623"/>
      <c r="P60" s="1647">
        <v>11</v>
      </c>
      <c r="Q60" s="1648">
        <v>11</v>
      </c>
      <c r="R60" s="1623" t="b">
        <f>IF(AND(F60&gt;=P60,F60&lt;=Q60),TRUE,FALSE)</f>
        <v>0</v>
      </c>
      <c r="S60" s="1647"/>
      <c r="T60" s="1648"/>
      <c r="U60" s="1623"/>
      <c r="V60" s="931"/>
      <c r="W60" s="1406" t="s">
        <v>943</v>
      </c>
      <c r="X60" s="1425">
        <v>11</v>
      </c>
      <c r="Y60" s="1426"/>
      <c r="Z60" s="1427">
        <v>11</v>
      </c>
      <c r="AA60" s="1426"/>
      <c r="AB60" s="1421">
        <v>11</v>
      </c>
      <c r="AD60" s="960"/>
      <c r="AE60" s="961"/>
      <c r="AF60" s="960"/>
      <c r="AG60" s="961"/>
      <c r="AH60" s="960"/>
      <c r="AI60" s="961"/>
      <c r="AK60" s="10"/>
      <c r="AL60" s="10"/>
      <c r="AM60" s="10"/>
      <c r="AN60" s="975">
        <f>IF($K60=TRUE,H60,0)</f>
        <v>0</v>
      </c>
      <c r="AO60" s="975">
        <f>IF($R60=TRUE,H60,0)</f>
        <v>0</v>
      </c>
      <c r="AP60" s="975"/>
      <c r="AQ60" s="1806">
        <f>IF(I60=11,0,G60*I60)</f>
        <v>0</v>
      </c>
      <c r="AR60" s="1806">
        <f>IF(J60=11,0,G60*J60)</f>
        <v>0</v>
      </c>
      <c r="AS60" s="1806">
        <f>IF(P60=11,0,G60*P60)</f>
        <v>0</v>
      </c>
      <c r="AT60" s="1806">
        <f>IF(Q60=11,0,G60*Q60)</f>
        <v>0</v>
      </c>
      <c r="AU60" s="1806"/>
      <c r="AV60" s="1806"/>
      <c r="BD60" s="816"/>
      <c r="BE60" s="110"/>
      <c r="BF60" s="477"/>
      <c r="BG60" s="113"/>
      <c r="BH60" s="481"/>
      <c r="BI60" s="113"/>
      <c r="BJ60" s="482"/>
      <c r="BK60" s="478"/>
    </row>
    <row r="61" spans="2:63" ht="32" customHeight="1" thickBot="1" x14ac:dyDescent="0.25">
      <c r="B61" s="2030"/>
      <c r="C61" s="809" t="s">
        <v>747</v>
      </c>
      <c r="D61" s="810" t="str">
        <f>_xlfn.XLOOKUP(H61,H59:H60,D59:D60)</f>
        <v>Votre enfant vous accuse ou vous reproche d'avoir brisé ou abandonné la famille.</v>
      </c>
      <c r="E61" s="810" t="str">
        <f>_xlfn.XLOOKUP(H61,H59:H60,E59:E60)</f>
        <v>vous reproche d'avoir abandonné la famille</v>
      </c>
      <c r="F61" s="811"/>
      <c r="G61" s="811"/>
      <c r="H61" s="811">
        <f>IF(AND(K59=TRUE,K60=FALSE),H59,IF(AND(K59=FALSE,K60=TRUE),H60,MAX(H59,H60)))</f>
        <v>8</v>
      </c>
      <c r="I61" s="1628"/>
      <c r="J61" s="812"/>
      <c r="K61" s="813" t="b">
        <f>IF(AND(K59=FALSE,K60=FALSE),FALSE,TRUE)</f>
        <v>1</v>
      </c>
      <c r="L61" s="1611"/>
      <c r="M61" s="1611"/>
      <c r="N61" s="1611"/>
      <c r="O61" s="1629"/>
      <c r="P61" s="1628"/>
      <c r="Q61" s="812"/>
      <c r="R61" s="813" t="b">
        <f>IF(AND(R59=FALSE,R60=FALSE),FALSE,TRUE)</f>
        <v>1</v>
      </c>
      <c r="S61" s="1628"/>
      <c r="T61" s="812"/>
      <c r="U61" s="813"/>
      <c r="V61" s="931"/>
      <c r="W61" s="931"/>
      <c r="X61" s="1394"/>
      <c r="Z61" s="1398"/>
      <c r="AB61" s="1402"/>
      <c r="AD61" s="960" t="str">
        <f>IF(K61=TRUE,"V","F")</f>
        <v>V</v>
      </c>
      <c r="AE61" s="961"/>
      <c r="AF61" s="960" t="str">
        <f>IF(R61=TRUE,"V","F")</f>
        <v>V</v>
      </c>
      <c r="AG61" s="961"/>
      <c r="AH61" s="960"/>
      <c r="AI61" s="961"/>
      <c r="AK61" s="10"/>
      <c r="AL61" s="10"/>
      <c r="AM61" s="10"/>
      <c r="AN61" s="2102">
        <f>IF(AND($K59=TRUE,$K60=FALSE),AN59,IF(AND($K59=FALSE,$K60=TRUE),AN60,IF(AND($K59=TRUE,$K60=TRUE),MAX(AN59,AN60),0)))</f>
        <v>8</v>
      </c>
      <c r="AO61" s="2102">
        <f>IF(AND($R59=TRUE,$R60=FALSE),AO59,IF(AND($R59=FALSE,$R60=TRUE),AO60,IF(AND($R59=TRUE,$R60=TRUE),MAX(AO59,AO60),0)))</f>
        <v>8</v>
      </c>
      <c r="AP61" s="2102"/>
      <c r="AQ61" s="2102">
        <f>IF(AND($K59=TRUE,$K60=FALSE),AQ59,IF(AND($K59=FALSE,$K60=TRUE),AQ60,IF(AND($K59=TRUE,$K60=TRUE),MAX(AQ59,AQ60),0)))</f>
        <v>8</v>
      </c>
      <c r="AR61" s="2102">
        <f>IF(AND($K59=TRUE,$K60=FALSE),AR59,IF(AND($K59=FALSE,$K60=TRUE),AR60,IF(AND($K59=TRUE,$K60=TRUE),MAX(AR59,AR60),0)))</f>
        <v>20</v>
      </c>
      <c r="AS61" s="2102">
        <f t="shared" ref="AS61" si="26">IF(AND($R59=TRUE,$R60=FALSE),AS59,IF(AND($R59=FALSE,$R60=TRUE),AS60,IF(AND($R59=TRUE,$R60=TRUE),MAX(AS59,AS60),0)))</f>
        <v>4</v>
      </c>
      <c r="AT61" s="2102">
        <f t="shared" ref="AT61" si="27">IF(AND($R59=TRUE,$R60=FALSE),AT59,IF(AND($R59=FALSE,$R60=TRUE),AT60,IF(AND($R59=TRUE,$R60=TRUE),MAX(AT59,AT60),0)))</f>
        <v>14</v>
      </c>
      <c r="AU61" s="2102"/>
      <c r="AV61" s="2102"/>
      <c r="BD61" s="816"/>
      <c r="BE61" s="110"/>
      <c r="BF61" s="477"/>
      <c r="BG61" s="113"/>
      <c r="BH61" s="481"/>
      <c r="BI61" s="113"/>
      <c r="BJ61" s="482"/>
      <c r="BK61" s="478"/>
    </row>
    <row r="62" spans="2:63" ht="32" customHeight="1" x14ac:dyDescent="0.2">
      <c r="B62" s="2030"/>
      <c r="D62" s="421" t="s">
        <v>310</v>
      </c>
      <c r="E62" s="785"/>
      <c r="F62" s="474" t="s">
        <v>398</v>
      </c>
      <c r="G62" s="47"/>
      <c r="H62" s="47">
        <f>IF(AND(K58=TRUE,K61=FALSE),H58,IF(AND(K58=FALSE,K61=TRUE),H61,IF(AND(K58=TRUE,K61=TRUE),H58+H61,MAX(H58,H61))))</f>
        <v>8</v>
      </c>
      <c r="I62" s="1630"/>
      <c r="J62" s="475"/>
      <c r="K62" s="1613"/>
      <c r="L62" s="1614" t="str">
        <f>IF(AND(K61=TRUE,K58=TRUE),E61,"")</f>
        <v/>
      </c>
      <c r="M62" s="1614" t="str">
        <f>IF(AND(K58=TRUE,K61=FALSE),"Bien que le parent "&amp;E58&amp;" l'enfant ne semble pas s'ingérer","")</f>
        <v/>
      </c>
      <c r="N62" s="1614" t="str">
        <f>IF(AND(K58=FALSE,K61=TRUE),E61&amp;" sans signe de la participation du parent favorisé et|ou nouveau conjoint.e","")</f>
        <v>vous reproche d'avoir abandonné la famille sans signe de la participation du parent favorisé et|ou nouveau conjoint.e</v>
      </c>
      <c r="O62" s="1631" t="str">
        <f>IF(AND(K58=FALSE,K61=FALSE),"aucun comportement significatif de cette nature","")</f>
        <v/>
      </c>
      <c r="P62" s="1630"/>
      <c r="Q62" s="475"/>
      <c r="R62" s="1639"/>
      <c r="S62" s="1630"/>
      <c r="T62" s="475"/>
      <c r="U62" s="1639"/>
      <c r="V62" s="170"/>
      <c r="W62" s="170"/>
      <c r="X62" s="1394"/>
      <c r="Z62" s="1398"/>
      <c r="AB62" s="1402"/>
      <c r="AD62" s="962"/>
      <c r="AE62" s="963">
        <f>IF(AND(AD58="V",AD61="V"),2,IF(OR(AD58="V",AD61="V"),1,0))</f>
        <v>1</v>
      </c>
      <c r="AF62" s="962"/>
      <c r="AG62" s="963">
        <f>IF(OR(AF58="V",AF61="V"),1,0)</f>
        <v>1</v>
      </c>
      <c r="AH62" s="962"/>
      <c r="AI62" s="963"/>
      <c r="AK62" s="10"/>
      <c r="AL62" s="10"/>
      <c r="AM62" s="10"/>
      <c r="AN62" s="2097">
        <f>IF(AND($AD58="V",$AD61="F"),AN58,IF(AND($AD58="F",$AD61="V"),AN61,IF(AND($AD58="V",$AD61="V"),AN58+AN61,0)))</f>
        <v>8</v>
      </c>
      <c r="AO62" s="2097">
        <f>IF(AND($AF58="V",$AF61="F"),AO58,IF(AND($AF58="F",$AF61="V"),AO61,IF(AND($AF58="V",$AF61="V"),AO58+AO61,0)))</f>
        <v>8</v>
      </c>
      <c r="AP62" s="2097"/>
      <c r="AQ62" s="2097">
        <f>IF(AND($AD58="V",$AD61="F"),AQ58,IF(AND($AD58="F",$AD61="V"),AQ61,IF(AND($AD58="V",$AD61="V"),AQ58+AQ61,0)))</f>
        <v>8</v>
      </c>
      <c r="AR62" s="2097">
        <f>IF(AND($AD58="V",$AD61="F"),AR58,IF(AND($AD58="F",$AD61="V"),AR61,IF(AND($AD58="V",$AD61="V"),AR58+AR61,0)))</f>
        <v>20</v>
      </c>
      <c r="AS62" s="2097">
        <f>IF(AND($AF58="V",$AF61="F"),AS58,IF(AND($AF58="F",$AF61="V"),AS61,IF(AND($AF58="V",$AF61="V"),AS58+AS61,0)))</f>
        <v>4</v>
      </c>
      <c r="AT62" s="2097">
        <f>IF(AND($AF58="V",$AF61="F"),AT58,IF(AND($AF58="F",$AF61="V"),AT61,IF(AND($AF58="V",$AF61="V"),AT58+AT61,0)))</f>
        <v>14</v>
      </c>
      <c r="AU62" s="2097"/>
      <c r="AV62" s="2097"/>
      <c r="BD62" s="816"/>
      <c r="BE62" s="110"/>
      <c r="BF62" s="477"/>
      <c r="BG62" s="113"/>
      <c r="BH62" s="481"/>
      <c r="BI62" s="113"/>
      <c r="BJ62" s="482"/>
      <c r="BK62" s="478"/>
    </row>
    <row r="63" spans="2:63" ht="32" customHeight="1" x14ac:dyDescent="0.2">
      <c r="B63" s="2030"/>
      <c r="C63" t="s">
        <v>243</v>
      </c>
      <c r="I63" s="146"/>
      <c r="L63" s="46"/>
      <c r="M63" s="46"/>
      <c r="N63" s="46"/>
      <c r="O63" s="1652"/>
      <c r="P63" s="146"/>
      <c r="R63" s="326"/>
      <c r="S63" s="146"/>
      <c r="U63" s="326"/>
      <c r="V63" s="46"/>
      <c r="X63" s="1394"/>
      <c r="Z63" s="1398"/>
      <c r="AB63" s="1402"/>
      <c r="AD63" s="960"/>
      <c r="AE63" s="961"/>
      <c r="AF63" s="960"/>
      <c r="AG63" s="961"/>
      <c r="AH63" s="960"/>
      <c r="AI63" s="961"/>
      <c r="AK63" s="10"/>
      <c r="AL63" s="10"/>
      <c r="AM63" s="10"/>
      <c r="AN63" s="975"/>
      <c r="AO63" s="975"/>
      <c r="AP63" s="975"/>
      <c r="AQ63" s="1806"/>
      <c r="AR63" s="1806"/>
      <c r="AS63" s="1806"/>
      <c r="AT63" s="1806"/>
      <c r="AU63" s="1806"/>
      <c r="AV63" s="1806"/>
      <c r="BD63" s="816"/>
      <c r="BE63" s="110"/>
      <c r="BF63" s="477"/>
      <c r="BG63" s="113"/>
      <c r="BH63" s="481"/>
      <c r="BI63" s="113"/>
      <c r="BJ63" s="482"/>
      <c r="BK63" s="478"/>
    </row>
    <row r="64" spans="2:63" ht="32" customHeight="1" x14ac:dyDescent="0.2">
      <c r="B64" s="2030"/>
      <c r="C64" s="964"/>
      <c r="D64" s="972"/>
      <c r="E64" s="965"/>
      <c r="F64" s="973"/>
      <c r="G64" s="973"/>
      <c r="H64" s="973">
        <f>F64*G64</f>
        <v>0</v>
      </c>
      <c r="I64" s="1647">
        <v>11</v>
      </c>
      <c r="J64" s="1648">
        <v>11</v>
      </c>
      <c r="K64" s="45" t="b">
        <f>IF(AND(F64&gt;=I64,F64&lt;=J64),TRUE,FALSE)</f>
        <v>0</v>
      </c>
      <c r="L64" s="32"/>
      <c r="M64" s="32"/>
      <c r="N64" s="32"/>
      <c r="O64" s="1632"/>
      <c r="P64" s="1647">
        <v>11</v>
      </c>
      <c r="Q64" s="1648">
        <v>11</v>
      </c>
      <c r="R64" s="1623" t="b">
        <f>IF(AND(F64&gt;=P64,F64&lt;=Q64),TRUE,FALSE)</f>
        <v>0</v>
      </c>
      <c r="S64" s="1647">
        <v>11</v>
      </c>
      <c r="T64" s="1648">
        <v>11</v>
      </c>
      <c r="U64" s="1623" t="b">
        <f>IF(AND(F64&gt;=S64,F64&lt;=T64),TRUE,FALSE)</f>
        <v>0</v>
      </c>
      <c r="V64" s="46"/>
      <c r="W64" s="1428"/>
      <c r="X64" s="1422">
        <v>11</v>
      </c>
      <c r="Y64" s="1423"/>
      <c r="Z64" s="1424">
        <v>11</v>
      </c>
      <c r="AA64" s="1423"/>
      <c r="AB64" s="1416">
        <v>11</v>
      </c>
      <c r="AD64" s="960"/>
      <c r="AE64" s="961"/>
      <c r="AF64" s="960"/>
      <c r="AG64" s="961"/>
      <c r="AH64" s="960"/>
      <c r="AI64" s="961"/>
      <c r="AK64" s="10"/>
      <c r="AL64" s="10"/>
      <c r="AM64" s="10"/>
      <c r="AN64" s="975">
        <f>IF($K64=TRUE,H64,0)</f>
        <v>0</v>
      </c>
      <c r="AO64" s="975">
        <f>IF($R64=TRUE,H64,0)</f>
        <v>0</v>
      </c>
      <c r="AP64" s="975">
        <f>IF($U64=TRUE,H64,0)</f>
        <v>0</v>
      </c>
      <c r="AQ64" s="1806">
        <f>IF(I64=11,0,G64*I64)</f>
        <v>0</v>
      </c>
      <c r="AR64" s="1806">
        <f>IF(J64=11,0,G64*J64)</f>
        <v>0</v>
      </c>
      <c r="AS64" s="1806">
        <f>IF(P64=11,0,G64*P64)</f>
        <v>0</v>
      </c>
      <c r="AT64" s="1806">
        <f>IF(Q64=11,0,G64*Q64)</f>
        <v>0</v>
      </c>
      <c r="AU64" s="1806">
        <f>IF(S64=11,0,S64*G64)</f>
        <v>0</v>
      </c>
      <c r="AV64" s="1806">
        <f>IF(T64=11,0,T64*G64)</f>
        <v>0</v>
      </c>
      <c r="BD64" s="816"/>
      <c r="BE64" s="110"/>
      <c r="BF64" s="477"/>
      <c r="BG64" s="113"/>
      <c r="BH64" s="481"/>
      <c r="BI64" s="113"/>
      <c r="BJ64" s="482"/>
      <c r="BK64" s="478"/>
    </row>
    <row r="65" spans="2:63" ht="32" customHeight="1" thickBot="1" x14ac:dyDescent="0.25">
      <c r="B65" s="2030"/>
      <c r="C65" s="964"/>
      <c r="D65" s="972"/>
      <c r="E65" s="965"/>
      <c r="F65" s="973"/>
      <c r="G65" s="973"/>
      <c r="H65" s="973">
        <f>F65*G65</f>
        <v>0</v>
      </c>
      <c r="I65" s="1647">
        <v>11</v>
      </c>
      <c r="J65" s="1648">
        <v>11</v>
      </c>
      <c r="K65" s="45" t="b">
        <f>IF(AND(F65&gt;=I65,F65&lt;=J65),TRUE,FALSE)</f>
        <v>0</v>
      </c>
      <c r="L65" s="32"/>
      <c r="M65" s="32"/>
      <c r="N65" s="32"/>
      <c r="O65" s="1632"/>
      <c r="P65" s="1647">
        <v>11</v>
      </c>
      <c r="Q65" s="1648">
        <v>11</v>
      </c>
      <c r="R65" s="1623" t="b">
        <f>IF(AND(F65&gt;=P65,F65&lt;=Q65),TRUE,FALSE)</f>
        <v>0</v>
      </c>
      <c r="S65" s="1647">
        <v>11</v>
      </c>
      <c r="T65" s="1648">
        <v>11</v>
      </c>
      <c r="U65" s="1623" t="b">
        <f>IF(AND(F65&gt;=S65,F65&lt;=T65),TRUE,FALSE)</f>
        <v>0</v>
      </c>
      <c r="W65" s="1429"/>
      <c r="X65" s="1425">
        <v>11</v>
      </c>
      <c r="Y65" s="1426"/>
      <c r="Z65" s="1427">
        <v>11</v>
      </c>
      <c r="AA65" s="1426"/>
      <c r="AB65" s="1421">
        <v>11</v>
      </c>
      <c r="AD65" s="960"/>
      <c r="AE65" s="961"/>
      <c r="AF65" s="960"/>
      <c r="AG65" s="961"/>
      <c r="AH65" s="960"/>
      <c r="AI65" s="961"/>
      <c r="AK65" s="10"/>
      <c r="AL65" s="10"/>
      <c r="AM65" s="10"/>
      <c r="AN65" s="975">
        <f>IF($K65=TRUE,H65,0)</f>
        <v>0</v>
      </c>
      <c r="AO65" s="975">
        <f>IF($R65=TRUE,H65,0)</f>
        <v>0</v>
      </c>
      <c r="AP65" s="975">
        <f>IF($U65=TRUE,H65,0)</f>
        <v>0</v>
      </c>
      <c r="AQ65" s="1806">
        <f>IF(I65=11,0,G65*I65)</f>
        <v>0</v>
      </c>
      <c r="AR65" s="1806">
        <f>IF(J65=11,0,G65*J65)</f>
        <v>0</v>
      </c>
      <c r="AS65" s="1806">
        <f>IF(P65=11,0,G65*P65)</f>
        <v>0</v>
      </c>
      <c r="AT65" s="1806">
        <f>IF(Q65=11,0,G65*Q65)</f>
        <v>0</v>
      </c>
      <c r="AU65" s="1806">
        <f>IF(S65=11,0,S65*G65)</f>
        <v>0</v>
      </c>
      <c r="AV65" s="1806">
        <f>IF(T65=11,0,T65*G65)</f>
        <v>0</v>
      </c>
      <c r="BD65" s="816"/>
      <c r="BE65" s="110"/>
      <c r="BF65" s="477"/>
      <c r="BG65" s="113"/>
      <c r="BH65" s="481"/>
      <c r="BI65" s="113"/>
      <c r="BJ65" s="482"/>
      <c r="BK65" s="478"/>
    </row>
    <row r="66" spans="2:63" ht="32" customHeight="1" thickBot="1" x14ac:dyDescent="0.35">
      <c r="E66" s="814"/>
      <c r="F66" s="96"/>
      <c r="G66" s="96"/>
      <c r="H66" s="47">
        <f>IF(AND(K64=TRUE,K65=FALSE),H64,IF(AND(K64=FALSE,K65=TRUE),H65,MAX(H64,H65)))</f>
        <v>0</v>
      </c>
      <c r="I66" s="1644"/>
      <c r="J66" s="1645"/>
      <c r="K66" s="1651" t="b">
        <f>IF(AND(K64=FALSE,K65=FALSE),FALSE,TRUE)</f>
        <v>0</v>
      </c>
      <c r="L66" s="1633"/>
      <c r="M66" s="1634"/>
      <c r="N66" s="1634"/>
      <c r="O66" s="1635"/>
      <c r="P66" s="1644"/>
      <c r="Q66" s="1645"/>
      <c r="R66" s="1651" t="b">
        <f>IF(AND(R64=FALSE,R65=FALSE),FALSE,TRUE)</f>
        <v>0</v>
      </c>
      <c r="S66" s="1656"/>
      <c r="T66" s="1657"/>
      <c r="U66" s="1658" t="b">
        <f>IF(AND(U64=FALSE,U65=FALSE),FALSE,TRUE)</f>
        <v>0</v>
      </c>
      <c r="V66" s="96"/>
      <c r="AD66" s="1564" t="str">
        <f>IF(K66=TRUE,"V","F")</f>
        <v>F</v>
      </c>
      <c r="AE66" s="1565"/>
      <c r="AF66" s="1564" t="str">
        <f>IF(R66=TRUE,"V","F")</f>
        <v>F</v>
      </c>
      <c r="AG66" s="1565"/>
      <c r="AH66" s="1564" t="str">
        <f>IF(U66=TRUE,"V","F")</f>
        <v>F</v>
      </c>
      <c r="AI66" s="1565"/>
      <c r="AK66" s="10"/>
      <c r="AL66" s="10"/>
      <c r="AM66" s="10"/>
      <c r="AN66" s="2102">
        <f>IF(AND($K64=TRUE,$K65=FALSE),AN64,IF(AND($K64=FALSE,$K65=TRUE),AN65,MAX(AN64,AN65)))</f>
        <v>0</v>
      </c>
      <c r="AO66" s="2102">
        <f>IF(AND($R64=TRUE,$R65=FALSE),AO64,IF(AND($R64=FALSE,$R65=TRUE),AO65,MAX(AO64,AO65)))</f>
        <v>0</v>
      </c>
      <c r="AP66" s="2102">
        <f>IF(AND($U64=TRUE,$U65=FALSE),AP64,IF(AND($U64=FALSE,$U65=TRUE),AP65,MAX(AP64,AP65)))</f>
        <v>0</v>
      </c>
      <c r="AQ66" s="2102">
        <f>IF(AND($K64=TRUE,$K65=FALSE),AQ64,IF(AND($K64=FALSE,$K65=TRUE),AQ65,MAX(AQ64,AQ65)))</f>
        <v>0</v>
      </c>
      <c r="AR66" s="2102">
        <f>IF(AND($K64=TRUE,$K65=FALSE),AR64,IF(AND($K64=FALSE,$K65=TRUE),AR65,MAX(AR64,AR65)))</f>
        <v>0</v>
      </c>
      <c r="AS66" s="2102">
        <f>IF(AND($R64=TRUE,$R65=FALSE),AS64,IF(AND($R64=FALSE,$R65=TRUE),AS65,MAX(AS64,AS65)))</f>
        <v>0</v>
      </c>
      <c r="AT66" s="2102">
        <f>IF(AND($R64=TRUE,$R65=FALSE),AT64,IF(AND($R64=FALSE,$R65=TRUE),AT65,MAX(AT64,AT65)))</f>
        <v>0</v>
      </c>
      <c r="AU66" s="2102">
        <f>IF(AND($U64=TRUE,$U65=FALSE),AU64,IF(AND($U64=FALSE,$U65=TRUE),AU65,MAX(AU64,AU65)))</f>
        <v>0</v>
      </c>
      <c r="AV66" s="2102">
        <f>IF(AND($U64=TRUE,$U65=FALSE),AV64,IF(AND($U64=FALSE,$U65=TRUE),AV65,MAX(AV64,AV65)))</f>
        <v>0</v>
      </c>
      <c r="BD66" s="816"/>
      <c r="BE66" s="110"/>
      <c r="BF66" s="477"/>
      <c r="BG66" s="113"/>
      <c r="BH66" s="481"/>
      <c r="BI66" s="113"/>
      <c r="BJ66" s="482"/>
      <c r="BK66" s="478"/>
    </row>
    <row r="67" spans="2:63" ht="32" customHeight="1" thickBot="1" x14ac:dyDescent="0.35">
      <c r="E67" s="814"/>
      <c r="F67" s="96"/>
      <c r="G67" s="96"/>
      <c r="H67" s="96"/>
      <c r="I67" s="96"/>
      <c r="J67" s="96"/>
      <c r="K67" s="96"/>
      <c r="L67" s="815"/>
      <c r="M67" s="815"/>
      <c r="N67" s="815"/>
      <c r="O67" s="96"/>
      <c r="P67" s="96"/>
      <c r="Q67" s="96"/>
      <c r="R67" s="96"/>
      <c r="S67" s="96"/>
      <c r="T67" s="96"/>
      <c r="U67" s="96"/>
      <c r="V67" s="96"/>
      <c r="AD67" s="1649"/>
      <c r="AE67" s="1650">
        <f>IF(AND(AD66="V",AD58="V"),AE62-1,AE62)</f>
        <v>1</v>
      </c>
      <c r="AF67" s="1649"/>
      <c r="AG67" s="1650">
        <f>IF(OR(AF58="V",AF61="V",AF66="V"),1,0)</f>
        <v>1</v>
      </c>
      <c r="AH67" s="1649"/>
      <c r="AI67" s="1650">
        <f>IF(AH58="V",1,IF(AH66="V",1,0))</f>
        <v>0</v>
      </c>
      <c r="AK67" s="10">
        <v>1</v>
      </c>
      <c r="AL67" s="10">
        <v>1</v>
      </c>
      <c r="AM67" s="10"/>
      <c r="AN67" s="2101">
        <f>IF($AD66="F",AN62,AN62+AN66)</f>
        <v>8</v>
      </c>
      <c r="AO67" s="2101">
        <f>IF($AF66="F",AO62,AO62+AO66)</f>
        <v>8</v>
      </c>
      <c r="AP67" s="2101">
        <f>IF(AND($AH58="V",$AH66="F"),AP58,IF(AND($AH58="F",$AH66="V"),AP66,IF(AND($AH58="V",$AH66="V"),AP58+AP66,0)))</f>
        <v>0</v>
      </c>
      <c r="AQ67" s="2101">
        <f>IF($AD66="F",AQ62,AQ62+AQ66)</f>
        <v>8</v>
      </c>
      <c r="AR67" s="2101">
        <f t="shared" ref="AR67" si="28">IF($AD66="F",AR62,AR62+AR66)</f>
        <v>20</v>
      </c>
      <c r="AS67" s="2101">
        <f t="shared" ref="AS67" si="29">IF($AF66="F",AS62,AS62+AS66)</f>
        <v>4</v>
      </c>
      <c r="AT67" s="2101">
        <f t="shared" ref="AT67" si="30">IF($AF66="F",AT62,AT62+AT66)</f>
        <v>14</v>
      </c>
      <c r="AU67" s="2101">
        <f t="shared" ref="AU67" si="31">IF(AND($AH58="V",$AH66="F"),AU58,IF(AND($AH58="F",$AH66="V"),AU66,IF(AND($AH58="V",$AH66="V"),AU58+AU66,0)))</f>
        <v>0</v>
      </c>
      <c r="AV67" s="2101">
        <f t="shared" ref="AV67" si="32">IF(AND($AH58="V",$AH66="F"),AV58,IF(AND($AH58="F",$AH66="V"),AV66,IF(AND($AH58="V",$AH66="V"),AV58+AV66,0)))</f>
        <v>0</v>
      </c>
      <c r="BD67" s="816"/>
      <c r="BE67" s="110"/>
      <c r="BF67" s="477"/>
      <c r="BG67" s="113"/>
      <c r="BH67" s="481"/>
      <c r="BI67" s="113"/>
      <c r="BJ67" s="482"/>
      <c r="BK67" s="478"/>
    </row>
    <row r="68" spans="2:63" ht="32" customHeight="1" x14ac:dyDescent="0.3">
      <c r="E68" s="814"/>
      <c r="F68" s="96"/>
      <c r="G68" s="96"/>
      <c r="H68" s="96"/>
      <c r="I68" s="2270" t="s">
        <v>1395</v>
      </c>
      <c r="J68" s="2271"/>
      <c r="K68" s="2272"/>
      <c r="L68" s="2268"/>
      <c r="M68" s="2268"/>
      <c r="N68" s="2268"/>
      <c r="O68" s="1619"/>
      <c r="P68" s="2273" t="s">
        <v>1394</v>
      </c>
      <c r="Q68" s="2274"/>
      <c r="R68" s="2275"/>
      <c r="S68" s="1678" t="s">
        <v>1393</v>
      </c>
      <c r="T68" s="1618"/>
      <c r="U68" s="1619"/>
      <c r="V68" s="96"/>
      <c r="AD68" s="1668"/>
      <c r="AE68" s="1669"/>
      <c r="AF68" s="1409"/>
      <c r="AG68" s="1409"/>
      <c r="AH68" s="1409"/>
      <c r="AI68" s="1409"/>
      <c r="AK68" s="10"/>
      <c r="AL68" s="10"/>
      <c r="AM68" s="10"/>
      <c r="BD68" s="816"/>
      <c r="BE68" s="110"/>
      <c r="BF68" s="477"/>
      <c r="BG68" s="113"/>
      <c r="BH68" s="481"/>
      <c r="BI68" s="113"/>
      <c r="BJ68" s="482"/>
      <c r="BK68" s="478"/>
    </row>
    <row r="69" spans="2:63" ht="32" customHeight="1" x14ac:dyDescent="0.3">
      <c r="B69" s="2029">
        <v>3</v>
      </c>
      <c r="D69" s="476" t="str">
        <f>'Action-Réaction finale'!F14</f>
        <v>Accusation de maladie mentale et dangerosité</v>
      </c>
      <c r="E69" s="107"/>
      <c r="F69" s="65"/>
      <c r="G69" s="18"/>
      <c r="H69" s="18"/>
      <c r="I69" s="2255" t="s">
        <v>734</v>
      </c>
      <c r="J69" s="2256"/>
      <c r="K69" s="2256"/>
      <c r="L69" s="2257" t="s">
        <v>1378</v>
      </c>
      <c r="M69" s="2257"/>
      <c r="N69" s="2257"/>
      <c r="O69" s="2258"/>
      <c r="P69" s="2259" t="s">
        <v>733</v>
      </c>
      <c r="Q69" s="2260"/>
      <c r="R69" s="2261"/>
      <c r="S69" s="2262" t="s">
        <v>735</v>
      </c>
      <c r="T69" s="2263"/>
      <c r="U69" s="2264"/>
      <c r="V69" s="15"/>
      <c r="W69" s="15"/>
      <c r="AD69" s="956"/>
      <c r="AE69" s="956"/>
      <c r="AF69" s="956"/>
      <c r="AG69" s="956"/>
      <c r="AH69" s="956"/>
      <c r="AI69" s="957"/>
      <c r="AK69" s="10"/>
      <c r="AL69" s="10"/>
      <c r="AM69" s="10"/>
      <c r="AN69" s="1659" t="s">
        <v>734</v>
      </c>
      <c r="AO69" s="1659" t="s">
        <v>733</v>
      </c>
      <c r="AP69" s="1659" t="s">
        <v>735</v>
      </c>
      <c r="AQ69" s="2254" t="s">
        <v>734</v>
      </c>
      <c r="AR69" s="2254"/>
      <c r="AS69" s="2254" t="s">
        <v>733</v>
      </c>
      <c r="AT69" s="2254"/>
      <c r="AU69" s="2254" t="s">
        <v>735</v>
      </c>
      <c r="AV69" s="2254"/>
      <c r="BD69" s="816"/>
      <c r="BE69" s="110"/>
      <c r="BF69" s="477"/>
      <c r="BG69" s="113"/>
      <c r="BH69" s="481"/>
      <c r="BI69" s="113"/>
      <c r="BJ69" s="482"/>
      <c r="BK69" s="478"/>
    </row>
    <row r="70" spans="2:63" ht="32" customHeight="1" x14ac:dyDescent="0.2">
      <c r="B70" s="2030"/>
      <c r="D70" s="102" t="s">
        <v>998</v>
      </c>
      <c r="E70" s="983" t="s">
        <v>997</v>
      </c>
      <c r="F70" s="32" t="s">
        <v>748</v>
      </c>
      <c r="G70" s="32" t="s">
        <v>749</v>
      </c>
      <c r="H70" s="32" t="s">
        <v>750</v>
      </c>
      <c r="I70" s="1620" t="s">
        <v>306</v>
      </c>
      <c r="J70" s="43" t="s">
        <v>307</v>
      </c>
      <c r="K70" s="43" t="s">
        <v>308</v>
      </c>
      <c r="L70" s="43" t="s">
        <v>413</v>
      </c>
      <c r="M70" s="43" t="s">
        <v>388</v>
      </c>
      <c r="N70" s="43" t="s">
        <v>389</v>
      </c>
      <c r="O70" s="1621" t="s">
        <v>390</v>
      </c>
      <c r="P70" s="1620" t="s">
        <v>306</v>
      </c>
      <c r="Q70" s="43" t="s">
        <v>307</v>
      </c>
      <c r="R70" s="1621" t="s">
        <v>308</v>
      </c>
      <c r="S70" s="1620" t="s">
        <v>306</v>
      </c>
      <c r="T70" s="43" t="s">
        <v>307</v>
      </c>
      <c r="U70" s="1621" t="s">
        <v>308</v>
      </c>
      <c r="V70" s="818"/>
      <c r="W70" s="955" t="s">
        <v>928</v>
      </c>
      <c r="X70" s="1391" t="s">
        <v>734</v>
      </c>
      <c r="Y70" s="955" t="s">
        <v>928</v>
      </c>
      <c r="Z70" s="1395" t="s">
        <v>733</v>
      </c>
      <c r="AA70" s="955" t="s">
        <v>928</v>
      </c>
      <c r="AB70" s="1399" t="s">
        <v>735</v>
      </c>
      <c r="AD70" s="970" t="s">
        <v>734</v>
      </c>
      <c r="AE70" s="971" t="s">
        <v>946</v>
      </c>
      <c r="AF70" s="970" t="s">
        <v>733</v>
      </c>
      <c r="AG70" s="971" t="s">
        <v>947</v>
      </c>
      <c r="AH70" s="970" t="s">
        <v>735</v>
      </c>
      <c r="AI70" s="971" t="s">
        <v>948</v>
      </c>
      <c r="AK70" s="10"/>
      <c r="AL70" s="10"/>
      <c r="AM70" s="10"/>
      <c r="AN70" s="10"/>
      <c r="AO70" s="10"/>
      <c r="AP70" s="10"/>
      <c r="AQ70" s="1806" t="s">
        <v>1322</v>
      </c>
      <c r="AR70" s="1806" t="s">
        <v>1323</v>
      </c>
      <c r="AS70" s="1806" t="s">
        <v>1322</v>
      </c>
      <c r="AT70" s="1806" t="s">
        <v>1323</v>
      </c>
      <c r="AU70" s="1806" t="s">
        <v>1322</v>
      </c>
      <c r="AV70" s="1806" t="s">
        <v>1323</v>
      </c>
      <c r="BD70" s="816"/>
      <c r="BE70" s="110"/>
      <c r="BF70" s="477"/>
      <c r="BG70" s="113"/>
      <c r="BH70" s="481"/>
      <c r="BI70" s="113"/>
      <c r="BJ70" s="482"/>
      <c r="BK70" s="478"/>
    </row>
    <row r="71" spans="2:63" ht="54" customHeight="1" x14ac:dyDescent="0.2">
      <c r="B71" s="1847" t="str">
        <f>'Action-Réaction finale'!I14</f>
        <v>B:Altération/dévoiement de la réalité</v>
      </c>
      <c r="C71" s="414" t="str">
        <f>'Action-Réaction finale'!G14</f>
        <v>PFA05a</v>
      </c>
      <c r="D71" s="26" t="str">
        <f>Test_Bible!B174</f>
        <v/>
      </c>
      <c r="E71" s="101" t="s">
        <v>393</v>
      </c>
      <c r="F71" s="790">
        <f>Test_Bible!P174</f>
        <v>0</v>
      </c>
      <c r="G71" s="789">
        <f>Test_Bible!D174</f>
        <v>2</v>
      </c>
      <c r="H71" s="790">
        <f>F71*G71</f>
        <v>0</v>
      </c>
      <c r="I71" s="1622">
        <v>4</v>
      </c>
      <c r="J71" s="1615">
        <v>10</v>
      </c>
      <c r="K71" s="45" t="b">
        <f>IF(AND(F71&gt;=I71,F71&lt;=J71),TRUE,FALSE)</f>
        <v>0</v>
      </c>
      <c r="L71" s="45"/>
      <c r="M71" s="45"/>
      <c r="N71" s="45"/>
      <c r="O71" s="1623"/>
      <c r="P71" s="1647">
        <v>11</v>
      </c>
      <c r="Q71" s="1648">
        <v>11</v>
      </c>
      <c r="R71" s="1623" t="b">
        <f>IF(AND(F71&gt;=P71,F71&lt;=Q71),TRUE,FALSE)</f>
        <v>0</v>
      </c>
      <c r="S71" s="1622">
        <v>2</v>
      </c>
      <c r="T71" s="1615">
        <v>7</v>
      </c>
      <c r="U71" s="1623" t="b">
        <f>IF(AND(F71&gt;=S71,F71&lt;=T71),TRUE,FALSE)</f>
        <v>0</v>
      </c>
      <c r="V71" s="931"/>
      <c r="W71" s="1403"/>
      <c r="X71" s="1404">
        <v>4</v>
      </c>
      <c r="Y71" s="1405"/>
      <c r="Z71" s="1408">
        <v>1</v>
      </c>
      <c r="AA71" s="1405"/>
      <c r="AB71" s="1415">
        <v>2</v>
      </c>
      <c r="AD71" s="958"/>
      <c r="AE71" s="959"/>
      <c r="AF71" s="958"/>
      <c r="AG71" s="959"/>
      <c r="AH71" s="958"/>
      <c r="AI71" s="959"/>
      <c r="AK71" s="10"/>
      <c r="AL71" s="10"/>
      <c r="AM71" s="10"/>
      <c r="AN71" s="975">
        <f>IF($K71=TRUE,H71,0)</f>
        <v>0</v>
      </c>
      <c r="AO71" s="975">
        <f>IF($R71=TRUE,H71,0)</f>
        <v>0</v>
      </c>
      <c r="AP71" s="975">
        <f>IF($U71=TRUE,H71,0)</f>
        <v>0</v>
      </c>
      <c r="AQ71" s="1806">
        <f>IF(I71=11,0,G71*I71)</f>
        <v>8</v>
      </c>
      <c r="AR71" s="1806">
        <f>IF(J71=11,0,G71*J71)</f>
        <v>20</v>
      </c>
      <c r="AS71" s="1806">
        <f>IF(P71=11,0,G71*P71)</f>
        <v>0</v>
      </c>
      <c r="AT71" s="1806">
        <f>IF(Q71=11,0,G71*Q71)</f>
        <v>0</v>
      </c>
      <c r="AU71" s="1806">
        <f>IF(S71=11,0,S71*G71)</f>
        <v>4</v>
      </c>
      <c r="AV71" s="1806">
        <f>IF(T71=11,0,T71*G71)</f>
        <v>14</v>
      </c>
      <c r="BD71" s="816"/>
      <c r="BE71" s="110"/>
      <c r="BF71" s="477"/>
      <c r="BG71" s="113"/>
      <c r="BH71" s="481"/>
      <c r="BI71" s="113"/>
      <c r="BJ71" s="482"/>
      <c r="BK71" s="478"/>
    </row>
    <row r="72" spans="2:63" ht="32" customHeight="1" x14ac:dyDescent="0.2">
      <c r="B72" s="2032"/>
      <c r="C72" s="414"/>
      <c r="D72" s="26"/>
      <c r="E72" s="101"/>
      <c r="F72" s="790"/>
      <c r="G72" s="789"/>
      <c r="H72" s="790">
        <f>F72*G72</f>
        <v>0</v>
      </c>
      <c r="I72" s="1647">
        <v>11</v>
      </c>
      <c r="J72" s="1648">
        <v>11</v>
      </c>
      <c r="K72" s="45" t="b">
        <f>IF(AND(F72&gt;=I72,F72&lt;=J72),TRUE,FALSE)</f>
        <v>0</v>
      </c>
      <c r="L72" s="45"/>
      <c r="M72" s="45"/>
      <c r="N72" s="45"/>
      <c r="O72" s="1623"/>
      <c r="P72" s="1647">
        <v>11</v>
      </c>
      <c r="Q72" s="1648">
        <v>11</v>
      </c>
      <c r="R72" s="1623" t="b">
        <f>IF(AND(F72&gt;=P72,F72&lt;=Q72),TRUE,FALSE)</f>
        <v>0</v>
      </c>
      <c r="S72" s="1647">
        <v>11</v>
      </c>
      <c r="T72" s="1648">
        <v>11</v>
      </c>
      <c r="U72" s="1623" t="b">
        <f>IF(AND(F72&gt;=S72,F72&lt;=T72),TRUE,FALSE)</f>
        <v>0</v>
      </c>
      <c r="V72" s="931"/>
      <c r="W72" s="1406" t="s">
        <v>943</v>
      </c>
      <c r="X72" s="1425">
        <v>11</v>
      </c>
      <c r="Y72" s="1426"/>
      <c r="Z72" s="1427">
        <v>11</v>
      </c>
      <c r="AA72" s="1426"/>
      <c r="AB72" s="1421">
        <v>11</v>
      </c>
      <c r="AD72" s="960"/>
      <c r="AE72" s="961"/>
      <c r="AF72" s="960"/>
      <c r="AG72" s="961"/>
      <c r="AH72" s="960"/>
      <c r="AI72" s="961"/>
      <c r="AK72" s="10"/>
      <c r="AL72" s="10"/>
      <c r="AM72" s="10"/>
      <c r="AN72" s="975">
        <f>IF($K72=TRUE,H72,0)</f>
        <v>0</v>
      </c>
      <c r="AO72" s="975">
        <f>IF($R72=TRUE,H72,0)</f>
        <v>0</v>
      </c>
      <c r="AP72" s="975">
        <f>IF($U72=TRUE,H72,0)</f>
        <v>0</v>
      </c>
      <c r="AQ72" s="1806">
        <f>IF(I72=11,0,G72*I72)</f>
        <v>0</v>
      </c>
      <c r="AR72" s="1806">
        <f>IF(J72=11,0,G72*J72)</f>
        <v>0</v>
      </c>
      <c r="AS72" s="1806">
        <f>IF(P72=11,0,G72*P72)</f>
        <v>0</v>
      </c>
      <c r="AT72" s="1806">
        <f>IF(Q72=11,0,G72*Q72)</f>
        <v>0</v>
      </c>
      <c r="AU72" s="1806">
        <f>IF(S72=11,0,S72*G72)</f>
        <v>0</v>
      </c>
      <c r="AV72" s="1806">
        <f>IF(T72=11,0,T72*G72)</f>
        <v>0</v>
      </c>
      <c r="BD72" s="816"/>
      <c r="BE72" s="110"/>
      <c r="BF72" s="477"/>
      <c r="BG72" s="113"/>
      <c r="BH72" s="481"/>
      <c r="BI72" s="113"/>
      <c r="BJ72" s="482"/>
      <c r="BK72" s="478"/>
    </row>
    <row r="73" spans="2:63" ht="32" customHeight="1" x14ac:dyDescent="0.2">
      <c r="B73" s="1847"/>
      <c r="C73" s="792" t="s">
        <v>745</v>
      </c>
      <c r="D73" s="793" t="str">
        <f>_xlfn.XLOOKUP(H73,H71:H72,D71:D72)</f>
        <v/>
      </c>
      <c r="E73" s="794" t="str">
        <f>_xlfn.XLOOKUP(H73,H71:H72,E71:E72)</f>
        <v>laisse entendre que vous êtes instable psychologiquement</v>
      </c>
      <c r="F73" s="795"/>
      <c r="G73" s="795"/>
      <c r="H73" s="795">
        <f>IF(AND(K71=TRUE,K72=FALSE),H71,IF(AND(K71=FALSE,K72=TRUE),H72,MAX(H71,H72)))</f>
        <v>0</v>
      </c>
      <c r="I73" s="1624"/>
      <c r="J73" s="796"/>
      <c r="K73" s="797" t="b">
        <f>IF(AND(K71=FALSE,K72=FALSE),FALSE,TRUE)</f>
        <v>0</v>
      </c>
      <c r="L73" s="45"/>
      <c r="M73" s="45"/>
      <c r="N73" s="45"/>
      <c r="O73" s="1623"/>
      <c r="P73" s="1624"/>
      <c r="Q73" s="796"/>
      <c r="R73" s="1637" t="b">
        <f>IF(AND(R71=FALSE,R72=FALSE),FALSE,TRUE)</f>
        <v>0</v>
      </c>
      <c r="S73" s="1624"/>
      <c r="T73" s="796"/>
      <c r="U73" s="1637" t="b">
        <f>IF(AND(U71=FALSE,U72=FALSE),FALSE,TRUE)</f>
        <v>0</v>
      </c>
      <c r="V73" s="931"/>
      <c r="W73" s="931" t="s">
        <v>943</v>
      </c>
      <c r="X73" s="1392"/>
      <c r="Y73" s="8"/>
      <c r="Z73" s="1397"/>
      <c r="AA73" s="8"/>
      <c r="AB73" s="1400"/>
      <c r="AD73" s="960"/>
      <c r="AE73" s="961"/>
      <c r="AF73" s="960"/>
      <c r="AG73" s="961"/>
      <c r="AH73" s="960"/>
      <c r="AI73" s="961"/>
      <c r="AK73" s="10"/>
      <c r="AL73" s="10"/>
      <c r="AM73" s="10"/>
      <c r="AN73" s="2100">
        <f>IF($K73=TRUE,MAX(AN71:AN72),0)</f>
        <v>0</v>
      </c>
      <c r="AO73" s="2100">
        <f>IF($R73=TRUE,MAX(AO71:AO72),0)</f>
        <v>0</v>
      </c>
      <c r="AP73" s="2100">
        <f>IF($U73=TRUE,MAX(AP71:AP72),0)</f>
        <v>0</v>
      </c>
      <c r="AQ73" s="2099">
        <f>MAX(AQ71:AQ72)</f>
        <v>8</v>
      </c>
      <c r="AR73" s="2099">
        <f t="shared" ref="AR73" si="33">MAX(AR71:AR72)</f>
        <v>20</v>
      </c>
      <c r="AS73" s="2099">
        <f t="shared" ref="AS73" si="34">MAX(AS71:AS72)</f>
        <v>0</v>
      </c>
      <c r="AT73" s="2099">
        <f t="shared" ref="AT73" si="35">MAX(AT71:AT72)</f>
        <v>0</v>
      </c>
      <c r="AU73" s="2099">
        <f t="shared" ref="AU73" si="36">MAX(AU71:AU72)</f>
        <v>4</v>
      </c>
      <c r="AV73" s="2099">
        <f t="shared" ref="AV73" si="37">MAX(AV71:AV72)</f>
        <v>14</v>
      </c>
      <c r="BD73" s="816"/>
      <c r="BE73" s="110"/>
      <c r="BF73" s="477"/>
      <c r="BG73" s="113"/>
      <c r="BH73" s="481"/>
      <c r="BI73" s="113"/>
      <c r="BJ73" s="482"/>
      <c r="BK73" s="478"/>
    </row>
    <row r="74" spans="2:63" ht="32" customHeight="1" x14ac:dyDescent="0.2">
      <c r="B74" s="2030"/>
      <c r="C74" s="52"/>
      <c r="D74" s="26"/>
      <c r="E74" s="101"/>
      <c r="F74" s="790"/>
      <c r="G74" s="789"/>
      <c r="H74" s="790">
        <f>F74*G74</f>
        <v>0</v>
      </c>
      <c r="I74" s="1647">
        <v>11</v>
      </c>
      <c r="J74" s="1648">
        <v>11</v>
      </c>
      <c r="K74" s="45" t="b">
        <f>IF(AND(F74&gt;=I74,F74&lt;=J74),TRUE,FALSE)</f>
        <v>0</v>
      </c>
      <c r="L74" s="45"/>
      <c r="M74" s="45"/>
      <c r="N74" s="45"/>
      <c r="O74" s="1623"/>
      <c r="P74" s="1647">
        <v>11</v>
      </c>
      <c r="Q74" s="1648">
        <v>11</v>
      </c>
      <c r="R74" s="1623" t="b">
        <f>IF(AND(F74&gt;=P74,F74&lt;=Q74),TRUE,FALSE)</f>
        <v>0</v>
      </c>
      <c r="S74" s="1647">
        <v>11</v>
      </c>
      <c r="T74" s="1648">
        <v>11</v>
      </c>
      <c r="U74" s="1623" t="b">
        <f>IF(AND(F74&gt;=S74,F74&lt;=T74),TRUE,FALSE)</f>
        <v>0</v>
      </c>
      <c r="V74" s="931"/>
      <c r="W74" s="1403"/>
      <c r="X74" s="1422">
        <v>11</v>
      </c>
      <c r="Y74" s="1423"/>
      <c r="Z74" s="1424">
        <v>11</v>
      </c>
      <c r="AA74" s="1423"/>
      <c r="AB74" s="1416">
        <v>11</v>
      </c>
      <c r="AD74" s="960"/>
      <c r="AE74" s="961"/>
      <c r="AF74" s="960"/>
      <c r="AG74" s="961"/>
      <c r="AH74" s="960"/>
      <c r="AI74" s="961"/>
      <c r="AK74" s="10"/>
      <c r="AL74" s="10"/>
      <c r="AM74" s="10"/>
      <c r="AN74" s="975">
        <f>IF(K74=TRUE,H74,0)</f>
        <v>0</v>
      </c>
      <c r="AO74" s="975">
        <f>IF(R74=TRUE,H74,0)</f>
        <v>0</v>
      </c>
      <c r="AP74" s="975">
        <f>IF(U74=TRUE,H74,0)</f>
        <v>0</v>
      </c>
      <c r="AQ74" s="1806">
        <f>IF(I74=11,0,G74*I74)</f>
        <v>0</v>
      </c>
      <c r="AR74" s="1806">
        <f>IF(J74=11,0,G74*J74)</f>
        <v>0</v>
      </c>
      <c r="AS74" s="1806">
        <f>IF(P74=11,0,G74*P74)</f>
        <v>0</v>
      </c>
      <c r="AT74" s="1806">
        <f>IF(Q74=11,0,G74*Q74)</f>
        <v>0</v>
      </c>
      <c r="AU74" s="1806">
        <f>IF(S74=11,0,S74*G74)</f>
        <v>0</v>
      </c>
      <c r="AV74" s="1806">
        <f>IF(T74=11,0,T74*G74)</f>
        <v>0</v>
      </c>
      <c r="BD74" s="816"/>
      <c r="BE74" s="110"/>
      <c r="BF74" s="477"/>
      <c r="BG74" s="113"/>
      <c r="BH74" s="481"/>
      <c r="BI74" s="113"/>
      <c r="BJ74" s="482"/>
      <c r="BK74" s="478"/>
    </row>
    <row r="75" spans="2:63" ht="32" customHeight="1" x14ac:dyDescent="0.2">
      <c r="B75" s="2030"/>
      <c r="C75" s="52"/>
      <c r="D75" s="26"/>
      <c r="E75" s="62"/>
      <c r="F75" s="35"/>
      <c r="G75" s="35"/>
      <c r="H75" s="35">
        <f>F75*G75</f>
        <v>0</v>
      </c>
      <c r="I75" s="1647">
        <v>11</v>
      </c>
      <c r="J75" s="1648">
        <v>11</v>
      </c>
      <c r="K75" s="45" t="b">
        <f>IF(AND(F75&gt;=I75,F75&lt;=J75),TRUE,FALSE)</f>
        <v>0</v>
      </c>
      <c r="L75" s="45"/>
      <c r="M75" s="45"/>
      <c r="N75" s="45"/>
      <c r="O75" s="1623"/>
      <c r="P75" s="1647">
        <v>11</v>
      </c>
      <c r="Q75" s="1648">
        <v>11</v>
      </c>
      <c r="R75" s="1623" t="b">
        <f>IF(AND(F75&gt;=P75,F75&lt;=Q75),TRUE,FALSE)</f>
        <v>0</v>
      </c>
      <c r="S75" s="1647">
        <v>11</v>
      </c>
      <c r="T75" s="1648">
        <v>11</v>
      </c>
      <c r="U75" s="1623" t="b">
        <f>IF(AND(F75&gt;=S75,F75&lt;=T75),TRUE,FALSE)</f>
        <v>0</v>
      </c>
      <c r="V75" s="931"/>
      <c r="W75" s="1406" t="s">
        <v>943</v>
      </c>
      <c r="X75" s="1425">
        <v>11</v>
      </c>
      <c r="Y75" s="1426"/>
      <c r="Z75" s="1427">
        <v>11</v>
      </c>
      <c r="AA75" s="1426"/>
      <c r="AB75" s="1421">
        <v>11</v>
      </c>
      <c r="AD75" s="960"/>
      <c r="AE75" s="961"/>
      <c r="AF75" s="960"/>
      <c r="AG75" s="961"/>
      <c r="AH75" s="960"/>
      <c r="AI75" s="961"/>
      <c r="AK75" s="10"/>
      <c r="AL75" s="10"/>
      <c r="AM75" s="10"/>
      <c r="AN75" s="975">
        <f>IF(K75=TRUE,H75,0)</f>
        <v>0</v>
      </c>
      <c r="AO75" s="975">
        <f>IF(R75=TRUE,H75,0)</f>
        <v>0</v>
      </c>
      <c r="AP75" s="975">
        <f>IF(U75=TRUE,H75,0)</f>
        <v>0</v>
      </c>
      <c r="AQ75" s="1806">
        <f>IF(I75=11,0,G75*I75)</f>
        <v>0</v>
      </c>
      <c r="AR75" s="1806">
        <f>IF(J75=11,0,G75*J75)</f>
        <v>0</v>
      </c>
      <c r="AS75" s="1806">
        <f>IF(P75=11,0,G75*P75)</f>
        <v>0</v>
      </c>
      <c r="AT75" s="1806">
        <f>IF(Q75=11,0,G75*Q75)</f>
        <v>0</v>
      </c>
      <c r="AU75" s="1806">
        <f>IF(S75=11,0,S75*G75)</f>
        <v>0</v>
      </c>
      <c r="AV75" s="1806">
        <f>IF(T75=11,0,T75*G75)</f>
        <v>0</v>
      </c>
      <c r="BC75" s="7"/>
      <c r="BD75" s="816"/>
      <c r="BE75" s="110"/>
      <c r="BF75" s="477"/>
      <c r="BG75" s="113"/>
      <c r="BH75" s="481"/>
      <c r="BI75" s="113"/>
      <c r="BJ75" s="482"/>
      <c r="BK75" s="478"/>
    </row>
    <row r="76" spans="2:63" ht="32" customHeight="1" thickBot="1" x14ac:dyDescent="0.25">
      <c r="B76" s="2030"/>
      <c r="C76" s="798" t="s">
        <v>746</v>
      </c>
      <c r="D76" s="799">
        <f>_xlfn.XLOOKUP(H76,H74:H75,D74:D75)</f>
        <v>0</v>
      </c>
      <c r="E76" s="800">
        <f>_xlfn.XLOOKUP(H76,H74:H75,E74:E75)</f>
        <v>0</v>
      </c>
      <c r="F76" s="801"/>
      <c r="G76" s="801"/>
      <c r="H76" s="795">
        <f>IF(AND(K74=TRUE,K75=FALSE),H74,IF(AND(K74=FALSE,K75=TRUE),H75,MAX(H74,H75)))</f>
        <v>0</v>
      </c>
      <c r="I76" s="1625"/>
      <c r="J76" s="802"/>
      <c r="K76" s="803" t="b">
        <f>IF(AND(K74=FALSE,K75=FALSE),FALSE,TRUE)</f>
        <v>0</v>
      </c>
      <c r="L76" s="45"/>
      <c r="M76" s="45"/>
      <c r="N76" s="45"/>
      <c r="O76" s="1623"/>
      <c r="P76" s="1625"/>
      <c r="Q76" s="802"/>
      <c r="R76" s="1638" t="b">
        <f>IF(AND(R74=FALSE,R75=FALSE),FALSE,TRUE)</f>
        <v>0</v>
      </c>
      <c r="S76" s="1625"/>
      <c r="T76" s="802"/>
      <c r="U76" s="1638" t="b">
        <f>IF(AND(U74=FALSE,U75=FALSE),FALSE,TRUE)</f>
        <v>0</v>
      </c>
      <c r="V76" s="931"/>
      <c r="W76" s="931"/>
      <c r="X76" s="1392"/>
      <c r="Y76" s="8"/>
      <c r="Z76" s="1397"/>
      <c r="AA76" s="8"/>
      <c r="AB76" s="1400"/>
      <c r="AD76" s="960"/>
      <c r="AE76" s="961"/>
      <c r="AF76" s="960"/>
      <c r="AG76" s="961"/>
      <c r="AH76" s="960"/>
      <c r="AI76" s="961"/>
      <c r="AK76" s="10"/>
      <c r="AL76" s="10"/>
      <c r="AM76" s="10"/>
      <c r="AN76" s="2100">
        <f>IF($K76=TRUE,MAX(AN74:AN75),0)</f>
        <v>0</v>
      </c>
      <c r="AO76" s="2100">
        <f>IF($R76=TRUE,MAX(AO74:AO75),0)</f>
        <v>0</v>
      </c>
      <c r="AP76" s="2100">
        <f>IF($U76=TRUE,MAX(AP74:AP75),0)</f>
        <v>0</v>
      </c>
      <c r="AQ76" s="2099">
        <f>MAX(AQ74:AQ75)</f>
        <v>0</v>
      </c>
      <c r="AR76" s="2099">
        <f t="shared" ref="AR76" si="38">MAX(AR74:AR75)</f>
        <v>0</v>
      </c>
      <c r="AS76" s="2099">
        <f t="shared" ref="AS76" si="39">MAX(AS74:AS75)</f>
        <v>0</v>
      </c>
      <c r="AT76" s="2099">
        <f t="shared" ref="AT76" si="40">MAX(AT74:AT75)</f>
        <v>0</v>
      </c>
      <c r="AU76" s="2099">
        <f t="shared" ref="AU76" si="41">MAX(AU74:AU75)</f>
        <v>0</v>
      </c>
      <c r="AV76" s="2099">
        <f t="shared" ref="AV76" si="42">MAX(AV74:AV75)</f>
        <v>0</v>
      </c>
      <c r="BC76" s="7"/>
      <c r="BD76" s="816"/>
      <c r="BE76" s="110"/>
      <c r="BF76" s="477"/>
      <c r="BG76" s="113"/>
      <c r="BH76" s="481"/>
      <c r="BI76" s="113"/>
      <c r="BJ76" s="482"/>
      <c r="BK76" s="478"/>
    </row>
    <row r="77" spans="2:63" ht="32" customHeight="1" thickBot="1" x14ac:dyDescent="0.25">
      <c r="B77" s="2030"/>
      <c r="C77" s="804" t="s">
        <v>754</v>
      </c>
      <c r="D77" s="805"/>
      <c r="E77" s="805" t="str">
        <f>IF(H77=H73,E73,E76)</f>
        <v>laisse entendre que vous êtes instable psychologiquement</v>
      </c>
      <c r="F77" s="806"/>
      <c r="G77" s="806"/>
      <c r="H77" s="806">
        <f>IF(AND(K73=TRUE,K76=FALSE),H73,IF(AND(K73=FALSE,K76=TRUE),H76,IF(AND(K73=TRUE,K76=TRUE),H73+H76,MAX(H73,H76))))</f>
        <v>0</v>
      </c>
      <c r="I77" s="1626"/>
      <c r="J77" s="807"/>
      <c r="K77" s="808" t="b">
        <f>IF(AND(K73=FALSE,K76=FALSE),FALSE,TRUE)</f>
        <v>0</v>
      </c>
      <c r="L77" s="1610"/>
      <c r="M77" s="1610"/>
      <c r="N77" s="1610"/>
      <c r="O77" s="1627"/>
      <c r="P77" s="1626"/>
      <c r="Q77" s="807"/>
      <c r="R77" s="808" t="b">
        <f>IF(AND(R73=FALSE,R76=FALSE),FALSE,TRUE)</f>
        <v>0</v>
      </c>
      <c r="S77" s="1626"/>
      <c r="T77" s="807"/>
      <c r="U77" s="808" t="b">
        <f>IF(AND(U73=FALSE,U76=FALSE),FALSE,TRUE)</f>
        <v>0</v>
      </c>
      <c r="V77" s="931"/>
      <c r="W77" s="931" t="s">
        <v>942</v>
      </c>
      <c r="X77" s="1392"/>
      <c r="Y77" s="8"/>
      <c r="Z77" s="1397"/>
      <c r="AA77" s="8"/>
      <c r="AB77" s="1400"/>
      <c r="AD77" s="960" t="str">
        <f>IF(K77=TRUE,"V","F")</f>
        <v>F</v>
      </c>
      <c r="AE77" s="961"/>
      <c r="AF77" s="960" t="str">
        <f>IF(R77=TRUE,"V","F")</f>
        <v>F</v>
      </c>
      <c r="AG77" s="961"/>
      <c r="AH77" s="960" t="str">
        <f>IF(U77=TRUE,"V","F")</f>
        <v>F</v>
      </c>
      <c r="AI77" s="961"/>
      <c r="AJ77" t="str">
        <f>IF(OR(AD77="V",AF77="V"),IF(H76&gt;H73,"Le NC contribue plus que le coparent","Le coparent joue un plus grand rôle que le NC"),"pas de contexte significatif de la part du coparent et NC")</f>
        <v>pas de contexte significatif de la part du coparent et NC</v>
      </c>
      <c r="AK77" s="10"/>
      <c r="AL77" s="10"/>
      <c r="AM77" s="10"/>
      <c r="AN77" s="631">
        <f>IF(AND($K73=TRUE,$K76=FALSE),AN73,IF(AND($K73=FALSE,$K76=TRUE),AN76,IF(AND($K73=TRUE,$K76=TRUE),AN73+AN76,0)))</f>
        <v>0</v>
      </c>
      <c r="AO77" s="631">
        <f>IF(AND($R73=TRUE,$R76=FALSE),AO73,IF(AND($R73=FALSE,$R76=TRUE),AO76,IF(AND($R73=TRUE,$R76=TRUE),AO73+AO76,0)))</f>
        <v>0</v>
      </c>
      <c r="AP77" s="631">
        <f>IF(AND($U73=TRUE,$U76=FALSE),AP73,IF(AND($U73=FALSE,$U76=TRUE),AP76,IF(AND($U73=TRUE,$U76=TRUE),AP73+AP76,0)))</f>
        <v>0</v>
      </c>
      <c r="AQ77" s="631">
        <f>IF(AND($K73=TRUE,$K76=FALSE),AQ73,IF(AND($K73=FALSE,$K76=TRUE),AQ76,IF(AND($K73=TRUE,$K76=TRUE),AQ73+AQ76,MAX(AQ73,AQ76))))</f>
        <v>8</v>
      </c>
      <c r="AR77" s="631">
        <f>IF(AND($K73=TRUE,$K76=FALSE),AR73,IF(AND($K73=FALSE,$K76=TRUE),AR76,IF(AND($K73=TRUE,$K76=TRUE),AR73+AR76,MAX(AR73,AR76))))</f>
        <v>20</v>
      </c>
      <c r="AS77" s="631">
        <f t="shared" ref="AS77" si="43">IF(AND($R73=TRUE,$R76=FALSE),AS73,IF(AND($R73=FALSE,$R76=TRUE),AS76,IF(AND($R73=TRUE,$R76=TRUE),AS73+AS76,MAX(AS73,AS76))))</f>
        <v>0</v>
      </c>
      <c r="AT77" s="631">
        <f t="shared" ref="AT77" si="44">IF(AND($R73=TRUE,$R76=FALSE),AT73,IF(AND($R73=FALSE,$R76=TRUE),AT76,IF(AND($R73=TRUE,$R76=TRUE),AT73+AT76,MAX(AT73,AT76))))</f>
        <v>0</v>
      </c>
      <c r="AU77" s="631">
        <f t="shared" ref="AU77" si="45">IF(AND($U73=TRUE,$U76=FALSE),AU73,IF(AND($U73=FALSE,$U76=TRUE),AU76,IF(AND($U73=TRUE,$U76=TRUE),AU73+AU76,MAX(AU73,AU76))))</f>
        <v>4</v>
      </c>
      <c r="AV77" s="631">
        <f t="shared" ref="AV77" si="46">IF(AND($U73=TRUE,$U76=FALSE),AV73,IF(AND($U73=FALSE,$U76=TRUE),AV76,IF(AND($U73=TRUE,$U76=TRUE),AV73+AV76,MAX(AV73,AV76))))</f>
        <v>14</v>
      </c>
      <c r="BC77" s="7"/>
      <c r="BD77" s="816"/>
      <c r="BE77" s="110"/>
      <c r="BF77" s="477"/>
      <c r="BG77" s="113"/>
      <c r="BH77" s="481"/>
      <c r="BI77" s="113"/>
      <c r="BJ77" s="482"/>
      <c r="BK77" s="478"/>
    </row>
    <row r="78" spans="2:63" ht="50" customHeight="1" x14ac:dyDescent="0.2">
      <c r="B78" s="2030" t="str">
        <f>'Action-Réaction finale'!Q14</f>
        <v>B:Altération/dévoiement de la réalité</v>
      </c>
      <c r="C78" s="313" t="str">
        <f>'Action-Réaction finale'!O14</f>
        <v>E06a</v>
      </c>
      <c r="D78" s="26" t="str">
        <f>Test_Bible!B279</f>
        <v>Votre enfant croit que vous souffrez d’une maladie mentale ou que vous êtes instable psychologiquement.</v>
      </c>
      <c r="E78" s="101" t="s">
        <v>395</v>
      </c>
      <c r="F78" s="790">
        <f>Test_Bible!P279</f>
        <v>4</v>
      </c>
      <c r="G78" s="789">
        <f>Test_Bible!D279</f>
        <v>3</v>
      </c>
      <c r="H78" s="790">
        <f>F78*G78</f>
        <v>12</v>
      </c>
      <c r="I78" s="1622">
        <v>4</v>
      </c>
      <c r="J78" s="1615">
        <f>$J$18</f>
        <v>10</v>
      </c>
      <c r="K78" s="45" t="b">
        <f>IF(AND(F78&gt;=I78,F78&lt;=J78),TRUE,FALSE)</f>
        <v>1</v>
      </c>
      <c r="L78" s="45"/>
      <c r="M78" s="45"/>
      <c r="N78" s="45"/>
      <c r="O78" s="1623"/>
      <c r="P78" s="1647">
        <v>11</v>
      </c>
      <c r="Q78" s="1648">
        <v>11</v>
      </c>
      <c r="R78" s="1623" t="b">
        <f>IF(AND(F78&gt;=P78,F78&lt;=Q78),TRUE,FALSE)</f>
        <v>0</v>
      </c>
      <c r="S78" s="1622"/>
      <c r="T78" s="1615"/>
      <c r="U78" s="1623"/>
      <c r="V78" s="931"/>
      <c r="W78" s="1403"/>
      <c r="X78" s="1404">
        <v>4</v>
      </c>
      <c r="Y78" s="1405"/>
      <c r="Z78" s="1408">
        <v>2</v>
      </c>
      <c r="AA78" s="1405"/>
      <c r="AB78" s="1416">
        <v>11</v>
      </c>
      <c r="AD78" s="960" t="s">
        <v>945</v>
      </c>
      <c r="AE78" s="961"/>
      <c r="AF78" s="960"/>
      <c r="AG78" s="961"/>
      <c r="AH78" s="960"/>
      <c r="AI78" s="961"/>
      <c r="AK78" s="10"/>
      <c r="AL78" s="10"/>
      <c r="AM78" s="10"/>
      <c r="AN78" s="975">
        <f>IF($K78=TRUE,H78,0)</f>
        <v>12</v>
      </c>
      <c r="AO78" s="975">
        <f>IF($R78=TRUE,H78,0)</f>
        <v>0</v>
      </c>
      <c r="AP78" s="975"/>
      <c r="AQ78" s="1806">
        <f>IF(I78=11,0,G78*I78)</f>
        <v>12</v>
      </c>
      <c r="AR78" s="1806">
        <f>IF(J78=11,0,G78*J78)</f>
        <v>30</v>
      </c>
      <c r="AS78" s="1806">
        <f>IF(P78=11,0,G78*P78)</f>
        <v>0</v>
      </c>
      <c r="AT78" s="1806">
        <f>IF(Q78=11,0,G78*Q78)</f>
        <v>0</v>
      </c>
      <c r="AU78" s="1806"/>
      <c r="AV78" s="1806"/>
      <c r="BD78" s="816"/>
      <c r="BE78" s="110"/>
      <c r="BF78" s="477"/>
      <c r="BG78" s="113"/>
      <c r="BH78" s="481"/>
      <c r="BI78" s="113"/>
      <c r="BJ78" s="482"/>
      <c r="BK78" s="478"/>
    </row>
    <row r="79" spans="2:63" ht="32" customHeight="1" thickBot="1" x14ac:dyDescent="0.25">
      <c r="B79" s="2030"/>
      <c r="C79" s="313"/>
      <c r="D79" s="26"/>
      <c r="E79" s="101"/>
      <c r="F79" s="790"/>
      <c r="G79" s="789"/>
      <c r="H79" s="790">
        <f>F79*G79</f>
        <v>0</v>
      </c>
      <c r="I79" s="1647">
        <v>11</v>
      </c>
      <c r="J79" s="1648">
        <v>11</v>
      </c>
      <c r="K79" s="45" t="b">
        <f>IF(AND(F79&gt;=I79,F79&lt;=J79),TRUE,FALSE)</f>
        <v>0</v>
      </c>
      <c r="L79" s="45"/>
      <c r="M79" s="45"/>
      <c r="N79" s="45"/>
      <c r="O79" s="1623"/>
      <c r="P79" s="1647">
        <v>11</v>
      </c>
      <c r="Q79" s="1648">
        <v>11</v>
      </c>
      <c r="R79" s="1623" t="b">
        <f>IF(AND(F79&gt;=P79,F79&lt;=Q79),TRUE,FALSE)</f>
        <v>0</v>
      </c>
      <c r="S79" s="1647"/>
      <c r="T79" s="1648"/>
      <c r="U79" s="1623"/>
      <c r="V79" s="931"/>
      <c r="W79" s="1406" t="s">
        <v>943</v>
      </c>
      <c r="X79" s="1425">
        <v>11</v>
      </c>
      <c r="Y79" s="1426"/>
      <c r="Z79" s="1427">
        <v>11</v>
      </c>
      <c r="AA79" s="1426"/>
      <c r="AB79" s="1421">
        <v>11</v>
      </c>
      <c r="AD79" s="960"/>
      <c r="AE79" s="961"/>
      <c r="AF79" s="960"/>
      <c r="AG79" s="961"/>
      <c r="AH79" s="960"/>
      <c r="AI79" s="961"/>
      <c r="AK79" s="10"/>
      <c r="AL79" s="10"/>
      <c r="AM79" s="10"/>
      <c r="AN79" s="975">
        <f>IF($K79=TRUE,H79,0)</f>
        <v>0</v>
      </c>
      <c r="AO79" s="975">
        <f>IF($R79=TRUE,H79,0)</f>
        <v>0</v>
      </c>
      <c r="AP79" s="975"/>
      <c r="AQ79" s="1806">
        <f>IF(I79=11,0,G79*I79)</f>
        <v>0</v>
      </c>
      <c r="AR79" s="1806">
        <f>IF(J79=11,0,G79*J79)</f>
        <v>0</v>
      </c>
      <c r="AS79" s="1806">
        <f>IF(P79=11,0,G79*P79)</f>
        <v>0</v>
      </c>
      <c r="AT79" s="1806">
        <f>IF(Q79=11,0,G79*Q79)</f>
        <v>0</v>
      </c>
      <c r="AU79" s="1806"/>
      <c r="AV79" s="1806"/>
      <c r="BD79" s="816"/>
      <c r="BE79" s="110"/>
      <c r="BF79" s="477"/>
      <c r="BG79" s="113"/>
      <c r="BH79" s="481"/>
      <c r="BI79" s="113"/>
      <c r="BJ79" s="482"/>
      <c r="BK79" s="478"/>
    </row>
    <row r="80" spans="2:63" ht="32" customHeight="1" thickBot="1" x14ac:dyDescent="0.25">
      <c r="B80" s="2030"/>
      <c r="C80" s="809" t="s">
        <v>747</v>
      </c>
      <c r="D80" s="810" t="str">
        <f>_xlfn.XLOOKUP(H80,H78:H79,D78:D79)</f>
        <v>Votre enfant croit que vous souffrez d’une maladie mentale ou que vous êtes instable psychologiquement.</v>
      </c>
      <c r="E80" s="810" t="str">
        <f>_xlfn.XLOOKUP(H80,H78:H79,E78:E79)</f>
        <v>croit que vous êtes instable psychologiquement</v>
      </c>
      <c r="F80" s="811"/>
      <c r="G80" s="811"/>
      <c r="H80" s="811">
        <f>IF(AND(K78=TRUE,K79=FALSE),H78,IF(AND(K78=FALSE,K79=TRUE),H79,MAX(H78,H79)))</f>
        <v>12</v>
      </c>
      <c r="I80" s="1628"/>
      <c r="J80" s="812"/>
      <c r="K80" s="813" t="b">
        <f>IF(AND(K78=FALSE,K79=FALSE),FALSE,TRUE)</f>
        <v>1</v>
      </c>
      <c r="L80" s="1611"/>
      <c r="M80" s="1611"/>
      <c r="N80" s="1611"/>
      <c r="O80" s="1629"/>
      <c r="P80" s="1628"/>
      <c r="Q80" s="812"/>
      <c r="R80" s="813" t="b">
        <f>IF(AND(R78=FALSE,R79=FALSE),FALSE,TRUE)</f>
        <v>0</v>
      </c>
      <c r="S80" s="1628"/>
      <c r="T80" s="812"/>
      <c r="U80" s="813"/>
      <c r="V80" s="931"/>
      <c r="W80" s="931"/>
      <c r="X80" s="1394"/>
      <c r="Z80" s="1398"/>
      <c r="AB80" s="1402"/>
      <c r="AD80" s="960" t="str">
        <f>IF(K80=TRUE,"V","F")</f>
        <v>V</v>
      </c>
      <c r="AE80" s="961"/>
      <c r="AF80" s="960" t="str">
        <f>IF(R80=TRUE,"V","F")</f>
        <v>F</v>
      </c>
      <c r="AG80" s="961"/>
      <c r="AH80" s="960"/>
      <c r="AI80" s="961"/>
      <c r="AK80" s="10"/>
      <c r="AL80" s="10"/>
      <c r="AM80" s="10"/>
      <c r="AN80" s="2102">
        <f>IF(AND($K78=TRUE,$K79=FALSE),AN78,IF(AND($K78=FALSE,$K79=TRUE),AN79,IF(AND($K78=TRUE,$K79=TRUE),MAX(AN78,AN79),0)))</f>
        <v>12</v>
      </c>
      <c r="AO80" s="2102">
        <f>IF(AND($R78=TRUE,$R79=FALSE),AO78,IF(AND($R78=FALSE,$R79=TRUE),AO79,IF(AND($R78=TRUE,$R79=TRUE),MAX(AO78,AO79),0)))</f>
        <v>0</v>
      </c>
      <c r="AP80" s="2102"/>
      <c r="AQ80" s="2102">
        <f>IF(AND($K78=TRUE,$K79=FALSE),AQ78,IF(AND($K78=FALSE,$K79=TRUE),AQ79,IF(AND($K78=TRUE,$K79=TRUE),MAX(AQ78,AQ79),0)))</f>
        <v>12</v>
      </c>
      <c r="AR80" s="2102">
        <f>IF(AND($K78=TRUE,$K79=FALSE),AR78,IF(AND($K78=FALSE,$K79=TRUE),AR79,IF(AND($K78=TRUE,$K79=TRUE),MAX(AR78,AR79),0)))</f>
        <v>30</v>
      </c>
      <c r="AS80" s="2102">
        <f t="shared" ref="AS80" si="47">IF(AND($R78=TRUE,$R79=FALSE),AS78,IF(AND($R78=FALSE,$R79=TRUE),AS79,IF(AND($R78=TRUE,$R79=TRUE),MAX(AS78,AS79),0)))</f>
        <v>0</v>
      </c>
      <c r="AT80" s="2102">
        <f t="shared" ref="AT80" si="48">IF(AND($R78=TRUE,$R79=FALSE),AT78,IF(AND($R78=FALSE,$R79=TRUE),AT79,IF(AND($R78=TRUE,$R79=TRUE),MAX(AT78,AT79),0)))</f>
        <v>0</v>
      </c>
      <c r="AU80" s="2102"/>
      <c r="AV80" s="2102"/>
      <c r="BD80" s="816"/>
      <c r="BE80" s="110"/>
      <c r="BF80" s="477"/>
      <c r="BG80" s="113"/>
      <c r="BH80" s="481"/>
      <c r="BI80" s="113"/>
      <c r="BJ80" s="482"/>
      <c r="BK80" s="478"/>
    </row>
    <row r="81" spans="2:63" ht="32" customHeight="1" x14ac:dyDescent="0.2">
      <c r="B81" s="2030"/>
      <c r="D81" s="421" t="s">
        <v>310</v>
      </c>
      <c r="E81" s="785"/>
      <c r="F81" s="474" t="s">
        <v>398</v>
      </c>
      <c r="G81" s="47"/>
      <c r="H81" s="47">
        <f>IF(AND(K77=TRUE,K80=FALSE),H77,IF(AND(K77=FALSE,K80=TRUE),H80,IF(AND(K77=TRUE,K80=TRUE),H77+H80,MAX(H77,H80))))</f>
        <v>12</v>
      </c>
      <c r="I81" s="1630"/>
      <c r="J81" s="475"/>
      <c r="K81" s="1613"/>
      <c r="L81" s="1614" t="str">
        <f>IF(AND(K80=TRUE,K77=TRUE),E80,"")</f>
        <v/>
      </c>
      <c r="M81" s="1614" t="str">
        <f>IF(AND(K77=TRUE,K80=FALSE),"Bien que le parent "&amp;E77&amp;" l'enfant ne semble pas s'ingérer","")</f>
        <v/>
      </c>
      <c r="N81" s="1614" t="str">
        <f>IF(AND(K77=FALSE,K80=TRUE),E80&amp;" sans signe de la participation du parent favorisé et|ou nouveau conjoint.e","")</f>
        <v>croit que vous êtes instable psychologiquement sans signe de la participation du parent favorisé et|ou nouveau conjoint.e</v>
      </c>
      <c r="O81" s="1631" t="str">
        <f>IF(AND(K77=FALSE,K80=FALSE),"aucun comportement significatif de cette nature","")</f>
        <v/>
      </c>
      <c r="P81" s="1630"/>
      <c r="Q81" s="475"/>
      <c r="R81" s="1639"/>
      <c r="S81" s="1630"/>
      <c r="T81" s="475"/>
      <c r="U81" s="1639"/>
      <c r="V81" s="170"/>
      <c r="W81" s="170"/>
      <c r="X81" s="1394"/>
      <c r="Z81" s="1398"/>
      <c r="AB81" s="1402"/>
      <c r="AD81" s="962"/>
      <c r="AE81" s="963">
        <f>IF(AND(AD77="V",AD80="V"),2,IF(OR(AD77="V",AD80="V"),1,0))</f>
        <v>1</v>
      </c>
      <c r="AF81" s="962"/>
      <c r="AG81" s="963">
        <f>IF(OR(AF77="V",AF80="V"),1,0)</f>
        <v>0</v>
      </c>
      <c r="AH81" s="962"/>
      <c r="AI81" s="963"/>
      <c r="AK81" s="10"/>
      <c r="AL81" s="10"/>
      <c r="AM81" s="10"/>
      <c r="AN81" s="2097">
        <f>IF(AND($AD77="V",$AD80="F"),AN77,IF(AND($AD77="F",$AD80="V"),AN80,IF(AND($AD77="V",$AD80="V"),AN77+AN80,0)))</f>
        <v>12</v>
      </c>
      <c r="AO81" s="2097">
        <f>IF(AND($AF77="V",$AF80="F"),AO77,IF(AND($AF77="F",$AF80="V"),AO80,IF(AND($AF77="V",$AF80="V"),AO77+AO80,0)))</f>
        <v>0</v>
      </c>
      <c r="AP81" s="2097"/>
      <c r="AQ81" s="2097">
        <f>IF(AND($AD77="V",$AD80="F"),AQ77,IF(AND($AD77="F",$AD80="V"),AQ80,IF(AND($AD77="V",$AD80="V"),AQ77+AQ80,0)))</f>
        <v>12</v>
      </c>
      <c r="AR81" s="2097">
        <f>IF(AND($AD77="V",$AD80="F"),AR77,IF(AND($AD77="F",$AD80="V"),AR80,IF(AND($AD77="V",$AD80="V"),AR77+AR80,0)))</f>
        <v>30</v>
      </c>
      <c r="AS81" s="2097">
        <f>IF(AND($AF77="V",$AF80="F"),AS77,IF(AND($AF77="F",$AF80="V"),AS80,IF(AND($AF77="V",$AF80="V"),AS77+AS80,0)))</f>
        <v>0</v>
      </c>
      <c r="AT81" s="2097">
        <f>IF(AND($AF77="V",$AF80="F"),AT77,IF(AND($AF77="F",$AF80="V"),AT80,IF(AND($AF77="V",$AF80="V"),AT77+AT80,0)))</f>
        <v>0</v>
      </c>
      <c r="AU81" s="2097"/>
      <c r="AV81" s="2097"/>
      <c r="BD81" s="816"/>
      <c r="BE81" s="110"/>
      <c r="BF81" s="477"/>
      <c r="BG81" s="113"/>
      <c r="BH81" s="481"/>
      <c r="BI81" s="113"/>
      <c r="BJ81" s="482"/>
      <c r="BK81" s="478"/>
    </row>
    <row r="82" spans="2:63" ht="32" customHeight="1" x14ac:dyDescent="0.2">
      <c r="B82" s="2030"/>
      <c r="C82" t="s">
        <v>243</v>
      </c>
      <c r="I82" s="146"/>
      <c r="L82" s="46"/>
      <c r="M82" s="46"/>
      <c r="N82" s="46"/>
      <c r="O82" s="1652"/>
      <c r="P82" s="146"/>
      <c r="R82" s="326"/>
      <c r="S82" s="146"/>
      <c r="U82" s="326"/>
      <c r="V82" s="46"/>
      <c r="X82" s="1394"/>
      <c r="Z82" s="1398"/>
      <c r="AB82" s="1402"/>
      <c r="AD82" s="960"/>
      <c r="AE82" s="961"/>
      <c r="AF82" s="960"/>
      <c r="AG82" s="961"/>
      <c r="AH82" s="960"/>
      <c r="AI82" s="961"/>
      <c r="AK82" s="10"/>
      <c r="AL82" s="10"/>
      <c r="AM82" s="10"/>
      <c r="AN82" s="975"/>
      <c r="AO82" s="975"/>
      <c r="AP82" s="975"/>
      <c r="AQ82" s="1806"/>
      <c r="AR82" s="1806"/>
      <c r="AS82" s="1806"/>
      <c r="AT82" s="1806"/>
      <c r="AU82" s="1806"/>
      <c r="AV82" s="1806"/>
      <c r="BD82" s="816"/>
      <c r="BE82" s="110"/>
      <c r="BF82" s="477"/>
      <c r="BG82" s="113"/>
      <c r="BH82" s="481"/>
      <c r="BI82" s="113"/>
      <c r="BJ82" s="482"/>
      <c r="BK82" s="478"/>
    </row>
    <row r="83" spans="2:63" ht="32" customHeight="1" x14ac:dyDescent="0.2">
      <c r="B83" s="2030"/>
      <c r="C83" s="964"/>
      <c r="D83" s="972"/>
      <c r="E83" s="965"/>
      <c r="F83" s="973"/>
      <c r="G83" s="973"/>
      <c r="H83" s="973">
        <f>F83*G83</f>
        <v>0</v>
      </c>
      <c r="I83" s="1647">
        <v>11</v>
      </c>
      <c r="J83" s="1648">
        <v>11</v>
      </c>
      <c r="K83" s="45" t="b">
        <f>IF(AND(F83&gt;=I83,F83&lt;=J83),TRUE,FALSE)</f>
        <v>0</v>
      </c>
      <c r="L83" s="32"/>
      <c r="M83" s="32"/>
      <c r="N83" s="32"/>
      <c r="O83" s="1632"/>
      <c r="P83" s="1647">
        <v>11</v>
      </c>
      <c r="Q83" s="1648">
        <v>11</v>
      </c>
      <c r="R83" s="1623" t="b">
        <f>IF(AND(F83&gt;=P83,F83&lt;=Q83),TRUE,FALSE)</f>
        <v>0</v>
      </c>
      <c r="S83" s="1647">
        <v>11</v>
      </c>
      <c r="T83" s="1648">
        <v>11</v>
      </c>
      <c r="U83" s="1623" t="b">
        <f>IF(AND(F83&gt;=S83,F83&lt;=T83),TRUE,FALSE)</f>
        <v>0</v>
      </c>
      <c r="V83" s="46"/>
      <c r="W83" s="1428"/>
      <c r="X83" s="1422">
        <v>11</v>
      </c>
      <c r="Y83" s="1423"/>
      <c r="Z83" s="1424">
        <v>11</v>
      </c>
      <c r="AA83" s="1423"/>
      <c r="AB83" s="1416">
        <v>11</v>
      </c>
      <c r="AD83" s="960"/>
      <c r="AE83" s="961"/>
      <c r="AF83" s="960"/>
      <c r="AG83" s="961"/>
      <c r="AH83" s="960"/>
      <c r="AI83" s="961"/>
      <c r="AK83" s="10"/>
      <c r="AL83" s="10"/>
      <c r="AM83" s="10"/>
      <c r="AN83" s="975">
        <f>IF($K83=TRUE,H83,0)</f>
        <v>0</v>
      </c>
      <c r="AO83" s="975">
        <f>IF($R83=TRUE,H83,0)</f>
        <v>0</v>
      </c>
      <c r="AP83" s="975">
        <f>IF($U83=TRUE,H83,0)</f>
        <v>0</v>
      </c>
      <c r="AQ83" s="1806">
        <f>IF(I83=11,0,G83*I83)</f>
        <v>0</v>
      </c>
      <c r="AR83" s="1806">
        <f>IF(J83=11,0,G83*J83)</f>
        <v>0</v>
      </c>
      <c r="AS83" s="1806">
        <f>IF(P83=11,0,G83*P83)</f>
        <v>0</v>
      </c>
      <c r="AT83" s="1806">
        <f>IF(Q83=11,0,G83*Q83)</f>
        <v>0</v>
      </c>
      <c r="AU83" s="1806">
        <f>IF(S83=11,0,S83*G83)</f>
        <v>0</v>
      </c>
      <c r="AV83" s="1806">
        <f>IF(T83=11,0,T83*G83)</f>
        <v>0</v>
      </c>
      <c r="BD83" s="816"/>
      <c r="BE83" s="110"/>
      <c r="BF83" s="477"/>
      <c r="BG83" s="113"/>
      <c r="BH83" s="481"/>
      <c r="BI83" s="113"/>
      <c r="BJ83" s="482"/>
      <c r="BK83" s="478"/>
    </row>
    <row r="84" spans="2:63" ht="32" customHeight="1" thickBot="1" x14ac:dyDescent="0.25">
      <c r="B84" s="2030"/>
      <c r="C84" s="964"/>
      <c r="D84" s="972"/>
      <c r="E84" s="965"/>
      <c r="F84" s="973"/>
      <c r="G84" s="973"/>
      <c r="H84" s="973">
        <f>F84*G84</f>
        <v>0</v>
      </c>
      <c r="I84" s="1647">
        <v>11</v>
      </c>
      <c r="J84" s="1648">
        <v>11</v>
      </c>
      <c r="K84" s="45" t="b">
        <f>IF(AND(F84&gt;=I84,F84&lt;=J84),TRUE,FALSE)</f>
        <v>0</v>
      </c>
      <c r="L84" s="32"/>
      <c r="M84" s="32"/>
      <c r="N84" s="32"/>
      <c r="O84" s="1632"/>
      <c r="P84" s="1647">
        <v>11</v>
      </c>
      <c r="Q84" s="1648">
        <v>11</v>
      </c>
      <c r="R84" s="1623" t="b">
        <f>IF(AND(F84&gt;=P84,F84&lt;=Q84),TRUE,FALSE)</f>
        <v>0</v>
      </c>
      <c r="S84" s="1647">
        <v>11</v>
      </c>
      <c r="T84" s="1648">
        <v>11</v>
      </c>
      <c r="U84" s="1623" t="b">
        <f>IF(AND(F84&gt;=S84,F84&lt;=T84),TRUE,FALSE)</f>
        <v>0</v>
      </c>
      <c r="W84" s="1429"/>
      <c r="X84" s="1425">
        <v>11</v>
      </c>
      <c r="Y84" s="1426"/>
      <c r="Z84" s="1427">
        <v>11</v>
      </c>
      <c r="AA84" s="1426"/>
      <c r="AB84" s="1421">
        <v>11</v>
      </c>
      <c r="AD84" s="960"/>
      <c r="AE84" s="961"/>
      <c r="AF84" s="960"/>
      <c r="AG84" s="961"/>
      <c r="AH84" s="960"/>
      <c r="AI84" s="961"/>
      <c r="AK84" s="10"/>
      <c r="AL84" s="10"/>
      <c r="AM84" s="10"/>
      <c r="AN84" s="975">
        <f>IF($K84=TRUE,H84,0)</f>
        <v>0</v>
      </c>
      <c r="AO84" s="975">
        <f>IF($R84=TRUE,H84,0)</f>
        <v>0</v>
      </c>
      <c r="AP84" s="975">
        <f>IF($U84=TRUE,H84,0)</f>
        <v>0</v>
      </c>
      <c r="AQ84" s="1806">
        <f>IF(I84=11,0,G84*I84)</f>
        <v>0</v>
      </c>
      <c r="AR84" s="1806">
        <f>IF(J84=11,0,G84*J84)</f>
        <v>0</v>
      </c>
      <c r="AS84" s="1806">
        <f>IF(P84=11,0,G84*P84)</f>
        <v>0</v>
      </c>
      <c r="AT84" s="1806">
        <f>IF(Q84=11,0,G84*Q84)</f>
        <v>0</v>
      </c>
      <c r="AU84" s="1806">
        <f>IF(S84=11,0,S84*G84)</f>
        <v>0</v>
      </c>
      <c r="AV84" s="1806">
        <f>IF(T84=11,0,T84*G84)</f>
        <v>0</v>
      </c>
      <c r="BD84" s="816"/>
      <c r="BE84" s="110"/>
      <c r="BF84" s="477"/>
      <c r="BG84" s="113"/>
      <c r="BH84" s="481"/>
      <c r="BI84" s="113"/>
      <c r="BJ84" s="482"/>
      <c r="BK84" s="478"/>
    </row>
    <row r="85" spans="2:63" ht="32" customHeight="1" thickBot="1" x14ac:dyDescent="0.35">
      <c r="E85" s="814"/>
      <c r="F85" s="96"/>
      <c r="G85" s="96"/>
      <c r="H85" s="47">
        <f>IF(AND(K83=TRUE,K84=FALSE),H83,IF(AND(K83=FALSE,K84=TRUE),H84,MAX(H83,H84)))</f>
        <v>0</v>
      </c>
      <c r="I85" s="1644"/>
      <c r="J85" s="1645"/>
      <c r="K85" s="1651" t="b">
        <f>IF(AND(K83=FALSE,K84=FALSE),FALSE,TRUE)</f>
        <v>0</v>
      </c>
      <c r="L85" s="1633"/>
      <c r="M85" s="1634"/>
      <c r="N85" s="1634"/>
      <c r="O85" s="1635"/>
      <c r="P85" s="1644"/>
      <c r="Q85" s="1645"/>
      <c r="R85" s="1651" t="b">
        <f>IF(AND(R83=FALSE,R84=FALSE),FALSE,TRUE)</f>
        <v>0</v>
      </c>
      <c r="S85" s="1656"/>
      <c r="T85" s="1657"/>
      <c r="U85" s="1658" t="b">
        <f>IF(AND(U83=FALSE,U84=FALSE),FALSE,TRUE)</f>
        <v>0</v>
      </c>
      <c r="V85" s="96"/>
      <c r="AD85" s="1564" t="str">
        <f>IF(K85=TRUE,"V","F")</f>
        <v>F</v>
      </c>
      <c r="AE85" s="1565"/>
      <c r="AF85" s="1564" t="str">
        <f>IF(R85=TRUE,"V","F")</f>
        <v>F</v>
      </c>
      <c r="AG85" s="1565"/>
      <c r="AH85" s="1564" t="str">
        <f>IF(U85=TRUE,"V","F")</f>
        <v>F</v>
      </c>
      <c r="AI85" s="1565"/>
      <c r="AK85" s="10"/>
      <c r="AL85" s="10"/>
      <c r="AM85" s="10"/>
      <c r="AN85" s="2102">
        <f>IF(AND($K83=TRUE,$K84=FALSE),AN83,IF(AND($K83=FALSE,$K84=TRUE),AN84,MAX(AN83,AN84)))</f>
        <v>0</v>
      </c>
      <c r="AO85" s="2102">
        <f>IF(AND($R83=TRUE,$R84=FALSE),AO83,IF(AND($R83=FALSE,$R84=TRUE),AO84,MAX(AO83,AO84)))</f>
        <v>0</v>
      </c>
      <c r="AP85" s="2102">
        <f>IF(AND($U83=TRUE,$U84=FALSE),AP83,IF(AND($U83=FALSE,$U84=TRUE),AP84,MAX(AP83,AP84)))</f>
        <v>0</v>
      </c>
      <c r="AQ85" s="2102">
        <f>IF(AND($K83=TRUE,$K84=FALSE),AQ83,IF(AND($K83=FALSE,$K84=TRUE),AQ84,MAX(AQ83,AQ84)))</f>
        <v>0</v>
      </c>
      <c r="AR85" s="2102">
        <f>IF(AND($K83=TRUE,$K84=FALSE),AR83,IF(AND($K83=FALSE,$K84=TRUE),AR84,MAX(AR83,AR84)))</f>
        <v>0</v>
      </c>
      <c r="AS85" s="2102">
        <f>IF(AND($R83=TRUE,$R84=FALSE),AS83,IF(AND($R83=FALSE,$R84=TRUE),AS84,MAX(AS83,AS84)))</f>
        <v>0</v>
      </c>
      <c r="AT85" s="2102">
        <f>IF(AND($R83=TRUE,$R84=FALSE),AT83,IF(AND($R83=FALSE,$R84=TRUE),AT84,MAX(AT83,AT84)))</f>
        <v>0</v>
      </c>
      <c r="AU85" s="2102">
        <f>IF(AND($U83=TRUE,$U84=FALSE),AU83,IF(AND($U83=FALSE,$U84=TRUE),AU84,MAX(AU83,AU84)))</f>
        <v>0</v>
      </c>
      <c r="AV85" s="2102">
        <f>IF(AND($U83=TRUE,$U84=FALSE),AV83,IF(AND($U83=FALSE,$U84=TRUE),AV84,MAX(AV83,AV84)))</f>
        <v>0</v>
      </c>
      <c r="BD85" s="816"/>
      <c r="BE85" s="110"/>
      <c r="BF85" s="477"/>
      <c r="BG85" s="113"/>
      <c r="BH85" s="481"/>
      <c r="BI85" s="113"/>
      <c r="BJ85" s="482"/>
      <c r="BK85" s="478"/>
    </row>
    <row r="86" spans="2:63" ht="32" customHeight="1" thickBot="1" x14ac:dyDescent="0.35">
      <c r="E86" s="814"/>
      <c r="F86" s="96"/>
      <c r="G86" s="96"/>
      <c r="H86" s="96"/>
      <c r="I86" s="96"/>
      <c r="J86" s="96"/>
      <c r="K86" s="96"/>
      <c r="L86" s="815"/>
      <c r="M86" s="815"/>
      <c r="N86" s="815"/>
      <c r="O86" s="96"/>
      <c r="P86" s="96"/>
      <c r="Q86" s="96"/>
      <c r="R86" s="96"/>
      <c r="S86" s="96"/>
      <c r="T86" s="96"/>
      <c r="U86" s="96"/>
      <c r="V86" s="96"/>
      <c r="AD86" s="1649"/>
      <c r="AE86" s="1650">
        <f>IF(AND(AD85="V",AD77="V"),AE81-1,AE81)</f>
        <v>1</v>
      </c>
      <c r="AF86" s="1649"/>
      <c r="AG86" s="1650">
        <f>IF(OR(AF77="V",AF80="V",AF85="V"),1,0)</f>
        <v>0</v>
      </c>
      <c r="AH86" s="1649"/>
      <c r="AI86" s="1650">
        <f>IF(AH77="V",1,IF(AH85="V",1,0))</f>
        <v>0</v>
      </c>
      <c r="AK86" s="10">
        <v>1</v>
      </c>
      <c r="AL86" s="10"/>
      <c r="AM86" s="10">
        <v>1</v>
      </c>
      <c r="AN86" s="2101">
        <f>IF($AD85="F",AN81,AN81+AN85)</f>
        <v>12</v>
      </c>
      <c r="AO86" s="2101">
        <f>IF($AF85="F",AO81,AO81+AO85)</f>
        <v>0</v>
      </c>
      <c r="AP86" s="2101">
        <f>IF(AND($AH77="V",$AH85="F"),AP77,IF(AND($AH77="F",$AH85="V"),AP85,IF(AND($AH77="V",$AH85="V"),AP77+AP85,0)))</f>
        <v>0</v>
      </c>
      <c r="AQ86" s="2101">
        <f>IF($AD85="F",AQ81,AQ81+AQ85)</f>
        <v>12</v>
      </c>
      <c r="AR86" s="2101">
        <f t="shared" ref="AR86" si="49">IF($AD85="F",AR81,AR81+AR85)</f>
        <v>30</v>
      </c>
      <c r="AS86" s="2101">
        <f t="shared" ref="AS86" si="50">IF($AF85="F",AS81,AS81+AS85)</f>
        <v>0</v>
      </c>
      <c r="AT86" s="2101">
        <f t="shared" ref="AT86" si="51">IF($AF85="F",AT81,AT81+AT85)</f>
        <v>0</v>
      </c>
      <c r="AU86" s="2101">
        <f t="shared" ref="AU86" si="52">IF(AND($AH77="V",$AH85="F"),AU77,IF(AND($AH77="F",$AH85="V"),AU85,IF(AND($AH77="V",$AH85="V"),AU77+AU85,0)))</f>
        <v>0</v>
      </c>
      <c r="AV86" s="2101">
        <f t="shared" ref="AV86" si="53">IF(AND($AH77="V",$AH85="F"),AV77,IF(AND($AH77="F",$AH85="V"),AV85,IF(AND($AH77="V",$AH85="V"),AV77+AV85,0)))</f>
        <v>0</v>
      </c>
      <c r="BD86" s="816"/>
      <c r="BE86" s="110"/>
      <c r="BF86" s="477"/>
      <c r="BG86" s="113"/>
      <c r="BH86" s="481"/>
      <c r="BI86" s="113"/>
      <c r="BJ86" s="482"/>
      <c r="BK86" s="478"/>
    </row>
    <row r="87" spans="2:63" ht="44" customHeight="1" x14ac:dyDescent="0.3">
      <c r="E87" s="814"/>
      <c r="F87" s="96"/>
      <c r="G87" s="96"/>
      <c r="H87" s="96"/>
      <c r="I87" s="2270" t="s">
        <v>1395</v>
      </c>
      <c r="J87" s="2271"/>
      <c r="K87" s="2272"/>
      <c r="L87" s="2268"/>
      <c r="M87" s="2268"/>
      <c r="N87" s="2268"/>
      <c r="O87" s="1619"/>
      <c r="P87" s="2273" t="s">
        <v>1394</v>
      </c>
      <c r="Q87" s="2274"/>
      <c r="R87" s="2275"/>
      <c r="S87" s="1678" t="s">
        <v>1393</v>
      </c>
      <c r="T87" s="1618"/>
      <c r="U87" s="1619"/>
      <c r="V87" s="96"/>
      <c r="AD87" s="1668"/>
      <c r="AE87" s="1669"/>
      <c r="AF87" s="1409"/>
      <c r="AG87" s="1409"/>
      <c r="AH87" s="1409"/>
      <c r="AI87" s="1409"/>
      <c r="AK87" s="10"/>
      <c r="AL87" s="10"/>
      <c r="AM87" s="10"/>
      <c r="BD87" s="816"/>
      <c r="BE87" s="110"/>
      <c r="BF87" s="477"/>
      <c r="BG87" s="113"/>
      <c r="BH87" s="481"/>
      <c r="BI87" s="113"/>
      <c r="BJ87" s="482"/>
      <c r="BK87" s="478"/>
    </row>
    <row r="88" spans="2:63" ht="32" customHeight="1" x14ac:dyDescent="0.3">
      <c r="B88" s="2029">
        <v>4</v>
      </c>
      <c r="D88" s="476" t="s">
        <v>756</v>
      </c>
      <c r="E88" s="107"/>
      <c r="F88" s="65"/>
      <c r="G88" s="18"/>
      <c r="H88" s="18"/>
      <c r="I88" s="2255" t="s">
        <v>734</v>
      </c>
      <c r="J88" s="2256"/>
      <c r="K88" s="2256"/>
      <c r="L88" s="2257" t="s">
        <v>1378</v>
      </c>
      <c r="M88" s="2257"/>
      <c r="N88" s="2257"/>
      <c r="O88" s="2258"/>
      <c r="P88" s="2259" t="s">
        <v>733</v>
      </c>
      <c r="Q88" s="2260"/>
      <c r="R88" s="2261"/>
      <c r="S88" s="2262" t="s">
        <v>735</v>
      </c>
      <c r="T88" s="2263"/>
      <c r="U88" s="2264"/>
      <c r="V88" s="15"/>
      <c r="W88" s="15"/>
      <c r="AD88" s="956"/>
      <c r="AE88" s="956"/>
      <c r="AF88" s="956"/>
      <c r="AG88" s="956"/>
      <c r="AH88" s="956"/>
      <c r="AI88" s="957"/>
      <c r="AK88" s="10"/>
      <c r="AL88" s="10"/>
      <c r="AM88" s="10"/>
      <c r="AN88" s="1659" t="s">
        <v>734</v>
      </c>
      <c r="AO88" s="1659" t="s">
        <v>733</v>
      </c>
      <c r="AP88" s="1659" t="s">
        <v>735</v>
      </c>
      <c r="AQ88" s="2254" t="s">
        <v>734</v>
      </c>
      <c r="AR88" s="2254"/>
      <c r="AS88" s="2254" t="s">
        <v>733</v>
      </c>
      <c r="AT88" s="2254"/>
      <c r="AU88" s="2254" t="s">
        <v>735</v>
      </c>
      <c r="AV88" s="2254"/>
      <c r="BD88" s="816"/>
      <c r="BE88" s="110"/>
      <c r="BF88" s="477"/>
      <c r="BG88" s="113"/>
      <c r="BH88" s="481"/>
      <c r="BI88" s="113"/>
      <c r="BJ88" s="482"/>
      <c r="BK88" s="478"/>
    </row>
    <row r="89" spans="2:63" ht="32" customHeight="1" x14ac:dyDescent="0.3">
      <c r="D89" s="102" t="s">
        <v>998</v>
      </c>
      <c r="E89" s="983" t="s">
        <v>997</v>
      </c>
      <c r="F89" s="32" t="s">
        <v>748</v>
      </c>
      <c r="G89" s="32" t="s">
        <v>749</v>
      </c>
      <c r="H89" s="32" t="s">
        <v>750</v>
      </c>
      <c r="I89" s="1620" t="s">
        <v>306</v>
      </c>
      <c r="J89" s="43" t="s">
        <v>307</v>
      </c>
      <c r="K89" s="43" t="s">
        <v>308</v>
      </c>
      <c r="L89" s="43" t="s">
        <v>413</v>
      </c>
      <c r="M89" s="43" t="s">
        <v>388</v>
      </c>
      <c r="N89" s="43" t="s">
        <v>389</v>
      </c>
      <c r="O89" s="1621" t="s">
        <v>390</v>
      </c>
      <c r="P89" s="1620" t="s">
        <v>306</v>
      </c>
      <c r="Q89" s="43" t="s">
        <v>307</v>
      </c>
      <c r="R89" s="1621" t="s">
        <v>308</v>
      </c>
      <c r="S89" s="1620" t="s">
        <v>306</v>
      </c>
      <c r="T89" s="43" t="s">
        <v>307</v>
      </c>
      <c r="U89" s="1621" t="s">
        <v>308</v>
      </c>
      <c r="V89" s="818"/>
      <c r="W89" s="955" t="s">
        <v>928</v>
      </c>
      <c r="X89" s="1391" t="s">
        <v>734</v>
      </c>
      <c r="Y89" s="955" t="s">
        <v>928</v>
      </c>
      <c r="Z89" s="1395" t="s">
        <v>733</v>
      </c>
      <c r="AA89" s="955" t="s">
        <v>928</v>
      </c>
      <c r="AB89" s="1399" t="s">
        <v>735</v>
      </c>
      <c r="AD89" s="970" t="s">
        <v>734</v>
      </c>
      <c r="AE89" s="971" t="s">
        <v>946</v>
      </c>
      <c r="AF89" s="970" t="s">
        <v>733</v>
      </c>
      <c r="AG89" s="971" t="s">
        <v>947</v>
      </c>
      <c r="AH89" s="970" t="s">
        <v>735</v>
      </c>
      <c r="AI89" s="971" t="s">
        <v>948</v>
      </c>
      <c r="AK89" s="10"/>
      <c r="AL89" s="10"/>
      <c r="AM89" s="10"/>
      <c r="AN89" s="10"/>
      <c r="AO89" s="10"/>
      <c r="AP89" s="10"/>
      <c r="AQ89" s="1806" t="s">
        <v>1322</v>
      </c>
      <c r="AR89" s="1806" t="s">
        <v>1323</v>
      </c>
      <c r="AS89" s="1806" t="s">
        <v>1322</v>
      </c>
      <c r="AT89" s="1806" t="s">
        <v>1323</v>
      </c>
      <c r="AU89" s="1806" t="s">
        <v>1322</v>
      </c>
      <c r="AV89" s="1806" t="s">
        <v>1323</v>
      </c>
      <c r="BD89" s="816"/>
      <c r="BE89" s="110"/>
      <c r="BF89" s="477"/>
      <c r="BG89" s="113"/>
      <c r="BH89" s="481"/>
      <c r="BI89" s="113"/>
      <c r="BJ89" s="482"/>
      <c r="BK89" s="478"/>
    </row>
    <row r="90" spans="2:63" ht="40" customHeight="1" x14ac:dyDescent="0.2">
      <c r="B90" s="2030" t="str">
        <f>'Action-Réaction finale'!I16</f>
        <v>B:Altération/dévoiement de la réalité</v>
      </c>
      <c r="C90" s="414" t="str">
        <f>'Action-Réaction finale'!G16</f>
        <v>PFA05</v>
      </c>
      <c r="D90" s="26" t="str">
        <f>Test_Bible!B173</f>
        <v>L'autre parent laisse entendre à votre enfant qu’il ou elle n’est pas en sécurité avec vous.</v>
      </c>
      <c r="E90" s="101" t="s">
        <v>394</v>
      </c>
      <c r="F90" s="790">
        <f>Test_Bible!P173</f>
        <v>1</v>
      </c>
      <c r="G90" s="789">
        <f>Test_Bible!D173</f>
        <v>2</v>
      </c>
      <c r="H90" s="790">
        <f>F90*G90</f>
        <v>2</v>
      </c>
      <c r="I90" s="1622">
        <v>4</v>
      </c>
      <c r="J90" s="1615">
        <v>10</v>
      </c>
      <c r="K90" s="45" t="b">
        <f>IF(AND(F90&gt;=I90,F90&lt;=J90),TRUE,FALSE)</f>
        <v>0</v>
      </c>
      <c r="L90" s="45"/>
      <c r="M90" s="45"/>
      <c r="N90" s="45"/>
      <c r="O90" s="1623"/>
      <c r="P90" s="1622">
        <v>4</v>
      </c>
      <c r="Q90" s="1615">
        <v>4</v>
      </c>
      <c r="R90" s="1623" t="b">
        <f>IF(AND(F90&gt;=P90,F90&lt;=Q90),TRUE,FALSE)</f>
        <v>0</v>
      </c>
      <c r="S90" s="1622">
        <v>4</v>
      </c>
      <c r="T90" s="1615">
        <v>7</v>
      </c>
      <c r="U90" s="1623" t="b">
        <f>IF(AND(F90&gt;=S90,F90&lt;=T90),TRUE,FALSE)</f>
        <v>0</v>
      </c>
      <c r="V90" s="931"/>
      <c r="W90" s="1403"/>
      <c r="X90" s="1404">
        <v>7</v>
      </c>
      <c r="Y90" s="1405"/>
      <c r="Z90" s="1408">
        <v>4</v>
      </c>
      <c r="AA90" s="1405"/>
      <c r="AB90" s="1415">
        <v>2</v>
      </c>
      <c r="AD90" s="958"/>
      <c r="AE90" s="959"/>
      <c r="AF90" s="958"/>
      <c r="AG90" s="959"/>
      <c r="AH90" s="958"/>
      <c r="AI90" s="959"/>
      <c r="AK90" s="10"/>
      <c r="AL90" s="10"/>
      <c r="AM90" s="10"/>
      <c r="AN90" s="975">
        <f>IF($K90=TRUE,H90,0)</f>
        <v>0</v>
      </c>
      <c r="AO90" s="975">
        <f>IF($R90=TRUE,H90,0)</f>
        <v>0</v>
      </c>
      <c r="AP90" s="975">
        <f>IF($U90=TRUE,H90,0)</f>
        <v>0</v>
      </c>
      <c r="AQ90" s="1806">
        <f>IF(I90=11,0,G90*I90)</f>
        <v>8</v>
      </c>
      <c r="AR90" s="1806">
        <f>IF(J90=11,0,G90*J90)</f>
        <v>20</v>
      </c>
      <c r="AS90" s="1806">
        <f>IF(P90=11,0,G90*P90)</f>
        <v>8</v>
      </c>
      <c r="AT90" s="1806">
        <f>IF(Q90=11,0,G90*Q90)</f>
        <v>8</v>
      </c>
      <c r="AU90" s="1806">
        <f>IF(S90=11,0,S90*G90)</f>
        <v>8</v>
      </c>
      <c r="AV90" s="1806">
        <f>IF(T90=11,0,T90*G90)</f>
        <v>14</v>
      </c>
      <c r="BD90" s="816"/>
      <c r="BE90" s="110"/>
      <c r="BF90" s="477"/>
      <c r="BG90" s="113"/>
      <c r="BH90" s="481"/>
      <c r="BI90" s="113"/>
      <c r="BJ90" s="482"/>
      <c r="BK90" s="478"/>
    </row>
    <row r="91" spans="2:63" ht="32" customHeight="1" x14ac:dyDescent="0.2">
      <c r="B91" s="1847"/>
      <c r="C91" s="414"/>
      <c r="D91" s="26"/>
      <c r="E91" s="101"/>
      <c r="F91" s="790"/>
      <c r="G91" s="789"/>
      <c r="H91" s="790">
        <f>F91*G91</f>
        <v>0</v>
      </c>
      <c r="I91" s="1647">
        <v>11</v>
      </c>
      <c r="J91" s="1648">
        <v>11</v>
      </c>
      <c r="K91" s="45" t="b">
        <f>IF(AND(F91&gt;=I91,F91&lt;=J91),TRUE,FALSE)</f>
        <v>0</v>
      </c>
      <c r="L91" s="45"/>
      <c r="M91" s="45"/>
      <c r="N91" s="45"/>
      <c r="O91" s="1623"/>
      <c r="P91" s="1647">
        <v>11</v>
      </c>
      <c r="Q91" s="1648">
        <v>11</v>
      </c>
      <c r="R91" s="1623" t="b">
        <f>IF(AND(F91&gt;=P91,F91&lt;=Q91),TRUE,FALSE)</f>
        <v>0</v>
      </c>
      <c r="S91" s="1647">
        <v>11</v>
      </c>
      <c r="T91" s="1648">
        <v>11</v>
      </c>
      <c r="U91" s="1623" t="b">
        <f>IF(AND(F91&gt;=S91,F91&lt;=T91),TRUE,FALSE)</f>
        <v>0</v>
      </c>
      <c r="V91" s="931"/>
      <c r="W91" s="1406" t="s">
        <v>943</v>
      </c>
      <c r="X91" s="1425">
        <v>11</v>
      </c>
      <c r="Y91" s="1426"/>
      <c r="Z91" s="1427">
        <v>11</v>
      </c>
      <c r="AA91" s="1426"/>
      <c r="AB91" s="1421">
        <v>11</v>
      </c>
      <c r="AD91" s="960"/>
      <c r="AE91" s="961"/>
      <c r="AF91" s="960"/>
      <c r="AG91" s="961"/>
      <c r="AH91" s="960"/>
      <c r="AI91" s="961"/>
      <c r="AK91" s="10"/>
      <c r="AL91" s="10"/>
      <c r="AM91" s="10"/>
      <c r="AN91" s="975">
        <f>IF($K91=TRUE,H91,0)</f>
        <v>0</v>
      </c>
      <c r="AO91" s="975">
        <f>IF($R91=TRUE,H91,0)</f>
        <v>0</v>
      </c>
      <c r="AP91" s="975">
        <f>IF($U91=TRUE,H91,0)</f>
        <v>0</v>
      </c>
      <c r="AQ91" s="1806">
        <f>IF(I91=11,0,G91*I91)</f>
        <v>0</v>
      </c>
      <c r="AR91" s="1806">
        <f>IF(J91=11,0,G91*J91)</f>
        <v>0</v>
      </c>
      <c r="AS91" s="1806">
        <f>IF(P91=11,0,G91*P91)</f>
        <v>0</v>
      </c>
      <c r="AT91" s="1806">
        <f>IF(Q91=11,0,G91*Q91)</f>
        <v>0</v>
      </c>
      <c r="AU91" s="1806">
        <f>IF(S91=11,0,S91*G91)</f>
        <v>0</v>
      </c>
      <c r="AV91" s="1806">
        <f>IF(T91=11,0,T91*G91)</f>
        <v>0</v>
      </c>
      <c r="BD91" s="816"/>
      <c r="BE91" s="110"/>
      <c r="BF91" s="477"/>
      <c r="BG91" s="113"/>
      <c r="BH91" s="481"/>
      <c r="BI91" s="113"/>
      <c r="BJ91" s="482"/>
      <c r="BK91" s="478"/>
    </row>
    <row r="92" spans="2:63" ht="32" customHeight="1" x14ac:dyDescent="0.2">
      <c r="B92" s="2032"/>
      <c r="C92" s="792" t="s">
        <v>745</v>
      </c>
      <c r="D92" s="793" t="str">
        <f>_xlfn.XLOOKUP(H92,H90:H91,D90:D91)</f>
        <v>L'autre parent laisse entendre à votre enfant qu’il ou elle n’est pas en sécurité avec vous.</v>
      </c>
      <c r="E92" s="794" t="str">
        <f>_xlfn.XLOOKUP(H92,H90:H91,E90:E91)</f>
        <v>laisse entendre que l'enfant n'est pas en sécurité</v>
      </c>
      <c r="F92" s="795"/>
      <c r="G92" s="795"/>
      <c r="H92" s="795">
        <f>IF(AND(K90=TRUE,K91=FALSE),H90,IF(AND(K90=FALSE,K91=TRUE),H91,MAX(H90,H91)))</f>
        <v>2</v>
      </c>
      <c r="I92" s="1624"/>
      <c r="J92" s="796"/>
      <c r="K92" s="797" t="b">
        <f>IF(AND(K90=FALSE,K91=FALSE),FALSE,TRUE)</f>
        <v>0</v>
      </c>
      <c r="L92" s="45"/>
      <c r="M92" s="45"/>
      <c r="N92" s="45"/>
      <c r="O92" s="1623"/>
      <c r="P92" s="1624"/>
      <c r="Q92" s="796"/>
      <c r="R92" s="1637" t="b">
        <f>IF(AND(R90=FALSE,R91=FALSE),FALSE,TRUE)</f>
        <v>0</v>
      </c>
      <c r="S92" s="1624"/>
      <c r="T92" s="796"/>
      <c r="U92" s="1637" t="b">
        <f>IF(AND(U90=FALSE,U91=FALSE),FALSE,TRUE)</f>
        <v>0</v>
      </c>
      <c r="V92" s="931"/>
      <c r="W92" s="931" t="s">
        <v>943</v>
      </c>
      <c r="X92" s="1392"/>
      <c r="Y92" s="8"/>
      <c r="Z92" s="1397"/>
      <c r="AA92" s="8"/>
      <c r="AB92" s="1400"/>
      <c r="AD92" s="960"/>
      <c r="AE92" s="961"/>
      <c r="AF92" s="960"/>
      <c r="AG92" s="961"/>
      <c r="AH92" s="960"/>
      <c r="AI92" s="961"/>
      <c r="AK92" s="10"/>
      <c r="AL92" s="10"/>
      <c r="AM92" s="10"/>
      <c r="AN92" s="2100">
        <f>IF($K92=TRUE,MAX(AN90:AN91),0)</f>
        <v>0</v>
      </c>
      <c r="AO92" s="2100">
        <f>IF($R92=TRUE,MAX(AO90:AO91),0)</f>
        <v>0</v>
      </c>
      <c r="AP92" s="2100">
        <f>IF($U92=TRUE,MAX(AP90:AP91),0)</f>
        <v>0</v>
      </c>
      <c r="AQ92" s="2099">
        <f>MAX(AQ90:AQ91)</f>
        <v>8</v>
      </c>
      <c r="AR92" s="2099">
        <f t="shared" ref="AR92" si="54">MAX(AR90:AR91)</f>
        <v>20</v>
      </c>
      <c r="AS92" s="2099">
        <f t="shared" ref="AS92" si="55">MAX(AS90:AS91)</f>
        <v>8</v>
      </c>
      <c r="AT92" s="2099">
        <f t="shared" ref="AT92" si="56">MAX(AT90:AT91)</f>
        <v>8</v>
      </c>
      <c r="AU92" s="2099">
        <f t="shared" ref="AU92" si="57">MAX(AU90:AU91)</f>
        <v>8</v>
      </c>
      <c r="AV92" s="2099">
        <f t="shared" ref="AV92" si="58">MAX(AV90:AV91)</f>
        <v>14</v>
      </c>
      <c r="BD92" s="816"/>
      <c r="BE92" s="110"/>
      <c r="BF92" s="477"/>
      <c r="BG92" s="113"/>
      <c r="BH92" s="481"/>
      <c r="BI92" s="113"/>
      <c r="BJ92" s="482"/>
      <c r="BK92" s="478"/>
    </row>
    <row r="93" spans="2:63" ht="56" customHeight="1" x14ac:dyDescent="0.2">
      <c r="B93" s="1847" t="str">
        <f>'Action-Réaction finale'!M16</f>
        <v>B:Altération/dévoiement de la réalité</v>
      </c>
      <c r="C93" s="52" t="str">
        <f>'Action-Réaction finale'!K16</f>
        <v>NC02</v>
      </c>
      <c r="D93" s="26" t="str">
        <f>Test_Bible!B406</f>
        <v>Le nouveau ou nouvelle conjoint·e laisse entendre à votre enfant qu’il ou elle n’est pas en sécurité avec vous.</v>
      </c>
      <c r="E93" s="101" t="s">
        <v>795</v>
      </c>
      <c r="F93" s="790">
        <f>Test_Bible!P406</f>
        <v>0</v>
      </c>
      <c r="G93" s="789">
        <f>Test_Bible!D406</f>
        <v>2</v>
      </c>
      <c r="H93" s="790">
        <f>F93*G93</f>
        <v>0</v>
      </c>
      <c r="I93" s="1622">
        <v>4</v>
      </c>
      <c r="J93" s="1615">
        <v>10</v>
      </c>
      <c r="K93" s="45" t="b">
        <f>IF(AND(F93&gt;=I93,F93&lt;=J93),TRUE,FALSE)</f>
        <v>0</v>
      </c>
      <c r="L93" s="45"/>
      <c r="M93" s="45"/>
      <c r="N93" s="45"/>
      <c r="O93" s="1623"/>
      <c r="P93" s="1622">
        <v>7</v>
      </c>
      <c r="Q93" s="1615">
        <v>10</v>
      </c>
      <c r="R93" s="1623" t="b">
        <f>IF(AND(F93&gt;=P93,F93&lt;=Q93),TRUE,FALSE)</f>
        <v>0</v>
      </c>
      <c r="S93" s="1622">
        <v>4</v>
      </c>
      <c r="T93" s="1615">
        <v>10</v>
      </c>
      <c r="U93" s="1623" t="b">
        <f>IF(AND(F93&gt;=S93,F93&lt;=T93),TRUE,FALSE)</f>
        <v>0</v>
      </c>
      <c r="V93" s="931"/>
      <c r="W93" s="1403"/>
      <c r="X93" s="1404">
        <v>4</v>
      </c>
      <c r="Y93" s="1405"/>
      <c r="Z93" s="1408">
        <v>2</v>
      </c>
      <c r="AA93" s="1405"/>
      <c r="AB93" s="1416">
        <v>11</v>
      </c>
      <c r="AD93" s="960"/>
      <c r="AE93" s="961"/>
      <c r="AF93" s="960"/>
      <c r="AG93" s="961"/>
      <c r="AH93" s="960"/>
      <c r="AI93" s="961"/>
      <c r="AK93" s="10"/>
      <c r="AL93" s="10"/>
      <c r="AM93" s="10"/>
      <c r="AN93" s="975">
        <f>IF(K93=TRUE,H93,0)</f>
        <v>0</v>
      </c>
      <c r="AO93" s="975">
        <f>IF(R93=TRUE,H93,0)</f>
        <v>0</v>
      </c>
      <c r="AP93" s="975">
        <f>IF(U93=TRUE,H93,0)</f>
        <v>0</v>
      </c>
      <c r="AQ93" s="1806">
        <f>IF(I93=11,0,G93*I93)</f>
        <v>8</v>
      </c>
      <c r="AR93" s="1806">
        <f>IF(J93=11,0,G93*J93)</f>
        <v>20</v>
      </c>
      <c r="AS93" s="1806">
        <f>IF(P93=11,0,G93*P93)</f>
        <v>14</v>
      </c>
      <c r="AT93" s="1806">
        <f>IF(Q93=11,0,G93*Q93)</f>
        <v>20</v>
      </c>
      <c r="AU93" s="1806">
        <f>IF(S93=11,0,S93*G93)</f>
        <v>8</v>
      </c>
      <c r="AV93" s="1806">
        <f>IF(T93=11,0,T93*G93)</f>
        <v>20</v>
      </c>
      <c r="BD93" s="816"/>
      <c r="BE93" s="110"/>
      <c r="BF93" s="477"/>
      <c r="BG93" s="113"/>
      <c r="BH93" s="481"/>
      <c r="BI93" s="113"/>
      <c r="BJ93" s="482"/>
      <c r="BK93" s="478"/>
    </row>
    <row r="94" spans="2:63" ht="32" customHeight="1" x14ac:dyDescent="0.2">
      <c r="B94" s="2030"/>
      <c r="C94" s="52"/>
      <c r="D94" s="26"/>
      <c r="E94" s="62"/>
      <c r="F94" s="35"/>
      <c r="G94" s="35"/>
      <c r="H94" s="35">
        <f>F94*G94</f>
        <v>0</v>
      </c>
      <c r="I94" s="1647">
        <v>11</v>
      </c>
      <c r="J94" s="1648">
        <v>11</v>
      </c>
      <c r="K94" s="45" t="b">
        <f>IF(AND(F94&gt;=I94,F94&lt;=J94),TRUE,FALSE)</f>
        <v>0</v>
      </c>
      <c r="L94" s="45"/>
      <c r="M94" s="45"/>
      <c r="N94" s="45"/>
      <c r="O94" s="1623"/>
      <c r="P94" s="1647">
        <v>11</v>
      </c>
      <c r="Q94" s="1648">
        <v>11</v>
      </c>
      <c r="R94" s="1623" t="b">
        <f>IF(AND(F94&gt;=P94,F94&lt;=Q94),TRUE,FALSE)</f>
        <v>0</v>
      </c>
      <c r="S94" s="1647">
        <v>11</v>
      </c>
      <c r="T94" s="1648">
        <v>11</v>
      </c>
      <c r="U94" s="1623" t="b">
        <f>IF(AND(F94&gt;=S94,F94&lt;=T94),TRUE,FALSE)</f>
        <v>0</v>
      </c>
      <c r="V94" s="931"/>
      <c r="W94" s="1406" t="s">
        <v>943</v>
      </c>
      <c r="X94" s="1425">
        <v>11</v>
      </c>
      <c r="Y94" s="1426"/>
      <c r="Z94" s="1427">
        <v>11</v>
      </c>
      <c r="AA94" s="1426"/>
      <c r="AB94" s="1421">
        <v>11</v>
      </c>
      <c r="AD94" s="960"/>
      <c r="AE94" s="961"/>
      <c r="AF94" s="960"/>
      <c r="AG94" s="961"/>
      <c r="AH94" s="960"/>
      <c r="AI94" s="961"/>
      <c r="AK94" s="10"/>
      <c r="AL94" s="10"/>
      <c r="AM94" s="10"/>
      <c r="AN94" s="975">
        <f>IF(K94=TRUE,H94,0)</f>
        <v>0</v>
      </c>
      <c r="AO94" s="975">
        <f>IF(R94=TRUE,H94,0)</f>
        <v>0</v>
      </c>
      <c r="AP94" s="975">
        <f>IF(U94=TRUE,H94,0)</f>
        <v>0</v>
      </c>
      <c r="AQ94" s="1806">
        <f>IF(I94=11,0,G94*I94)</f>
        <v>0</v>
      </c>
      <c r="AR94" s="1806">
        <f>IF(J94=11,0,G94*J94)</f>
        <v>0</v>
      </c>
      <c r="AS94" s="1806">
        <f>IF(P94=11,0,G94*P94)</f>
        <v>0</v>
      </c>
      <c r="AT94" s="1806">
        <f>IF(Q94=11,0,G94*Q94)</f>
        <v>0</v>
      </c>
      <c r="AU94" s="1806">
        <f>IF(S94=11,0,S94*G94)</f>
        <v>0</v>
      </c>
      <c r="AV94" s="1806">
        <f>IF(T94=11,0,T94*G94)</f>
        <v>0</v>
      </c>
      <c r="BC94" s="7"/>
      <c r="BD94" s="816"/>
      <c r="BE94" s="110"/>
      <c r="BF94" s="477"/>
      <c r="BG94" s="113"/>
      <c r="BH94" s="481"/>
      <c r="BI94" s="113"/>
      <c r="BJ94" s="482"/>
      <c r="BK94" s="478"/>
    </row>
    <row r="95" spans="2:63" ht="32" customHeight="1" thickBot="1" x14ac:dyDescent="0.25">
      <c r="B95" s="2030"/>
      <c r="C95" s="798" t="s">
        <v>746</v>
      </c>
      <c r="D95" s="799" t="str">
        <f>_xlfn.XLOOKUP(H95,H93:H94,D93:D94)</f>
        <v>Le nouveau ou nouvelle conjoint·e laisse entendre à votre enfant qu’il ou elle n’est pas en sécurité avec vous.</v>
      </c>
      <c r="E95" s="800" t="str">
        <f>_xlfn.XLOOKUP(H95,H93:H94,E93:E94)</f>
        <v>Le nouveau conjoint.e laisse entendre que l'enfant n'est pas en sécurité</v>
      </c>
      <c r="F95" s="801"/>
      <c r="G95" s="801"/>
      <c r="H95" s="795">
        <f>IF(AND(K93=TRUE,K94=FALSE),H93,IF(AND(K93=FALSE,K94=TRUE),H94,MAX(H93,H94)))</f>
        <v>0</v>
      </c>
      <c r="I95" s="1625"/>
      <c r="J95" s="802"/>
      <c r="K95" s="803" t="b">
        <f>IF(AND(K93=FALSE,K94=FALSE),FALSE,TRUE)</f>
        <v>0</v>
      </c>
      <c r="L95" s="45"/>
      <c r="M95" s="45"/>
      <c r="N95" s="45"/>
      <c r="O95" s="1623"/>
      <c r="P95" s="1625"/>
      <c r="Q95" s="802"/>
      <c r="R95" s="1638" t="b">
        <f>IF(AND(R93=FALSE,R94=FALSE),FALSE,TRUE)</f>
        <v>0</v>
      </c>
      <c r="S95" s="1625"/>
      <c r="T95" s="802"/>
      <c r="U95" s="1638" t="b">
        <f>IF(AND(U93=FALSE,U94=FALSE),FALSE,TRUE)</f>
        <v>0</v>
      </c>
      <c r="V95" s="931"/>
      <c r="W95" s="931"/>
      <c r="X95" s="1392"/>
      <c r="Y95" s="8"/>
      <c r="Z95" s="1397"/>
      <c r="AA95" s="8"/>
      <c r="AB95" s="1400"/>
      <c r="AD95" s="960"/>
      <c r="AE95" s="961"/>
      <c r="AF95" s="960"/>
      <c r="AG95" s="961"/>
      <c r="AH95" s="960"/>
      <c r="AI95" s="961"/>
      <c r="AK95" s="10"/>
      <c r="AL95" s="10"/>
      <c r="AM95" s="10"/>
      <c r="AN95" s="2100">
        <f>IF($K95=TRUE,MAX(AN93:AN94),0)</f>
        <v>0</v>
      </c>
      <c r="AO95" s="2100">
        <f>IF($R95=TRUE,MAX(AO93:AO94),0)</f>
        <v>0</v>
      </c>
      <c r="AP95" s="2100">
        <f>IF($U95=TRUE,MAX(AP93:AP94),0)</f>
        <v>0</v>
      </c>
      <c r="AQ95" s="2099">
        <f>MAX(AQ93:AQ94)</f>
        <v>8</v>
      </c>
      <c r="AR95" s="2099">
        <f t="shared" ref="AR95" si="59">MAX(AR93:AR94)</f>
        <v>20</v>
      </c>
      <c r="AS95" s="2099">
        <f t="shared" ref="AS95" si="60">MAX(AS93:AS94)</f>
        <v>14</v>
      </c>
      <c r="AT95" s="2099">
        <f t="shared" ref="AT95" si="61">MAX(AT93:AT94)</f>
        <v>20</v>
      </c>
      <c r="AU95" s="2099">
        <f t="shared" ref="AU95" si="62">MAX(AU93:AU94)</f>
        <v>8</v>
      </c>
      <c r="AV95" s="2099">
        <f t="shared" ref="AV95" si="63">MAX(AV93:AV94)</f>
        <v>20</v>
      </c>
      <c r="BC95" s="7"/>
      <c r="BD95" s="816"/>
      <c r="BE95" s="110"/>
      <c r="BF95" s="477"/>
      <c r="BG95" s="113"/>
      <c r="BH95" s="481"/>
      <c r="BI95" s="113"/>
      <c r="BJ95" s="482"/>
      <c r="BK95" s="478"/>
    </row>
    <row r="96" spans="2:63" ht="32" customHeight="1" thickBot="1" x14ac:dyDescent="0.25">
      <c r="B96" s="2030"/>
      <c r="C96" s="804" t="s">
        <v>754</v>
      </c>
      <c r="D96" s="805"/>
      <c r="E96" s="805" t="str">
        <f>IF(H96=H92,E92,E95)</f>
        <v>laisse entendre que l'enfant n'est pas en sécurité</v>
      </c>
      <c r="F96" s="806"/>
      <c r="G96" s="806"/>
      <c r="H96" s="806">
        <f>IF(AND(K92=TRUE,K95=FALSE),H92,IF(AND(K92=FALSE,K95=TRUE),H95,IF(AND(K92=TRUE,K95=TRUE),H92+H95,MAX(H92,H95))))</f>
        <v>2</v>
      </c>
      <c r="I96" s="1626"/>
      <c r="J96" s="807"/>
      <c r="K96" s="808" t="b">
        <f>IF(AND(K92=FALSE,K95=FALSE),FALSE,TRUE)</f>
        <v>0</v>
      </c>
      <c r="L96" s="1610"/>
      <c r="M96" s="1610"/>
      <c r="N96" s="1610"/>
      <c r="O96" s="1627"/>
      <c r="P96" s="1626"/>
      <c r="Q96" s="807"/>
      <c r="R96" s="808" t="b">
        <f>IF(AND(R92=FALSE,R95=FALSE),FALSE,TRUE)</f>
        <v>0</v>
      </c>
      <c r="S96" s="1626"/>
      <c r="T96" s="807"/>
      <c r="U96" s="808" t="b">
        <f>IF(AND(U92=FALSE,U95=FALSE),FALSE,TRUE)</f>
        <v>0</v>
      </c>
      <c r="V96" s="931"/>
      <c r="W96" s="931" t="s">
        <v>942</v>
      </c>
      <c r="X96" s="1392"/>
      <c r="Y96" s="8"/>
      <c r="Z96" s="1397"/>
      <c r="AA96" s="8"/>
      <c r="AB96" s="1400"/>
      <c r="AD96" s="960" t="str">
        <f>IF(K96=TRUE,"V","F")</f>
        <v>F</v>
      </c>
      <c r="AE96" s="961"/>
      <c r="AF96" s="960" t="str">
        <f>IF(R96=TRUE,"V","F")</f>
        <v>F</v>
      </c>
      <c r="AG96" s="961"/>
      <c r="AH96" s="960" t="str">
        <f>IF(U96=TRUE,"V","F")</f>
        <v>F</v>
      </c>
      <c r="AI96" s="961"/>
      <c r="AJ96" t="str">
        <f>IF(OR(AD96="V",AF96="V"),IF(H95&gt;H92,"Le NC contribue plus que le coparent","Le coparent joue un plus grand rôle que le NC"),"pas de contexte significatif de la part du coparent et NC")</f>
        <v>pas de contexte significatif de la part du coparent et NC</v>
      </c>
      <c r="AK96" s="10"/>
      <c r="AL96" s="10"/>
      <c r="AM96" s="10"/>
      <c r="AN96" s="631">
        <f>IF(AND($K92=TRUE,$K95=FALSE),AN92,IF(AND($K92=FALSE,$K95=TRUE),AN95,IF(AND($K92=TRUE,$K95=TRUE),AN92+AN95,0)))</f>
        <v>0</v>
      </c>
      <c r="AO96" s="631">
        <f>IF(AND($R92=TRUE,$R95=FALSE),AO92,IF(AND($R92=FALSE,$R95=TRUE),AO95,IF(AND($R92=TRUE,$R95=TRUE),AO92+AO95,0)))</f>
        <v>0</v>
      </c>
      <c r="AP96" s="631">
        <f>IF(AND($U92=TRUE,$U95=FALSE),AP92,IF(AND($U92=FALSE,$U95=TRUE),AP95,IF(AND($U92=TRUE,$U95=TRUE),AP92+AP95,0)))</f>
        <v>0</v>
      </c>
      <c r="AQ96" s="631">
        <f>IF(AND($K92=TRUE,$K95=FALSE),AQ92,IF(AND($K92=FALSE,$K95=TRUE),AQ95,IF(AND($K92=TRUE,$K95=TRUE),AQ92+AQ95,MAX(AQ92,AQ95))))</f>
        <v>8</v>
      </c>
      <c r="AR96" s="631">
        <f>IF(AND($K92=TRUE,$K95=FALSE),AR92,IF(AND($K92=FALSE,$K95=TRUE),AR95,IF(AND($K92=TRUE,$K95=TRUE),AR92+AR95,MAX(AR92,AR95))))</f>
        <v>20</v>
      </c>
      <c r="AS96" s="631">
        <f t="shared" ref="AS96" si="64">IF(AND($R92=TRUE,$R95=FALSE),AS92,IF(AND($R92=FALSE,$R95=TRUE),AS95,IF(AND($R92=TRUE,$R95=TRUE),AS92+AS95,MAX(AS92,AS95))))</f>
        <v>14</v>
      </c>
      <c r="AT96" s="631">
        <f t="shared" ref="AT96" si="65">IF(AND($R92=TRUE,$R95=FALSE),AT92,IF(AND($R92=FALSE,$R95=TRUE),AT95,IF(AND($R92=TRUE,$R95=TRUE),AT92+AT95,MAX(AT92,AT95))))</f>
        <v>20</v>
      </c>
      <c r="AU96" s="631">
        <f t="shared" ref="AU96" si="66">IF(AND($U92=TRUE,$U95=FALSE),AU92,IF(AND($U92=FALSE,$U95=TRUE),AU95,IF(AND($U92=TRUE,$U95=TRUE),AU92+AU95,MAX(AU92,AU95))))</f>
        <v>8</v>
      </c>
      <c r="AV96" s="631">
        <f t="shared" ref="AV96" si="67">IF(AND($U92=TRUE,$U95=FALSE),AV92,IF(AND($U92=FALSE,$U95=TRUE),AV95,IF(AND($U92=TRUE,$U95=TRUE),AV92+AV95,MAX(AV92,AV95))))</f>
        <v>20</v>
      </c>
      <c r="BC96" s="7"/>
      <c r="BD96" s="816"/>
      <c r="BE96" s="110"/>
      <c r="BF96" s="477"/>
      <c r="BG96" s="113"/>
      <c r="BH96" s="481"/>
      <c r="BI96" s="113"/>
      <c r="BJ96" s="482"/>
      <c r="BK96" s="478"/>
    </row>
    <row r="97" spans="2:63" ht="57" customHeight="1" x14ac:dyDescent="0.2">
      <c r="B97" s="2030" t="str">
        <f>'Action-Réaction finale'!Q16</f>
        <v>B:Altération/dévoiement de la réalité</v>
      </c>
      <c r="C97" s="313" t="str">
        <f>Test_Bible!A280</f>
        <v>E06a1</v>
      </c>
      <c r="D97" s="26" t="str">
        <f>Test_Bible!B280</f>
        <v>Arrive-t-il à votre enfant de vous reprocher d'être dangereux·se ou de présenter un danger pour sa sécurité ?</v>
      </c>
      <c r="E97" s="101" t="s">
        <v>759</v>
      </c>
      <c r="F97" s="790">
        <f>Test_Bible!P280</f>
        <v>0</v>
      </c>
      <c r="G97" s="789">
        <f>Test_Bible!D280</f>
        <v>3</v>
      </c>
      <c r="H97" s="790">
        <f>F97*G97</f>
        <v>0</v>
      </c>
      <c r="I97" s="1622">
        <v>4</v>
      </c>
      <c r="J97" s="1615">
        <f>$J$18</f>
        <v>10</v>
      </c>
      <c r="K97" s="45" t="b">
        <f>IF(AND(F97&gt;=I97,F97&lt;=J97),TRUE,FALSE)</f>
        <v>0</v>
      </c>
      <c r="L97" s="45"/>
      <c r="M97" s="45"/>
      <c r="N97" s="45"/>
      <c r="O97" s="1623"/>
      <c r="P97" s="1622">
        <v>2</v>
      </c>
      <c r="Q97" s="1615">
        <v>7</v>
      </c>
      <c r="R97" s="1623" t="b">
        <f>IF(AND(F97&gt;=P97,F97&lt;=Q97),TRUE,FALSE)</f>
        <v>0</v>
      </c>
      <c r="S97" s="1622"/>
      <c r="T97" s="1615"/>
      <c r="U97" s="1623"/>
      <c r="V97" s="931"/>
      <c r="W97" s="1403"/>
      <c r="X97" s="1404">
        <v>4</v>
      </c>
      <c r="Y97" s="1405"/>
      <c r="Z97" s="1408">
        <v>2</v>
      </c>
      <c r="AA97" s="1405"/>
      <c r="AB97" s="1416">
        <v>11</v>
      </c>
      <c r="AD97" s="960" t="s">
        <v>945</v>
      </c>
      <c r="AE97" s="961"/>
      <c r="AF97" s="960"/>
      <c r="AG97" s="961"/>
      <c r="AH97" s="960"/>
      <c r="AI97" s="961"/>
      <c r="AK97" s="10"/>
      <c r="AL97" s="10"/>
      <c r="AM97" s="10"/>
      <c r="AN97" s="975">
        <f>IF($K97=TRUE,H97,0)</f>
        <v>0</v>
      </c>
      <c r="AO97" s="975">
        <f>IF($R97=TRUE,H97,0)</f>
        <v>0</v>
      </c>
      <c r="AP97" s="975"/>
      <c r="AQ97" s="1806">
        <f>IF(I97=11,0,G97*I97)</f>
        <v>12</v>
      </c>
      <c r="AR97" s="1806">
        <f>IF(J97=11,0,G97*J97)</f>
        <v>30</v>
      </c>
      <c r="AS97" s="1806">
        <f>IF(P97=11,0,G97*P97)</f>
        <v>6</v>
      </c>
      <c r="AT97" s="1806">
        <f>IF(Q97=11,0,G97*Q97)</f>
        <v>21</v>
      </c>
      <c r="AU97" s="1806"/>
      <c r="AV97" s="1806"/>
      <c r="BD97" s="816"/>
      <c r="BE97" s="110"/>
      <c r="BF97" s="477"/>
      <c r="BG97" s="113"/>
      <c r="BH97" s="481"/>
      <c r="BI97" s="113"/>
      <c r="BJ97" s="482"/>
      <c r="BK97" s="478"/>
    </row>
    <row r="98" spans="2:63" ht="32" customHeight="1" thickBot="1" x14ac:dyDescent="0.25">
      <c r="B98" s="2030"/>
      <c r="C98" s="313" t="s">
        <v>309</v>
      </c>
      <c r="D98" s="26"/>
      <c r="E98" s="101"/>
      <c r="F98" s="790"/>
      <c r="G98" s="789"/>
      <c r="H98" s="790">
        <f>F98*G98</f>
        <v>0</v>
      </c>
      <c r="I98" s="1647">
        <v>11</v>
      </c>
      <c r="J98" s="1648">
        <v>11</v>
      </c>
      <c r="K98" s="45" t="b">
        <f>IF(AND(F98&gt;=I98,F98&lt;=J98),TRUE,FALSE)</f>
        <v>0</v>
      </c>
      <c r="L98" s="45"/>
      <c r="M98" s="45"/>
      <c r="N98" s="45"/>
      <c r="O98" s="1623"/>
      <c r="P98" s="1647">
        <v>11</v>
      </c>
      <c r="Q98" s="1648">
        <v>11</v>
      </c>
      <c r="R98" s="1623" t="b">
        <f>IF(AND(F98&gt;=P98,F98&lt;=Q98),TRUE,FALSE)</f>
        <v>0</v>
      </c>
      <c r="S98" s="1647"/>
      <c r="T98" s="1648"/>
      <c r="U98" s="1623"/>
      <c r="V98" s="931"/>
      <c r="W98" s="1406" t="s">
        <v>943</v>
      </c>
      <c r="X98" s="1425">
        <v>11</v>
      </c>
      <c r="Y98" s="1426"/>
      <c r="Z98" s="1427">
        <v>11</v>
      </c>
      <c r="AA98" s="1426"/>
      <c r="AB98" s="1421">
        <v>11</v>
      </c>
      <c r="AD98" s="960"/>
      <c r="AE98" s="961"/>
      <c r="AF98" s="960"/>
      <c r="AG98" s="961"/>
      <c r="AH98" s="960"/>
      <c r="AI98" s="961"/>
      <c r="AK98" s="10"/>
      <c r="AL98" s="10"/>
      <c r="AM98" s="10"/>
      <c r="AN98" s="975">
        <f>IF($K98=TRUE,H98,0)</f>
        <v>0</v>
      </c>
      <c r="AO98" s="975">
        <f>IF($R98=TRUE,H98,0)</f>
        <v>0</v>
      </c>
      <c r="AP98" s="975"/>
      <c r="AQ98" s="1806">
        <f>IF(I98=11,0,G98*I98)</f>
        <v>0</v>
      </c>
      <c r="AR98" s="1806">
        <f>IF(J98=11,0,G98*J98)</f>
        <v>0</v>
      </c>
      <c r="AS98" s="1806">
        <f>IF(P98=11,0,G98*P98)</f>
        <v>0</v>
      </c>
      <c r="AT98" s="1806">
        <f>IF(Q98=11,0,G98*Q98)</f>
        <v>0</v>
      </c>
      <c r="AU98" s="1806"/>
      <c r="AV98" s="1806"/>
      <c r="BD98" s="816"/>
      <c r="BE98" s="110"/>
      <c r="BF98" s="477"/>
      <c r="BG98" s="113"/>
      <c r="BH98" s="481"/>
      <c r="BI98" s="113"/>
      <c r="BJ98" s="482"/>
      <c r="BK98" s="478"/>
    </row>
    <row r="99" spans="2:63" ht="32" customHeight="1" thickBot="1" x14ac:dyDescent="0.25">
      <c r="B99" s="2030"/>
      <c r="C99" s="809" t="s">
        <v>747</v>
      </c>
      <c r="D99" s="810" t="str">
        <f>_xlfn.XLOOKUP(H99,H97:H98,D97:D98)</f>
        <v>Arrive-t-il à votre enfant de vous reprocher d'être dangereux·se ou de présenter un danger pour sa sécurité ?</v>
      </c>
      <c r="E99" s="810" t="str">
        <f>_xlfn.XLOOKUP(H99,H97:H98,E97:E98)</f>
        <v>vous reproche de présenter un danger pour sa sécurité</v>
      </c>
      <c r="F99" s="811"/>
      <c r="G99" s="811"/>
      <c r="H99" s="811">
        <f>IF(AND(K97=TRUE,K98=FALSE),H97,IF(AND(K97=FALSE,K98=TRUE),H98,MAX(H97,H98)))</f>
        <v>0</v>
      </c>
      <c r="I99" s="1628"/>
      <c r="J99" s="812"/>
      <c r="K99" s="813" t="b">
        <f>IF(AND(K97=FALSE,K98=FALSE),FALSE,TRUE)</f>
        <v>0</v>
      </c>
      <c r="L99" s="1611"/>
      <c r="M99" s="1611"/>
      <c r="N99" s="1611"/>
      <c r="O99" s="1629"/>
      <c r="P99" s="1628"/>
      <c r="Q99" s="812"/>
      <c r="R99" s="813" t="b">
        <f>IF(AND(R97=FALSE,R98=FALSE),FALSE,TRUE)</f>
        <v>0</v>
      </c>
      <c r="S99" s="1628"/>
      <c r="T99" s="812"/>
      <c r="U99" s="813"/>
      <c r="V99" s="931"/>
      <c r="W99" s="931"/>
      <c r="X99" s="1394"/>
      <c r="Z99" s="1398"/>
      <c r="AB99" s="1402"/>
      <c r="AD99" s="960" t="str">
        <f>IF(K99=TRUE,"V","F")</f>
        <v>F</v>
      </c>
      <c r="AE99" s="961"/>
      <c r="AF99" s="960" t="str">
        <f>IF(R99=TRUE,"V","F")</f>
        <v>F</v>
      </c>
      <c r="AG99" s="961"/>
      <c r="AH99" s="960"/>
      <c r="AI99" s="961"/>
      <c r="AK99" s="10"/>
      <c r="AL99" s="10"/>
      <c r="AM99" s="10"/>
      <c r="AN99" s="2102">
        <f>IF(AND($K97=TRUE,$K98=FALSE),AN97,IF(AND($K97=FALSE,$K98=TRUE),AN98,IF(AND($K97=TRUE,$K98=TRUE),MAX(AN97,AN98),0)))</f>
        <v>0</v>
      </c>
      <c r="AO99" s="2102">
        <f>IF(AND($R97=TRUE,$R98=FALSE),AO97,IF(AND($R97=FALSE,$R98=TRUE),AO98,IF(AND($R97=TRUE,$R98=TRUE),MAX(AO97,AO98),0)))</f>
        <v>0</v>
      </c>
      <c r="AP99" s="2102"/>
      <c r="AQ99" s="2102">
        <f>IF(AND($K97=TRUE,$K98=FALSE),AQ97,IF(AND($K97=FALSE,$K98=TRUE),AQ98,IF(AND($K97=TRUE,$K98=TRUE),MAX(AQ97,AQ98),0)))</f>
        <v>0</v>
      </c>
      <c r="AR99" s="2102">
        <f>IF(AND($K97=TRUE,$K98=FALSE),AR97,IF(AND($K97=FALSE,$K98=TRUE),AR98,IF(AND($K97=TRUE,$K98=TRUE),MAX(AR97,AR98),0)))</f>
        <v>0</v>
      </c>
      <c r="AS99" s="2102">
        <f t="shared" ref="AS99" si="68">IF(AND($R97=TRUE,$R98=FALSE),AS97,IF(AND($R97=FALSE,$R98=TRUE),AS98,IF(AND($R97=TRUE,$R98=TRUE),MAX(AS97,AS98),0)))</f>
        <v>0</v>
      </c>
      <c r="AT99" s="2102">
        <f t="shared" ref="AT99" si="69">IF(AND($R97=TRUE,$R98=FALSE),AT97,IF(AND($R97=FALSE,$R98=TRUE),AT98,IF(AND($R97=TRUE,$R98=TRUE),MAX(AT97,AT98),0)))</f>
        <v>0</v>
      </c>
      <c r="AU99" s="2102"/>
      <c r="AV99" s="2102"/>
      <c r="BD99" s="816"/>
      <c r="BE99" s="110"/>
      <c r="BF99" s="477"/>
      <c r="BG99" s="113"/>
      <c r="BH99" s="481"/>
      <c r="BI99" s="113"/>
      <c r="BJ99" s="482"/>
      <c r="BK99" s="478"/>
    </row>
    <row r="100" spans="2:63" ht="32" customHeight="1" x14ac:dyDescent="0.2">
      <c r="B100" s="2030"/>
      <c r="D100" s="421" t="s">
        <v>310</v>
      </c>
      <c r="E100" s="785"/>
      <c r="F100" s="474" t="s">
        <v>398</v>
      </c>
      <c r="G100" s="47"/>
      <c r="H100" s="47">
        <f>IF(AND(K96=TRUE,K99=FALSE),H96,IF(AND(K96=FALSE,K99=TRUE),H99,IF(AND(K96=TRUE,K99=TRUE),H96+H99,MAX(H96,H99))))</f>
        <v>2</v>
      </c>
      <c r="I100" s="1630"/>
      <c r="J100" s="475"/>
      <c r="K100" s="1613"/>
      <c r="L100" s="1614" t="str">
        <f>IF(AND(K99=TRUE,K96=TRUE),E99,"")</f>
        <v/>
      </c>
      <c r="M100" s="1614" t="str">
        <f>IF(AND(K96=TRUE,K99=FALSE),"Bien que le parent "&amp;E96&amp;" l'enfant ne semble pas s'ingérer","")</f>
        <v/>
      </c>
      <c r="N100" s="1614" t="str">
        <f>IF(AND(K96=FALSE,K99=TRUE),E99&amp;" sans signe de la participation du parent favorisé et|ou nouveau conjoint.e","")</f>
        <v/>
      </c>
      <c r="O100" s="1631" t="str">
        <f>IF(AND(K96=FALSE,K99=FALSE),"aucun comportement significatif de cette nature","")</f>
        <v>aucun comportement significatif de cette nature</v>
      </c>
      <c r="P100" s="1630"/>
      <c r="Q100" s="475"/>
      <c r="R100" s="1639"/>
      <c r="S100" s="1630"/>
      <c r="T100" s="475"/>
      <c r="U100" s="1639"/>
      <c r="V100" s="170"/>
      <c r="W100" s="170"/>
      <c r="X100" s="1394"/>
      <c r="Z100" s="1398"/>
      <c r="AB100" s="1402"/>
      <c r="AD100" s="962"/>
      <c r="AE100" s="963">
        <f>IF(AND(AD96="V",AD99="V"),2,IF(OR(AD96="V",AD99="V"),1,0))</f>
        <v>0</v>
      </c>
      <c r="AF100" s="962"/>
      <c r="AG100" s="963">
        <f>IF(OR(AF96="V",AF99="V"),1,0)</f>
        <v>0</v>
      </c>
      <c r="AH100" s="962"/>
      <c r="AI100" s="963"/>
      <c r="AK100" s="10"/>
      <c r="AL100" s="10"/>
      <c r="AM100" s="10"/>
      <c r="AN100" s="2097">
        <f>IF(AND($AD96="V",$AD99="F"),AN96,IF(AND($AD96="F",$AD99="V"),AN99,IF(AND($AD96="V",$AD99="V"),AN96+AN99,0)))</f>
        <v>0</v>
      </c>
      <c r="AO100" s="2097">
        <f>IF(AND($AF96="V",$AF99="F"),AO96,IF(AND($AF96="F",$AF99="V"),AO99,IF(AND($AF96="V",$AF99="V"),AO96+AO99,0)))</f>
        <v>0</v>
      </c>
      <c r="AP100" s="2097"/>
      <c r="AQ100" s="2097">
        <f>IF(AND($AD96="V",$AD99="F"),AQ96,IF(AND($AD96="F",$AD99="V"),AQ99,IF(AND($AD96="V",$AD99="V"),AQ96+AQ99,0)))</f>
        <v>0</v>
      </c>
      <c r="AR100" s="2097">
        <f>IF(AND($AD96="V",$AD99="F"),AR96,IF(AND($AD96="F",$AD99="V"),AR99,IF(AND($AD96="V",$AD99="V"),AR96+AR99,0)))</f>
        <v>0</v>
      </c>
      <c r="AS100" s="2097">
        <f>IF(AND($AF96="V",$AF99="F"),AS96,IF(AND($AF96="F",$AF99="V"),AS99,IF(AND($AF96="V",$AF99="V"),AS96+AS99,0)))</f>
        <v>0</v>
      </c>
      <c r="AT100" s="2097">
        <f>IF(AND($AF96="V",$AF99="F"),AT96,IF(AND($AF96="F",$AF99="V"),AT99,IF(AND($AF96="V",$AF99="V"),AT96+AT99,0)))</f>
        <v>0</v>
      </c>
      <c r="AU100" s="2097"/>
      <c r="AV100" s="2097"/>
      <c r="BD100" s="816"/>
      <c r="BE100" s="110"/>
      <c r="BF100" s="477"/>
      <c r="BG100" s="113"/>
      <c r="BH100" s="481"/>
      <c r="BI100" s="113"/>
      <c r="BJ100" s="482"/>
      <c r="BK100" s="478"/>
    </row>
    <row r="101" spans="2:63" ht="32" customHeight="1" x14ac:dyDescent="0.2">
      <c r="B101" s="2030"/>
      <c r="C101" t="s">
        <v>243</v>
      </c>
      <c r="I101" s="146"/>
      <c r="L101" s="46"/>
      <c r="M101" s="46"/>
      <c r="N101" s="46"/>
      <c r="O101" s="1652"/>
      <c r="P101" s="146"/>
      <c r="R101" s="326"/>
      <c r="S101" s="146"/>
      <c r="U101" s="326"/>
      <c r="V101" s="46"/>
      <c r="X101" s="1394"/>
      <c r="Z101" s="1398"/>
      <c r="AB101" s="1402"/>
      <c r="AD101" s="960"/>
      <c r="AE101" s="961"/>
      <c r="AF101" s="960"/>
      <c r="AG101" s="961"/>
      <c r="AH101" s="960"/>
      <c r="AI101" s="961"/>
      <c r="AK101" s="10"/>
      <c r="AL101" s="10"/>
      <c r="AM101" s="10"/>
      <c r="AN101" s="975"/>
      <c r="AO101" s="975"/>
      <c r="AP101" s="975"/>
      <c r="AQ101" s="1806"/>
      <c r="AR101" s="1806"/>
      <c r="AS101" s="1806"/>
      <c r="AT101" s="1806"/>
      <c r="AU101" s="1806"/>
      <c r="AV101" s="1806"/>
      <c r="BD101" s="816"/>
      <c r="BE101" s="110"/>
      <c r="BF101" s="477"/>
      <c r="BG101" s="113"/>
      <c r="BH101" s="481"/>
      <c r="BI101" s="113"/>
      <c r="BJ101" s="482"/>
      <c r="BK101" s="478"/>
    </row>
    <row r="102" spans="2:63" ht="32" customHeight="1" x14ac:dyDescent="0.2">
      <c r="B102" s="2030"/>
      <c r="C102" s="964"/>
      <c r="D102" s="972"/>
      <c r="E102" s="965"/>
      <c r="F102" s="973"/>
      <c r="G102" s="973"/>
      <c r="H102" s="973">
        <f>F102*G102</f>
        <v>0</v>
      </c>
      <c r="I102" s="1647">
        <v>11</v>
      </c>
      <c r="J102" s="1648">
        <v>11</v>
      </c>
      <c r="K102" s="45" t="b">
        <f>IF(AND(F102&gt;=I102,F102&lt;=J102),TRUE,FALSE)</f>
        <v>0</v>
      </c>
      <c r="L102" s="32"/>
      <c r="M102" s="32"/>
      <c r="N102" s="32"/>
      <c r="O102" s="1632"/>
      <c r="P102" s="1647">
        <v>11</v>
      </c>
      <c r="Q102" s="1648">
        <v>11</v>
      </c>
      <c r="R102" s="1623" t="b">
        <f>IF(AND(F102&gt;=P102,F102&lt;=Q102),TRUE,FALSE)</f>
        <v>0</v>
      </c>
      <c r="S102" s="1647">
        <v>11</v>
      </c>
      <c r="T102" s="1648">
        <v>11</v>
      </c>
      <c r="U102" s="1623" t="b">
        <f>IF(AND(F102&gt;=S102,F102&lt;=T102),TRUE,FALSE)</f>
        <v>0</v>
      </c>
      <c r="V102" s="46"/>
      <c r="W102" s="1428"/>
      <c r="X102" s="1422">
        <v>11</v>
      </c>
      <c r="Y102" s="1423"/>
      <c r="Z102" s="1424">
        <v>11</v>
      </c>
      <c r="AA102" s="1423"/>
      <c r="AB102" s="1416">
        <v>11</v>
      </c>
      <c r="AD102" s="960"/>
      <c r="AE102" s="961"/>
      <c r="AF102" s="960"/>
      <c r="AG102" s="961"/>
      <c r="AH102" s="960"/>
      <c r="AI102" s="961"/>
      <c r="AK102" s="10"/>
      <c r="AL102" s="10"/>
      <c r="AM102" s="10"/>
      <c r="AN102" s="975">
        <f>IF($K102=TRUE,H102,0)</f>
        <v>0</v>
      </c>
      <c r="AO102" s="975">
        <f>IF($R102=TRUE,H102,0)</f>
        <v>0</v>
      </c>
      <c r="AP102" s="975">
        <f>IF($U102=TRUE,H102,0)</f>
        <v>0</v>
      </c>
      <c r="AQ102" s="1806">
        <f>IF(I102=11,0,G102*I102)</f>
        <v>0</v>
      </c>
      <c r="AR102" s="1806">
        <f>IF(J102=11,0,G102*J102)</f>
        <v>0</v>
      </c>
      <c r="AS102" s="1806">
        <f>IF(P102=11,0,G102*P102)</f>
        <v>0</v>
      </c>
      <c r="AT102" s="1806">
        <f>IF(Q102=11,0,G102*Q102)</f>
        <v>0</v>
      </c>
      <c r="AU102" s="1806">
        <f>IF(S102=11,0,S102*G102)</f>
        <v>0</v>
      </c>
      <c r="AV102" s="1806">
        <f>IF(T102=11,0,T102*G102)</f>
        <v>0</v>
      </c>
      <c r="BD102" s="816"/>
      <c r="BE102" s="110"/>
      <c r="BF102" s="477"/>
      <c r="BG102" s="113"/>
      <c r="BH102" s="481"/>
      <c r="BI102" s="113"/>
      <c r="BJ102" s="482"/>
      <c r="BK102" s="478"/>
    </row>
    <row r="103" spans="2:63" ht="32" customHeight="1" thickBot="1" x14ac:dyDescent="0.25">
      <c r="B103" s="2030"/>
      <c r="C103" s="964"/>
      <c r="D103" s="972"/>
      <c r="E103" s="965"/>
      <c r="F103" s="973"/>
      <c r="G103" s="973"/>
      <c r="H103" s="973">
        <f>F103*G103</f>
        <v>0</v>
      </c>
      <c r="I103" s="1647">
        <v>11</v>
      </c>
      <c r="J103" s="1648">
        <v>11</v>
      </c>
      <c r="K103" s="45" t="b">
        <f>IF(AND(F103&gt;=I103,F103&lt;=J103),TRUE,FALSE)</f>
        <v>0</v>
      </c>
      <c r="L103" s="32"/>
      <c r="M103" s="32"/>
      <c r="N103" s="32"/>
      <c r="O103" s="1632"/>
      <c r="P103" s="1647">
        <v>11</v>
      </c>
      <c r="Q103" s="1648">
        <v>11</v>
      </c>
      <c r="R103" s="1623" t="b">
        <f>IF(AND(F103&gt;=P103,F103&lt;=Q103),TRUE,FALSE)</f>
        <v>0</v>
      </c>
      <c r="S103" s="1647">
        <v>11</v>
      </c>
      <c r="T103" s="1648">
        <v>11</v>
      </c>
      <c r="U103" s="1623" t="b">
        <f>IF(AND(F103&gt;=S103,F103&lt;=T103),TRUE,FALSE)</f>
        <v>0</v>
      </c>
      <c r="W103" s="1429"/>
      <c r="X103" s="1425">
        <v>11</v>
      </c>
      <c r="Y103" s="1426"/>
      <c r="Z103" s="1427">
        <v>11</v>
      </c>
      <c r="AA103" s="1426"/>
      <c r="AB103" s="1421">
        <v>11</v>
      </c>
      <c r="AD103" s="960"/>
      <c r="AE103" s="961"/>
      <c r="AF103" s="960"/>
      <c r="AG103" s="961"/>
      <c r="AH103" s="960"/>
      <c r="AI103" s="961"/>
      <c r="AK103" s="10"/>
      <c r="AL103" s="10"/>
      <c r="AM103" s="10"/>
      <c r="AN103" s="975">
        <f>IF($K103=TRUE,H103,0)</f>
        <v>0</v>
      </c>
      <c r="AO103" s="975">
        <f>IF($R103=TRUE,H103,0)</f>
        <v>0</v>
      </c>
      <c r="AP103" s="975">
        <f>IF($U103=TRUE,H103,0)</f>
        <v>0</v>
      </c>
      <c r="AQ103" s="1806">
        <f>IF(I103=11,0,G103*I103)</f>
        <v>0</v>
      </c>
      <c r="AR103" s="1806">
        <f>IF(J103=11,0,G103*J103)</f>
        <v>0</v>
      </c>
      <c r="AS103" s="1806">
        <f>IF(P103=11,0,G103*P103)</f>
        <v>0</v>
      </c>
      <c r="AT103" s="1806">
        <f>IF(Q103=11,0,G103*Q103)</f>
        <v>0</v>
      </c>
      <c r="AU103" s="1806">
        <f>IF(S103=11,0,S103*G103)</f>
        <v>0</v>
      </c>
      <c r="AV103" s="1806">
        <f>IF(T103=11,0,T103*G103)</f>
        <v>0</v>
      </c>
      <c r="BD103" s="816"/>
      <c r="BE103" s="110"/>
      <c r="BF103" s="477"/>
      <c r="BG103" s="113"/>
      <c r="BH103" s="481"/>
      <c r="BI103" s="113"/>
      <c r="BJ103" s="482"/>
      <c r="BK103" s="478"/>
    </row>
    <row r="104" spans="2:63" ht="32" customHeight="1" thickBot="1" x14ac:dyDescent="0.25">
      <c r="B104" s="2030"/>
      <c r="D104" s="16"/>
      <c r="E104" s="16"/>
      <c r="F104" s="89"/>
      <c r="G104" s="473"/>
      <c r="H104" s="47">
        <f>IF(AND(K102=TRUE,K103=FALSE),H102,IF(AND(K102=FALSE,K103=TRUE),H103,MAX(H102,H103)))</f>
        <v>0</v>
      </c>
      <c r="I104" s="1644"/>
      <c r="J104" s="1645"/>
      <c r="K104" s="1651" t="b">
        <f>IF(AND(K102=FALSE,K103=FALSE),FALSE,TRUE)</f>
        <v>0</v>
      </c>
      <c r="L104" s="1633"/>
      <c r="M104" s="1634"/>
      <c r="N104" s="1634"/>
      <c r="O104" s="1635"/>
      <c r="P104" s="1644"/>
      <c r="Q104" s="1645"/>
      <c r="R104" s="1651" t="b">
        <f>IF(AND(R102=FALSE,R103=FALSE),FALSE,TRUE)</f>
        <v>0</v>
      </c>
      <c r="S104" s="1656"/>
      <c r="T104" s="1657"/>
      <c r="U104" s="1658" t="b">
        <f>IF(AND(U102=FALSE,U103=FALSE),FALSE,TRUE)</f>
        <v>0</v>
      </c>
      <c r="V104" s="170"/>
      <c r="AD104" s="1564" t="str">
        <f>IF(K104=TRUE,"V","F")</f>
        <v>F</v>
      </c>
      <c r="AE104" s="1565"/>
      <c r="AF104" s="1564" t="str">
        <f>IF(R104=TRUE,"V","F")</f>
        <v>F</v>
      </c>
      <c r="AG104" s="1565"/>
      <c r="AH104" s="1564" t="str">
        <f>IF(U104=TRUE,"V","F")</f>
        <v>F</v>
      </c>
      <c r="AI104" s="1565"/>
      <c r="AK104" s="10"/>
      <c r="AL104" s="10"/>
      <c r="AM104" s="10"/>
      <c r="AN104" s="2102">
        <f>IF(AND($K102=TRUE,$K103=FALSE),AN102,IF(AND($K102=FALSE,$K103=TRUE),AN103,MAX(AN102,AN103)))</f>
        <v>0</v>
      </c>
      <c r="AO104" s="2102">
        <f>IF(AND($R102=TRUE,$R103=FALSE),AO102,IF(AND($R102=FALSE,$R103=TRUE),AO103,MAX(AO102,AO103)))</f>
        <v>0</v>
      </c>
      <c r="AP104" s="2102">
        <f>IF(AND($U102=TRUE,$U103=FALSE),AP102,IF(AND($U102=FALSE,$U103=TRUE),AP103,MAX(AP102,AP103)))</f>
        <v>0</v>
      </c>
      <c r="AQ104" s="2102">
        <f>IF(AND($K102=TRUE,$K103=FALSE),AQ102,IF(AND($K102=FALSE,$K103=TRUE),AQ103,MAX(AQ102,AQ103)))</f>
        <v>0</v>
      </c>
      <c r="AR104" s="2102">
        <f>IF(AND($K102=TRUE,$K103=FALSE),AR102,IF(AND($K102=FALSE,$K103=TRUE),AR103,MAX(AR102,AR103)))</f>
        <v>0</v>
      </c>
      <c r="AS104" s="2102">
        <f>IF(AND($R102=TRUE,$R103=FALSE),AS102,IF(AND($R102=FALSE,$R103=TRUE),AS103,MAX(AS102,AS103)))</f>
        <v>0</v>
      </c>
      <c r="AT104" s="2102">
        <f>IF(AND($R102=TRUE,$R103=FALSE),AT102,IF(AND($R102=FALSE,$R103=TRUE),AT103,MAX(AT102,AT103)))</f>
        <v>0</v>
      </c>
      <c r="AU104" s="2102">
        <f>IF(AND($U102=TRUE,$U103=FALSE),AU102,IF(AND($U102=FALSE,$U103=TRUE),AU103,MAX(AU102,AU103)))</f>
        <v>0</v>
      </c>
      <c r="AV104" s="2102">
        <f>IF(AND($U102=TRUE,$U103=FALSE),AV102,IF(AND($U102=FALSE,$U103=TRUE),AV103,MAX(AV102,AV103)))</f>
        <v>0</v>
      </c>
      <c r="BD104" s="816"/>
      <c r="BE104" s="110"/>
      <c r="BF104" s="477"/>
      <c r="BG104" s="113"/>
      <c r="BH104" s="481"/>
      <c r="BI104" s="113"/>
      <c r="BJ104" s="482"/>
      <c r="BK104" s="478"/>
    </row>
    <row r="105" spans="2:63" ht="32" customHeight="1" thickBot="1" x14ac:dyDescent="0.35">
      <c r="D105" s="16"/>
      <c r="E105" s="16"/>
      <c r="F105" s="89"/>
      <c r="G105" s="473"/>
      <c r="H105" s="473"/>
      <c r="I105" s="8"/>
      <c r="J105" s="8"/>
      <c r="K105" s="80"/>
      <c r="L105" s="170"/>
      <c r="M105" s="170"/>
      <c r="N105" s="170"/>
      <c r="O105" s="170"/>
      <c r="P105" s="170"/>
      <c r="Q105" s="170"/>
      <c r="R105" s="170"/>
      <c r="S105" s="170"/>
      <c r="T105" s="170"/>
      <c r="U105" s="170"/>
      <c r="V105" s="170"/>
      <c r="AD105" s="1649"/>
      <c r="AE105" s="1650">
        <f>IF(AND(AD104="V",AD96="V"),AE100-1,AE100)</f>
        <v>0</v>
      </c>
      <c r="AF105" s="1649"/>
      <c r="AG105" s="1650">
        <f>IF(OR(AF96="V",AF99="V",AF104="V"),1,0)</f>
        <v>0</v>
      </c>
      <c r="AH105" s="1649"/>
      <c r="AI105" s="1650">
        <f>IF(AH96="V",1,IF(AH104="V",1,0))</f>
        <v>0</v>
      </c>
      <c r="AK105" s="10">
        <v>1</v>
      </c>
      <c r="AL105" s="10">
        <v>1</v>
      </c>
      <c r="AM105" s="10">
        <v>1</v>
      </c>
      <c r="AN105" s="2101">
        <f>IF($AD104="F",AN100,AN100+AN104)</f>
        <v>0</v>
      </c>
      <c r="AO105" s="2101">
        <f>IF($AF104="F",AO100,AO100+AO104)</f>
        <v>0</v>
      </c>
      <c r="AP105" s="2101">
        <f>IF(AND($AH96="V",$AH104="F"),AP96,IF(AND($AH96="F",$AH104="V"),AP104,IF(AND($AH96="V",$AH104="V"),AP96+AP104,0)))</f>
        <v>0</v>
      </c>
      <c r="AQ105" s="2101">
        <f>IF($AD104="F",AQ100,AQ100+AQ104)</f>
        <v>0</v>
      </c>
      <c r="AR105" s="2101">
        <f t="shared" ref="AR105" si="70">IF($AD104="F",AR100,AR100+AR104)</f>
        <v>0</v>
      </c>
      <c r="AS105" s="2101">
        <f t="shared" ref="AS105" si="71">IF($AF104="F",AS100,AS100+AS104)</f>
        <v>0</v>
      </c>
      <c r="AT105" s="2101">
        <f t="shared" ref="AT105" si="72">IF($AF104="F",AT100,AT100+AT104)</f>
        <v>0</v>
      </c>
      <c r="AU105" s="2101">
        <f t="shared" ref="AU105" si="73">IF(AND($AH96="V",$AH104="F"),AU96,IF(AND($AH96="F",$AH104="V"),AU104,IF(AND($AH96="V",$AH104="V"),AU96+AU104,0)))</f>
        <v>0</v>
      </c>
      <c r="AV105" s="2101">
        <f t="shared" ref="AV105" si="74">IF(AND($AH96="V",$AH104="F"),AV96,IF(AND($AH96="F",$AH104="V"),AV104,IF(AND($AH96="V",$AH104="V"),AV96+AV104,0)))</f>
        <v>0</v>
      </c>
      <c r="BD105" s="816"/>
      <c r="BE105" s="110"/>
      <c r="BF105" s="477"/>
      <c r="BG105" s="113"/>
      <c r="BH105" s="481"/>
      <c r="BI105" s="113"/>
      <c r="BJ105" s="482"/>
      <c r="BK105" s="478"/>
    </row>
    <row r="106" spans="2:63" ht="32" customHeight="1" x14ac:dyDescent="0.3">
      <c r="D106" s="16"/>
      <c r="E106" s="16"/>
      <c r="F106" s="89"/>
      <c r="G106" s="473"/>
      <c r="H106" s="473"/>
      <c r="I106" s="2270" t="s">
        <v>1395</v>
      </c>
      <c r="J106" s="2271"/>
      <c r="K106" s="2272"/>
      <c r="L106" s="2268"/>
      <c r="M106" s="2268"/>
      <c r="N106" s="2268"/>
      <c r="O106" s="1619"/>
      <c r="P106" s="2273" t="s">
        <v>1394</v>
      </c>
      <c r="Q106" s="2274"/>
      <c r="R106" s="2275"/>
      <c r="S106" s="1678" t="s">
        <v>1393</v>
      </c>
      <c r="T106" s="1618"/>
      <c r="U106" s="1619"/>
      <c r="V106" s="170"/>
      <c r="AD106" s="1668"/>
      <c r="AE106" s="1669"/>
      <c r="AF106" s="1409"/>
      <c r="AG106" s="1409"/>
      <c r="AH106" s="1409"/>
      <c r="AI106" s="1409"/>
      <c r="AK106" s="10"/>
      <c r="AL106" s="10"/>
      <c r="AM106" s="10"/>
      <c r="BD106" s="816"/>
      <c r="BE106" s="110"/>
      <c r="BF106" s="477"/>
      <c r="BG106" s="113"/>
      <c r="BH106" s="481"/>
      <c r="BI106" s="113"/>
      <c r="BJ106" s="482"/>
      <c r="BK106" s="478"/>
    </row>
    <row r="107" spans="2:63" ht="32" customHeight="1" x14ac:dyDescent="0.3">
      <c r="B107" s="2029">
        <v>5</v>
      </c>
      <c r="D107" s="476" t="str">
        <f>'Action-Réaction finale'!F18</f>
        <v>Modifications des faits et souvenirs</v>
      </c>
      <c r="E107" s="107"/>
      <c r="F107" s="65"/>
      <c r="G107" s="18"/>
      <c r="H107" s="18"/>
      <c r="I107" s="2255" t="s">
        <v>734</v>
      </c>
      <c r="J107" s="2256"/>
      <c r="K107" s="2256"/>
      <c r="L107" s="2257" t="s">
        <v>1378</v>
      </c>
      <c r="M107" s="2257"/>
      <c r="N107" s="2257"/>
      <c r="O107" s="2258"/>
      <c r="P107" s="2259" t="s">
        <v>733</v>
      </c>
      <c r="Q107" s="2260"/>
      <c r="R107" s="2261"/>
      <c r="S107" s="2262" t="s">
        <v>735</v>
      </c>
      <c r="T107" s="2263"/>
      <c r="U107" s="2264"/>
      <c r="V107" s="15"/>
      <c r="W107" s="15"/>
      <c r="AD107" s="956"/>
      <c r="AE107" s="956"/>
      <c r="AF107" s="956"/>
      <c r="AG107" s="956"/>
      <c r="AH107" s="956"/>
      <c r="AI107" s="957"/>
      <c r="AK107" s="10"/>
      <c r="AL107" s="10"/>
      <c r="AM107" s="10"/>
      <c r="AN107" s="1659" t="s">
        <v>734</v>
      </c>
      <c r="AO107" s="1659" t="s">
        <v>733</v>
      </c>
      <c r="AP107" s="1659" t="s">
        <v>735</v>
      </c>
      <c r="AQ107" s="2254" t="s">
        <v>734</v>
      </c>
      <c r="AR107" s="2254"/>
      <c r="AS107" s="2254" t="s">
        <v>733</v>
      </c>
      <c r="AT107" s="2254"/>
      <c r="AU107" s="2254" t="s">
        <v>735</v>
      </c>
      <c r="AV107" s="2254"/>
      <c r="BD107" s="816"/>
      <c r="BE107" s="110"/>
      <c r="BF107" s="477"/>
      <c r="BG107" s="113"/>
      <c r="BH107" s="481"/>
      <c r="BI107" s="113"/>
      <c r="BJ107" s="482"/>
      <c r="BK107" s="478"/>
    </row>
    <row r="108" spans="2:63" ht="32" customHeight="1" x14ac:dyDescent="0.2">
      <c r="B108" s="2030"/>
      <c r="D108" s="102" t="s">
        <v>998</v>
      </c>
      <c r="E108" s="983" t="s">
        <v>997</v>
      </c>
      <c r="F108" s="32" t="s">
        <v>748</v>
      </c>
      <c r="G108" s="32" t="s">
        <v>749</v>
      </c>
      <c r="H108" s="32" t="s">
        <v>750</v>
      </c>
      <c r="I108" s="1620" t="s">
        <v>306</v>
      </c>
      <c r="J108" s="43" t="s">
        <v>307</v>
      </c>
      <c r="K108" s="43" t="s">
        <v>308</v>
      </c>
      <c r="L108" s="43" t="s">
        <v>413</v>
      </c>
      <c r="M108" s="43" t="s">
        <v>388</v>
      </c>
      <c r="N108" s="43" t="s">
        <v>389</v>
      </c>
      <c r="O108" s="1621" t="s">
        <v>390</v>
      </c>
      <c r="P108" s="1620" t="s">
        <v>306</v>
      </c>
      <c r="Q108" s="43" t="s">
        <v>307</v>
      </c>
      <c r="R108" s="1621" t="s">
        <v>308</v>
      </c>
      <c r="S108" s="1620" t="s">
        <v>306</v>
      </c>
      <c r="T108" s="43" t="s">
        <v>307</v>
      </c>
      <c r="U108" s="1621" t="s">
        <v>308</v>
      </c>
      <c r="V108" s="818"/>
      <c r="W108" s="955" t="s">
        <v>928</v>
      </c>
      <c r="X108" s="1391" t="s">
        <v>734</v>
      </c>
      <c r="Y108" s="955" t="s">
        <v>928</v>
      </c>
      <c r="Z108" s="1395" t="s">
        <v>733</v>
      </c>
      <c r="AA108" s="955" t="s">
        <v>928</v>
      </c>
      <c r="AB108" s="1399" t="s">
        <v>735</v>
      </c>
      <c r="AD108" s="970" t="s">
        <v>734</v>
      </c>
      <c r="AE108" s="971" t="s">
        <v>946</v>
      </c>
      <c r="AF108" s="970" t="s">
        <v>733</v>
      </c>
      <c r="AG108" s="971" t="s">
        <v>947</v>
      </c>
      <c r="AH108" s="970" t="s">
        <v>735</v>
      </c>
      <c r="AI108" s="971" t="s">
        <v>948</v>
      </c>
      <c r="AK108" s="10"/>
      <c r="AL108" s="10"/>
      <c r="AM108" s="10"/>
      <c r="AN108" s="10"/>
      <c r="AO108" s="10"/>
      <c r="AP108" s="10"/>
      <c r="AQ108" s="1806" t="s">
        <v>1322</v>
      </c>
      <c r="AR108" s="1806" t="s">
        <v>1323</v>
      </c>
      <c r="AS108" s="1806" t="s">
        <v>1322</v>
      </c>
      <c r="AT108" s="1806" t="s">
        <v>1323</v>
      </c>
      <c r="AU108" s="1806" t="s">
        <v>1322</v>
      </c>
      <c r="AV108" s="1806" t="s">
        <v>1323</v>
      </c>
      <c r="BD108" s="816"/>
      <c r="BE108" s="110"/>
      <c r="BF108" s="477"/>
      <c r="BG108" s="113"/>
      <c r="BH108" s="481"/>
      <c r="BI108" s="113"/>
      <c r="BJ108" s="482"/>
      <c r="BK108" s="478"/>
    </row>
    <row r="109" spans="2:63" ht="57" customHeight="1" x14ac:dyDescent="0.2">
      <c r="B109" s="1847" t="str">
        <f>'Action-Réaction finale'!I18</f>
        <v>B:Altération/dévoiement de la réalité</v>
      </c>
      <c r="C109" s="414" t="str">
        <f>'Action-Réaction finale'!G18</f>
        <v>PFA06</v>
      </c>
      <c r="D109" s="26" t="str">
        <f>Test_Bible!B175</f>
        <v>L'autre parent modifie certains faits concernant votre passé à son avantage ou à votre désavantage.</v>
      </c>
      <c r="E109" s="101" t="s">
        <v>760</v>
      </c>
      <c r="F109" s="790">
        <f>Test_Bible!P175</f>
        <v>7</v>
      </c>
      <c r="G109" s="789">
        <f>Test_Bible!D175</f>
        <v>2</v>
      </c>
      <c r="H109" s="790">
        <f>F109*G109</f>
        <v>14</v>
      </c>
      <c r="I109" s="1622">
        <v>4</v>
      </c>
      <c r="J109" s="1615">
        <v>10</v>
      </c>
      <c r="K109" s="45" t="b">
        <f>IF(AND(F109&gt;=I109,F109&lt;=J109),TRUE,FALSE)</f>
        <v>1</v>
      </c>
      <c r="L109" s="45"/>
      <c r="M109" s="45"/>
      <c r="N109" s="45"/>
      <c r="O109" s="1623"/>
      <c r="P109" s="1622">
        <v>4</v>
      </c>
      <c r="Q109" s="1615">
        <v>7</v>
      </c>
      <c r="R109" s="1623" t="b">
        <f>IF(AND(F109&gt;=P109,F109&lt;=Q109),TRUE,FALSE)</f>
        <v>1</v>
      </c>
      <c r="S109" s="1647">
        <v>11</v>
      </c>
      <c r="T109" s="1648">
        <v>11</v>
      </c>
      <c r="U109" s="1623" t="b">
        <f>IF(AND(F109&gt;=S109,F109&lt;=T109),TRUE,FALSE)</f>
        <v>0</v>
      </c>
      <c r="V109" s="1593"/>
      <c r="W109" s="1403"/>
      <c r="X109" s="1404">
        <v>4</v>
      </c>
      <c r="Y109" s="1405"/>
      <c r="Z109" s="1408">
        <v>2</v>
      </c>
      <c r="AA109" s="1405"/>
      <c r="AB109" s="1416">
        <v>11</v>
      </c>
      <c r="AD109" s="958"/>
      <c r="AE109" s="959"/>
      <c r="AF109" s="958"/>
      <c r="AG109" s="959"/>
      <c r="AH109" s="958"/>
      <c r="AI109" s="959"/>
      <c r="AK109" s="10"/>
      <c r="AL109" s="10"/>
      <c r="AM109" s="10"/>
      <c r="AN109" s="975">
        <f>IF($K109=TRUE,H109,0)</f>
        <v>14</v>
      </c>
      <c r="AO109" s="975">
        <f>IF($R109=TRUE,H109,0)</f>
        <v>14</v>
      </c>
      <c r="AP109" s="975">
        <f>IF($U109=TRUE,H109,0)</f>
        <v>0</v>
      </c>
      <c r="AQ109" s="1806">
        <f>IF(I109=11,0,G109*I109)</f>
        <v>8</v>
      </c>
      <c r="AR109" s="1806">
        <f>IF(J109=11,0,G109*J109)</f>
        <v>20</v>
      </c>
      <c r="AS109" s="1806">
        <f>IF(P109=11,0,G109*P109)</f>
        <v>8</v>
      </c>
      <c r="AT109" s="1806">
        <f>IF(Q109=11,0,G109*Q109)</f>
        <v>14</v>
      </c>
      <c r="AU109" s="1806">
        <f>IF(S109=11,0,S109*G109)</f>
        <v>0</v>
      </c>
      <c r="AV109" s="1806">
        <f>IF(T109=11,0,T109*G109)</f>
        <v>0</v>
      </c>
      <c r="BD109" s="816"/>
      <c r="BE109" s="110"/>
      <c r="BF109" s="477"/>
      <c r="BG109" s="113"/>
      <c r="BH109" s="481"/>
      <c r="BI109" s="113"/>
      <c r="BJ109" s="482"/>
      <c r="BK109" s="478"/>
    </row>
    <row r="110" spans="2:63" ht="53" customHeight="1" x14ac:dyDescent="0.2">
      <c r="B110" s="1847" t="str">
        <f>'Action-Réaction finale'!I19</f>
        <v>B:Altération/dévoiement de la réalité</v>
      </c>
      <c r="C110" s="414" t="str">
        <f>'Action-Réaction finale'!G19</f>
        <v>PFA06a</v>
      </c>
      <c r="D110" s="767" t="str">
        <f>Test_Bible!B176</f>
        <v xml:space="preserve">L'autre parent déforme les souvenirs de votre enfant (ex.: souvenirs de la petite enfance vus aujourd'hui négativement). </v>
      </c>
      <c r="E110" s="101" t="s">
        <v>397</v>
      </c>
      <c r="F110" s="790">
        <f>Test_Bible!P176</f>
        <v>10</v>
      </c>
      <c r="G110" s="789">
        <f>Test_Bible!D176</f>
        <v>3</v>
      </c>
      <c r="H110" s="790">
        <f>F110*G110</f>
        <v>30</v>
      </c>
      <c r="I110" s="1622">
        <v>2</v>
      </c>
      <c r="J110" s="1615">
        <v>10</v>
      </c>
      <c r="K110" s="45" t="b">
        <f>IF(AND(F110&gt;=I110,F110&lt;=J110),TRUE,FALSE)</f>
        <v>1</v>
      </c>
      <c r="L110" s="45"/>
      <c r="M110" s="45"/>
      <c r="N110" s="45"/>
      <c r="O110" s="1623"/>
      <c r="P110" s="1647">
        <v>11</v>
      </c>
      <c r="Q110" s="1648">
        <v>11</v>
      </c>
      <c r="R110" s="1623" t="b">
        <f>IF(AND(F110&gt;=P110,F110&lt;=Q110),TRUE,FALSE)</f>
        <v>0</v>
      </c>
      <c r="S110" s="1647">
        <v>11</v>
      </c>
      <c r="T110" s="1648">
        <v>11</v>
      </c>
      <c r="U110" s="1623" t="b">
        <f>IF(AND(F110&gt;=S110,F110&lt;=T110),TRUE,FALSE)</f>
        <v>0</v>
      </c>
      <c r="V110" s="931"/>
      <c r="W110" s="1406" t="s">
        <v>943</v>
      </c>
      <c r="X110" s="1411">
        <v>2</v>
      </c>
      <c r="Y110" s="1412"/>
      <c r="Z110" s="1427">
        <v>11</v>
      </c>
      <c r="AA110" s="1412"/>
      <c r="AB110" s="1421">
        <v>11</v>
      </c>
      <c r="AD110" s="960"/>
      <c r="AE110" s="961"/>
      <c r="AF110" s="960"/>
      <c r="AG110" s="961"/>
      <c r="AH110" s="960"/>
      <c r="AI110" s="961"/>
      <c r="AK110" s="10"/>
      <c r="AL110" s="10"/>
      <c r="AM110" s="10"/>
      <c r="AN110" s="975">
        <f>IF($K110=TRUE,H110,0)</f>
        <v>30</v>
      </c>
      <c r="AO110" s="975">
        <f>IF($R110=TRUE,H110,0)</f>
        <v>0</v>
      </c>
      <c r="AP110" s="975">
        <f>IF($U110=TRUE,H110,0)</f>
        <v>0</v>
      </c>
      <c r="AQ110" s="1806">
        <f>IF(I110=11,0,G110*I110)</f>
        <v>6</v>
      </c>
      <c r="AR110" s="1806">
        <f>IF(J110=11,0,G110*J110)</f>
        <v>30</v>
      </c>
      <c r="AS110" s="1806">
        <f>IF(P110=11,0,G110*P110)</f>
        <v>0</v>
      </c>
      <c r="AT110" s="1806">
        <f>IF(Q110=11,0,G110*Q110)</f>
        <v>0</v>
      </c>
      <c r="AU110" s="1806">
        <f>IF(S110=11,0,S110*G110)</f>
        <v>0</v>
      </c>
      <c r="AV110" s="1806">
        <f>IF(T110=11,0,T110*G110)</f>
        <v>0</v>
      </c>
      <c r="BD110" s="816"/>
      <c r="BE110" s="110"/>
      <c r="BF110" s="477"/>
      <c r="BG110" s="113"/>
      <c r="BH110" s="481"/>
      <c r="BI110" s="113"/>
      <c r="BJ110" s="482"/>
      <c r="BK110" s="478"/>
    </row>
    <row r="111" spans="2:63" ht="62" customHeight="1" x14ac:dyDescent="0.2">
      <c r="B111" s="1847"/>
      <c r="C111" s="792" t="s">
        <v>745</v>
      </c>
      <c r="D111" s="793" t="str">
        <f>_xlfn.XLOOKUP(H111,H109:H110,D109:D110)</f>
        <v xml:space="preserve">L'autre parent déforme les souvenirs de votre enfant (ex.: souvenirs de la petite enfance vus aujourd'hui négativement). </v>
      </c>
      <c r="E111" s="794" t="str">
        <f>_xlfn.XLOOKUP(H111,H109:H110,E109:E110)</f>
        <v>déforme les souvenirs</v>
      </c>
      <c r="F111" s="795"/>
      <c r="G111" s="795"/>
      <c r="H111" s="795">
        <f>IF(AND(K109=TRUE,K110=FALSE),H109,IF(AND(K109=FALSE,K110=TRUE),H110,MAX(H109,H110)))</f>
        <v>30</v>
      </c>
      <c r="I111" s="1624"/>
      <c r="J111" s="796"/>
      <c r="K111" s="797" t="b">
        <f>IF(AND(K109=FALSE,K110=FALSE),FALSE,TRUE)</f>
        <v>1</v>
      </c>
      <c r="L111" s="45"/>
      <c r="M111" s="45"/>
      <c r="N111" s="45"/>
      <c r="O111" s="1623"/>
      <c r="P111" s="1624"/>
      <c r="Q111" s="796"/>
      <c r="R111" s="1637" t="b">
        <f>IF(AND(R109=FALSE,R110=FALSE),FALSE,TRUE)</f>
        <v>1</v>
      </c>
      <c r="S111" s="1624"/>
      <c r="T111" s="796"/>
      <c r="U111" s="1637" t="b">
        <f>IF(AND(U109=FALSE,U110=FALSE),FALSE,TRUE)</f>
        <v>0</v>
      </c>
      <c r="V111" s="931"/>
      <c r="W111" s="931" t="s">
        <v>943</v>
      </c>
      <c r="X111" s="1392"/>
      <c r="Y111" s="8"/>
      <c r="Z111" s="1397"/>
      <c r="AA111" s="8"/>
      <c r="AB111" s="1400"/>
      <c r="AD111" s="960"/>
      <c r="AE111" s="961"/>
      <c r="AF111" s="960"/>
      <c r="AG111" s="961"/>
      <c r="AH111" s="960"/>
      <c r="AI111" s="961"/>
      <c r="AK111" s="10"/>
      <c r="AL111" s="10"/>
      <c r="AM111" s="10"/>
      <c r="AN111" s="2100">
        <f>IF($K111=TRUE,MAX(AN109:AN110),0)</f>
        <v>30</v>
      </c>
      <c r="AO111" s="2100">
        <f>IF($R111=TRUE,MAX(AO109:AO110),0)</f>
        <v>14</v>
      </c>
      <c r="AP111" s="2100">
        <f>IF($U111=TRUE,MAX(AP109:AP110),0)</f>
        <v>0</v>
      </c>
      <c r="AQ111" s="2099">
        <f>MAX(AQ109:AQ110)</f>
        <v>8</v>
      </c>
      <c r="AR111" s="2099">
        <f t="shared" ref="AR111" si="75">MAX(AR109:AR110)</f>
        <v>30</v>
      </c>
      <c r="AS111" s="2099">
        <f t="shared" ref="AS111" si="76">MAX(AS109:AS110)</f>
        <v>8</v>
      </c>
      <c r="AT111" s="2099">
        <f t="shared" ref="AT111" si="77">MAX(AT109:AT110)</f>
        <v>14</v>
      </c>
      <c r="AU111" s="2099">
        <f t="shared" ref="AU111" si="78">MAX(AU109:AU110)</f>
        <v>0</v>
      </c>
      <c r="AV111" s="2099">
        <f t="shared" ref="AV111" si="79">MAX(AV109:AV110)</f>
        <v>0</v>
      </c>
      <c r="BD111" s="816"/>
      <c r="BE111" s="110"/>
      <c r="BF111" s="477"/>
      <c r="BG111" s="113"/>
      <c r="BH111" s="481"/>
      <c r="BI111" s="113"/>
      <c r="BJ111" s="482"/>
      <c r="BK111" s="478"/>
    </row>
    <row r="112" spans="2:63" ht="32" customHeight="1" x14ac:dyDescent="0.2">
      <c r="B112" s="2030"/>
      <c r="C112" s="52"/>
      <c r="D112" s="26"/>
      <c r="E112" s="101"/>
      <c r="F112" s="790"/>
      <c r="G112" s="789"/>
      <c r="H112" s="790">
        <f>F112*G112</f>
        <v>0</v>
      </c>
      <c r="I112" s="1647">
        <v>11</v>
      </c>
      <c r="J112" s="1648">
        <v>11</v>
      </c>
      <c r="K112" s="45" t="b">
        <f>IF(AND(F112&gt;=I112,F112&lt;=J112),TRUE,FALSE)</f>
        <v>0</v>
      </c>
      <c r="L112" s="45"/>
      <c r="M112" s="45"/>
      <c r="N112" s="45"/>
      <c r="O112" s="1623"/>
      <c r="P112" s="1647">
        <v>11</v>
      </c>
      <c r="Q112" s="1648">
        <v>11</v>
      </c>
      <c r="R112" s="1623" t="b">
        <f>IF(AND(F112&gt;=P112,F112&lt;=Q112),TRUE,FALSE)</f>
        <v>0</v>
      </c>
      <c r="S112" s="1647">
        <v>11</v>
      </c>
      <c r="T112" s="1648">
        <v>11</v>
      </c>
      <c r="U112" s="1623" t="b">
        <f>IF(AND(F112&gt;=S112,F112&lt;=T112),TRUE,FALSE)</f>
        <v>0</v>
      </c>
      <c r="V112" s="931"/>
      <c r="W112" s="1403"/>
      <c r="X112" s="1422">
        <v>11</v>
      </c>
      <c r="Y112" s="1423"/>
      <c r="Z112" s="1424">
        <v>11</v>
      </c>
      <c r="AA112" s="1423"/>
      <c r="AB112" s="1416">
        <v>11</v>
      </c>
      <c r="AD112" s="960"/>
      <c r="AE112" s="961"/>
      <c r="AF112" s="960"/>
      <c r="AG112" s="961"/>
      <c r="AH112" s="960"/>
      <c r="AI112" s="961"/>
      <c r="AK112" s="10"/>
      <c r="AL112" s="10"/>
      <c r="AM112" s="10"/>
      <c r="AN112" s="975">
        <f>IF(K112=TRUE,H112,0)</f>
        <v>0</v>
      </c>
      <c r="AO112" s="975">
        <f>IF(R112=TRUE,H112,0)</f>
        <v>0</v>
      </c>
      <c r="AP112" s="975">
        <f>IF(U112=TRUE,H112,0)</f>
        <v>0</v>
      </c>
      <c r="AQ112" s="1806">
        <f>IF(I112=11,0,G112*I112)</f>
        <v>0</v>
      </c>
      <c r="AR112" s="1806">
        <f>IF(J112=11,0,G112*J112)</f>
        <v>0</v>
      </c>
      <c r="AS112" s="1806">
        <f>IF(P112=11,0,G112*P112)</f>
        <v>0</v>
      </c>
      <c r="AT112" s="1806">
        <f>IF(Q112=11,0,G112*Q112)</f>
        <v>0</v>
      </c>
      <c r="AU112" s="1806">
        <f>IF(S112=11,0,S112*G112)</f>
        <v>0</v>
      </c>
      <c r="AV112" s="1806">
        <f>IF(T112=11,0,T112*G112)</f>
        <v>0</v>
      </c>
      <c r="BD112" s="816"/>
      <c r="BE112" s="110"/>
      <c r="BF112" s="477"/>
      <c r="BG112" s="113"/>
      <c r="BH112" s="481"/>
      <c r="BI112" s="113"/>
      <c r="BJ112" s="482"/>
      <c r="BK112" s="478"/>
    </row>
    <row r="113" spans="2:63" ht="32" customHeight="1" x14ac:dyDescent="0.2">
      <c r="B113" s="2030"/>
      <c r="C113" s="52"/>
      <c r="D113" s="26"/>
      <c r="E113" s="62"/>
      <c r="F113" s="35"/>
      <c r="G113" s="35"/>
      <c r="H113" s="35">
        <f>F113*G113</f>
        <v>0</v>
      </c>
      <c r="I113" s="1647">
        <v>11</v>
      </c>
      <c r="J113" s="1648">
        <v>11</v>
      </c>
      <c r="K113" s="45" t="b">
        <f>IF(AND(F113&gt;=I113,F113&lt;=J113),TRUE,FALSE)</f>
        <v>0</v>
      </c>
      <c r="L113" s="45"/>
      <c r="M113" s="45"/>
      <c r="N113" s="45"/>
      <c r="O113" s="1623"/>
      <c r="P113" s="1647">
        <v>11</v>
      </c>
      <c r="Q113" s="1648">
        <v>11</v>
      </c>
      <c r="R113" s="1623" t="b">
        <f>IF(AND(F113&gt;=P113,F113&lt;=Q113),TRUE,FALSE)</f>
        <v>0</v>
      </c>
      <c r="S113" s="1647">
        <v>11</v>
      </c>
      <c r="T113" s="1648">
        <v>11</v>
      </c>
      <c r="U113" s="1623" t="b">
        <f>IF(AND(F113&gt;=S113,F113&lt;=T113),TRUE,FALSE)</f>
        <v>0</v>
      </c>
      <c r="V113" s="931"/>
      <c r="W113" s="1406" t="s">
        <v>943</v>
      </c>
      <c r="X113" s="1425">
        <v>11</v>
      </c>
      <c r="Y113" s="1426"/>
      <c r="Z113" s="1427">
        <v>11</v>
      </c>
      <c r="AA113" s="1426"/>
      <c r="AB113" s="1421">
        <v>11</v>
      </c>
      <c r="AD113" s="960"/>
      <c r="AE113" s="961"/>
      <c r="AF113" s="960"/>
      <c r="AG113" s="961"/>
      <c r="AH113" s="960"/>
      <c r="AI113" s="961"/>
      <c r="AK113" s="10"/>
      <c r="AL113" s="10"/>
      <c r="AM113" s="10"/>
      <c r="AN113" s="975">
        <f>IF(K113=TRUE,H113,0)</f>
        <v>0</v>
      </c>
      <c r="AO113" s="975">
        <f>IF(R113=TRUE,H113,0)</f>
        <v>0</v>
      </c>
      <c r="AP113" s="975">
        <f>IF(U113=TRUE,H113,0)</f>
        <v>0</v>
      </c>
      <c r="AQ113" s="1806">
        <f>IF(I113=11,0,G113*I113)</f>
        <v>0</v>
      </c>
      <c r="AR113" s="1806">
        <f>IF(J113=11,0,G113*J113)</f>
        <v>0</v>
      </c>
      <c r="AS113" s="1806">
        <f>IF(P113=11,0,G113*P113)</f>
        <v>0</v>
      </c>
      <c r="AT113" s="1806">
        <f>IF(Q113=11,0,G113*Q113)</f>
        <v>0</v>
      </c>
      <c r="AU113" s="1806">
        <f>IF(S113=11,0,S113*G113)</f>
        <v>0</v>
      </c>
      <c r="AV113" s="1806">
        <f>IF(T113=11,0,T113*G113)</f>
        <v>0</v>
      </c>
      <c r="BC113" s="7"/>
      <c r="BD113" s="816"/>
      <c r="BE113" s="110"/>
      <c r="BF113" s="477"/>
      <c r="BG113" s="113"/>
      <c r="BH113" s="481"/>
      <c r="BI113" s="113"/>
      <c r="BJ113" s="482"/>
      <c r="BK113" s="478"/>
    </row>
    <row r="114" spans="2:63" ht="32" customHeight="1" thickBot="1" x14ac:dyDescent="0.25">
      <c r="B114" s="2030"/>
      <c r="C114" s="798" t="s">
        <v>746</v>
      </c>
      <c r="D114" s="799">
        <f>_xlfn.XLOOKUP(H114,H112:H113,D112:D113)</f>
        <v>0</v>
      </c>
      <c r="E114" s="800">
        <f>_xlfn.XLOOKUP(H114,H112:H113,E112:E113)</f>
        <v>0</v>
      </c>
      <c r="F114" s="801"/>
      <c r="G114" s="801"/>
      <c r="H114" s="795">
        <f>IF(AND(K112=TRUE,K113=FALSE),H112,IF(AND(K112=FALSE,K113=TRUE),H113,MAX(H112,H113)))</f>
        <v>0</v>
      </c>
      <c r="I114" s="1625"/>
      <c r="J114" s="802"/>
      <c r="K114" s="803" t="b">
        <f>IF(AND(K112=FALSE,K113=FALSE),FALSE,TRUE)</f>
        <v>0</v>
      </c>
      <c r="L114" s="45"/>
      <c r="M114" s="45"/>
      <c r="N114" s="45"/>
      <c r="O114" s="1623"/>
      <c r="P114" s="1625"/>
      <c r="Q114" s="802"/>
      <c r="R114" s="1638" t="b">
        <f>IF(AND(R112=FALSE,R113=FALSE),FALSE,TRUE)</f>
        <v>0</v>
      </c>
      <c r="S114" s="1625"/>
      <c r="T114" s="802"/>
      <c r="U114" s="1638" t="b">
        <f>IF(AND(U112=FALSE,U113=FALSE),FALSE,TRUE)</f>
        <v>0</v>
      </c>
      <c r="V114" s="931"/>
      <c r="W114" s="931"/>
      <c r="X114" s="1392"/>
      <c r="Y114" s="8"/>
      <c r="Z114" s="1397"/>
      <c r="AA114" s="8"/>
      <c r="AB114" s="1400"/>
      <c r="AD114" s="960"/>
      <c r="AE114" s="961"/>
      <c r="AF114" s="960"/>
      <c r="AG114" s="961"/>
      <c r="AH114" s="960"/>
      <c r="AI114" s="961"/>
      <c r="AK114" s="10"/>
      <c r="AL114" s="10"/>
      <c r="AM114" s="10"/>
      <c r="AN114" s="2100">
        <f>IF($K114=TRUE,MAX(AN112:AN113),0)</f>
        <v>0</v>
      </c>
      <c r="AO114" s="2100">
        <f>IF($R114=TRUE,MAX(AO112:AO113),0)</f>
        <v>0</v>
      </c>
      <c r="AP114" s="2100">
        <f>IF($U114=TRUE,MAX(AP112:AP113),0)</f>
        <v>0</v>
      </c>
      <c r="AQ114" s="2099">
        <f>MAX(AQ112:AQ113)</f>
        <v>0</v>
      </c>
      <c r="AR114" s="2099">
        <f t="shared" ref="AR114" si="80">MAX(AR112:AR113)</f>
        <v>0</v>
      </c>
      <c r="AS114" s="2099">
        <f t="shared" ref="AS114" si="81">MAX(AS112:AS113)</f>
        <v>0</v>
      </c>
      <c r="AT114" s="2099">
        <f t="shared" ref="AT114" si="82">MAX(AT112:AT113)</f>
        <v>0</v>
      </c>
      <c r="AU114" s="2099">
        <f t="shared" ref="AU114" si="83">MAX(AU112:AU113)</f>
        <v>0</v>
      </c>
      <c r="AV114" s="2099">
        <f t="shared" ref="AV114" si="84">MAX(AV112:AV113)</f>
        <v>0</v>
      </c>
      <c r="BC114" s="7"/>
      <c r="BD114" s="816"/>
      <c r="BE114" s="110"/>
      <c r="BF114" s="477"/>
      <c r="BG114" s="113"/>
      <c r="BH114" s="481"/>
      <c r="BI114" s="113"/>
      <c r="BJ114" s="482"/>
      <c r="BK114" s="478"/>
    </row>
    <row r="115" spans="2:63" ht="32" customHeight="1" thickBot="1" x14ac:dyDescent="0.25">
      <c r="B115" s="2030"/>
      <c r="C115" s="804" t="s">
        <v>754</v>
      </c>
      <c r="D115" s="805"/>
      <c r="E115" s="805" t="str">
        <f>IF(H115=H111,E111,E114)</f>
        <v>déforme les souvenirs</v>
      </c>
      <c r="F115" s="806"/>
      <c r="G115" s="806"/>
      <c r="H115" s="806">
        <f>IF(AND(K111=TRUE,K114=FALSE),H111,IF(AND(K111=FALSE,K114=TRUE),H114,IF(AND(K111=TRUE,K114=TRUE),H111+H114,MAX(H111,H114))))</f>
        <v>30</v>
      </c>
      <c r="I115" s="1626"/>
      <c r="J115" s="807"/>
      <c r="K115" s="808" t="b">
        <f>IF(AND(K111=FALSE,K114=FALSE),FALSE,TRUE)</f>
        <v>1</v>
      </c>
      <c r="L115" s="1610"/>
      <c r="M115" s="1610"/>
      <c r="N115" s="1610"/>
      <c r="O115" s="1627"/>
      <c r="P115" s="1626"/>
      <c r="Q115" s="807"/>
      <c r="R115" s="808" t="b">
        <f>IF(AND(R111=FALSE,R114=FALSE),FALSE,TRUE)</f>
        <v>1</v>
      </c>
      <c r="S115" s="1626"/>
      <c r="T115" s="807"/>
      <c r="U115" s="808" t="b">
        <f>IF(AND(U111=FALSE,U114=FALSE),FALSE,TRUE)</f>
        <v>0</v>
      </c>
      <c r="V115" s="931"/>
      <c r="W115" s="931" t="s">
        <v>942</v>
      </c>
      <c r="X115" s="1392"/>
      <c r="Y115" s="8"/>
      <c r="Z115" s="1397"/>
      <c r="AA115" s="8"/>
      <c r="AB115" s="1400"/>
      <c r="AD115" s="960" t="str">
        <f>IF(K115=TRUE,"V","F")</f>
        <v>V</v>
      </c>
      <c r="AE115" s="961"/>
      <c r="AF115" s="960" t="str">
        <f>IF(R115=TRUE,"V","F")</f>
        <v>V</v>
      </c>
      <c r="AG115" s="961"/>
      <c r="AH115" s="960" t="str">
        <f>IF(U115=TRUE,"V","F")</f>
        <v>F</v>
      </c>
      <c r="AI115" s="961"/>
      <c r="AJ115" t="str">
        <f>IF(OR(AD115="V",AF115="V"),IF(H114&gt;H111,"Le NC contribue plus que le coparent","Le coparent joue un plus grand rôle que le NC"),"pas de contexte significatif de la part du coparent et NC")</f>
        <v>Le coparent joue un plus grand rôle que le NC</v>
      </c>
      <c r="AK115" s="10"/>
      <c r="AL115" s="10"/>
      <c r="AM115" s="10"/>
      <c r="AN115" s="631">
        <f>IF(AND($K111=TRUE,$K114=FALSE),AN111,IF(AND($K111=FALSE,$K114=TRUE),AN114,IF(AND($K111=TRUE,$K114=TRUE),AN111+AN114,0)))</f>
        <v>30</v>
      </c>
      <c r="AO115" s="631">
        <f>IF(AND($R111=TRUE,$R114=FALSE),AO111,IF(AND($R111=FALSE,$R114=TRUE),AO114,IF(AND($R111=TRUE,$R114=TRUE),AO111+AO114,0)))</f>
        <v>14</v>
      </c>
      <c r="AP115" s="631">
        <f>IF(AND($U111=TRUE,$U114=FALSE),AP111,IF(AND($U111=FALSE,$U114=TRUE),AP114,IF(AND($U111=TRUE,$U114=TRUE),AP111+AP114,0)))</f>
        <v>0</v>
      </c>
      <c r="AQ115" s="631">
        <f>IF(AND($K111=TRUE,$K114=FALSE),AQ111,IF(AND($K111=FALSE,$K114=TRUE),AQ114,IF(AND($K111=TRUE,$K114=TRUE),AQ111+AQ114,MAX(AQ111,AQ114))))</f>
        <v>8</v>
      </c>
      <c r="AR115" s="631">
        <f>IF(AND($K111=TRUE,$K114=FALSE),AR111,IF(AND($K111=FALSE,$K114=TRUE),AR114,IF(AND($K111=TRUE,$K114=TRUE),AR111+AR114,MAX(AR111,AR114))))</f>
        <v>30</v>
      </c>
      <c r="AS115" s="631">
        <f t="shared" ref="AS115" si="85">IF(AND($R111=TRUE,$R114=FALSE),AS111,IF(AND($R111=FALSE,$R114=TRUE),AS114,IF(AND($R111=TRUE,$R114=TRUE),AS111+AS114,MAX(AS111,AS114))))</f>
        <v>8</v>
      </c>
      <c r="AT115" s="631">
        <f t="shared" ref="AT115" si="86">IF(AND($R111=TRUE,$R114=FALSE),AT111,IF(AND($R111=FALSE,$R114=TRUE),AT114,IF(AND($R111=TRUE,$R114=TRUE),AT111+AT114,MAX(AT111,AT114))))</f>
        <v>14</v>
      </c>
      <c r="AU115" s="631">
        <f t="shared" ref="AU115" si="87">IF(AND($U111=TRUE,$U114=FALSE),AU111,IF(AND($U111=FALSE,$U114=TRUE),AU114,IF(AND($U111=TRUE,$U114=TRUE),AU111+AU114,MAX(AU111,AU114))))</f>
        <v>0</v>
      </c>
      <c r="AV115" s="631">
        <f t="shared" ref="AV115" si="88">IF(AND($U111=TRUE,$U114=FALSE),AV111,IF(AND($U111=FALSE,$U114=TRUE),AV114,IF(AND($U111=TRUE,$U114=TRUE),AV111+AV114,MAX(AV111,AV114))))</f>
        <v>0</v>
      </c>
      <c r="BC115" s="7"/>
      <c r="BD115" s="816"/>
      <c r="BE115" s="110"/>
      <c r="BF115" s="477"/>
      <c r="BG115" s="113"/>
      <c r="BH115" s="481"/>
      <c r="BI115" s="113"/>
      <c r="BJ115" s="482"/>
      <c r="BK115" s="478"/>
    </row>
    <row r="116" spans="2:63" ht="51" customHeight="1" x14ac:dyDescent="0.2">
      <c r="B116" s="2030" t="str">
        <f>'Action-Réaction finale'!Q19</f>
        <v>F: Interférence lien affectif ou symbolique</v>
      </c>
      <c r="C116" s="313" t="str">
        <f>'Action-Réaction finale'!O19</f>
        <v>E22a</v>
      </c>
      <c r="D116" s="26" t="str">
        <f>Test_Bible!B305</f>
        <v>Dans quelle mesure les souvenirs de votre enfant vous semblent-ils être déformés ? (ex.: souvenirs de la petite enfance vus aujourd'hui différement)</v>
      </c>
      <c r="E116" s="101" t="s">
        <v>397</v>
      </c>
      <c r="F116" s="790">
        <f>Test_Bible!P305</f>
        <v>4</v>
      </c>
      <c r="G116" s="789">
        <f>Test_Bible!D305</f>
        <v>3</v>
      </c>
      <c r="H116" s="790">
        <f>F116*G116</f>
        <v>12</v>
      </c>
      <c r="I116" s="1622">
        <v>2</v>
      </c>
      <c r="J116" s="1615">
        <f>$J$18</f>
        <v>10</v>
      </c>
      <c r="K116" s="45" t="b">
        <f>IF(AND(F116&gt;=I116,F116&lt;=J116),TRUE,FALSE)</f>
        <v>1</v>
      </c>
      <c r="L116" s="45"/>
      <c r="M116" s="45"/>
      <c r="N116" s="45"/>
      <c r="O116" s="1623"/>
      <c r="P116" s="1647">
        <v>11</v>
      </c>
      <c r="Q116" s="1648">
        <v>11</v>
      </c>
      <c r="R116" s="1623" t="b">
        <f>IF(AND(F116&gt;=P116,F116&lt;=Q116),TRUE,FALSE)</f>
        <v>0</v>
      </c>
      <c r="S116" s="1622"/>
      <c r="T116" s="1615"/>
      <c r="U116" s="1623"/>
      <c r="V116" s="931"/>
      <c r="W116" s="1403"/>
      <c r="X116" s="1404">
        <v>4</v>
      </c>
      <c r="Y116" s="1405"/>
      <c r="Z116" s="1424">
        <v>11</v>
      </c>
      <c r="AA116" s="1405"/>
      <c r="AB116" s="1416">
        <v>11</v>
      </c>
      <c r="AD116" s="960" t="s">
        <v>945</v>
      </c>
      <c r="AE116" s="961"/>
      <c r="AF116" s="960"/>
      <c r="AG116" s="961"/>
      <c r="AH116" s="960"/>
      <c r="AI116" s="961"/>
      <c r="AK116" s="10"/>
      <c r="AL116" s="10"/>
      <c r="AM116" s="10"/>
      <c r="AN116" s="975">
        <f>IF($K116=TRUE,H116,0)</f>
        <v>12</v>
      </c>
      <c r="AO116" s="975">
        <f>IF($R116=TRUE,H116,0)</f>
        <v>0</v>
      </c>
      <c r="AP116" s="975"/>
      <c r="AQ116" s="1806">
        <f>IF(I116=11,0,G116*I116)</f>
        <v>6</v>
      </c>
      <c r="AR116" s="1806">
        <f>IF(J116=11,0,G116*J116)</f>
        <v>30</v>
      </c>
      <c r="AS116" s="1806">
        <f>IF(P116=11,0,G116*P116)</f>
        <v>0</v>
      </c>
      <c r="AT116" s="1806">
        <f>IF(Q116=11,0,G116*Q116)</f>
        <v>0</v>
      </c>
      <c r="AU116" s="1806"/>
      <c r="AV116" s="1806"/>
      <c r="BD116" s="816"/>
      <c r="BE116" s="110"/>
      <c r="BF116" s="477"/>
      <c r="BG116" s="113"/>
      <c r="BH116" s="481"/>
      <c r="BI116" s="113"/>
      <c r="BJ116" s="482"/>
      <c r="BK116" s="478"/>
    </row>
    <row r="117" spans="2:63" ht="32" customHeight="1" thickBot="1" x14ac:dyDescent="0.25">
      <c r="B117" s="2030"/>
      <c r="C117" s="313"/>
      <c r="D117" s="26"/>
      <c r="E117" s="101"/>
      <c r="F117" s="790"/>
      <c r="G117" s="789"/>
      <c r="H117" s="790">
        <f>F117*G117</f>
        <v>0</v>
      </c>
      <c r="I117" s="1647">
        <v>11</v>
      </c>
      <c r="J117" s="1648">
        <v>11</v>
      </c>
      <c r="K117" s="45" t="b">
        <f>IF(AND(F117&gt;=I117,F117&lt;=J117),TRUE,FALSE)</f>
        <v>0</v>
      </c>
      <c r="L117" s="45"/>
      <c r="M117" s="45"/>
      <c r="N117" s="45"/>
      <c r="O117" s="1623"/>
      <c r="P117" s="1647">
        <v>11</v>
      </c>
      <c r="Q117" s="1648">
        <v>11</v>
      </c>
      <c r="R117" s="1623" t="b">
        <f>IF(AND(F117&gt;=P117,F117&lt;=Q117),TRUE,FALSE)</f>
        <v>0</v>
      </c>
      <c r="S117" s="1647"/>
      <c r="T117" s="1648"/>
      <c r="U117" s="1623"/>
      <c r="V117" s="931"/>
      <c r="W117" s="1406" t="s">
        <v>943</v>
      </c>
      <c r="X117" s="1425">
        <v>11</v>
      </c>
      <c r="Y117" s="1426"/>
      <c r="Z117" s="1427">
        <v>11</v>
      </c>
      <c r="AA117" s="1426"/>
      <c r="AB117" s="1421">
        <v>11</v>
      </c>
      <c r="AD117" s="960"/>
      <c r="AE117" s="961"/>
      <c r="AF117" s="960"/>
      <c r="AG117" s="961"/>
      <c r="AH117" s="960"/>
      <c r="AI117" s="961"/>
      <c r="AK117" s="10"/>
      <c r="AL117" s="10"/>
      <c r="AM117" s="10"/>
      <c r="AN117" s="975">
        <f>IF($K117=TRUE,H117,0)</f>
        <v>0</v>
      </c>
      <c r="AO117" s="975">
        <f>IF($R117=TRUE,H117,0)</f>
        <v>0</v>
      </c>
      <c r="AP117" s="975"/>
      <c r="AQ117" s="1806">
        <f>IF(I117=11,0,G117*I117)</f>
        <v>0</v>
      </c>
      <c r="AR117" s="1806">
        <f>IF(J117=11,0,G117*J117)</f>
        <v>0</v>
      </c>
      <c r="AS117" s="1806">
        <f>IF(P117=11,0,G117*P117)</f>
        <v>0</v>
      </c>
      <c r="AT117" s="1806">
        <f>IF(Q117=11,0,G117*Q117)</f>
        <v>0</v>
      </c>
      <c r="AU117" s="1806"/>
      <c r="AV117" s="1806"/>
      <c r="BD117" s="816"/>
      <c r="BE117" s="110"/>
      <c r="BF117" s="477"/>
      <c r="BG117" s="113"/>
      <c r="BH117" s="481"/>
      <c r="BI117" s="113"/>
      <c r="BJ117" s="482"/>
      <c r="BK117" s="478"/>
    </row>
    <row r="118" spans="2:63" ht="32" customHeight="1" thickBot="1" x14ac:dyDescent="0.25">
      <c r="B118" s="2030"/>
      <c r="C118" s="809" t="s">
        <v>747</v>
      </c>
      <c r="D118" s="810" t="str">
        <f>_xlfn.XLOOKUP(H118,H116:H117,D116:D117)</f>
        <v>Dans quelle mesure les souvenirs de votre enfant vous semblent-ils être déformés ? (ex.: souvenirs de la petite enfance vus aujourd'hui différement)</v>
      </c>
      <c r="E118" s="810" t="str">
        <f>_xlfn.XLOOKUP(H118,H116:H117,E116:E117)</f>
        <v>déforme les souvenirs</v>
      </c>
      <c r="F118" s="811"/>
      <c r="G118" s="811"/>
      <c r="H118" s="811">
        <f>IF(AND(K116=TRUE,K117=FALSE),H116,IF(AND(K116=FALSE,K117=TRUE),H117,MAX(H116,H117)))</f>
        <v>12</v>
      </c>
      <c r="I118" s="1628"/>
      <c r="J118" s="812"/>
      <c r="K118" s="813" t="b">
        <f>IF(AND(K116=FALSE,K117=FALSE),FALSE,TRUE)</f>
        <v>1</v>
      </c>
      <c r="L118" s="1611"/>
      <c r="M118" s="1611"/>
      <c r="N118" s="1611"/>
      <c r="O118" s="1629"/>
      <c r="P118" s="1628"/>
      <c r="Q118" s="812"/>
      <c r="R118" s="813" t="b">
        <f>IF(AND(R116=FALSE,R117=FALSE),FALSE,TRUE)</f>
        <v>0</v>
      </c>
      <c r="S118" s="1628"/>
      <c r="T118" s="812"/>
      <c r="U118" s="813"/>
      <c r="V118" s="931"/>
      <c r="W118" s="931"/>
      <c r="X118" s="1394"/>
      <c r="Z118" s="1398"/>
      <c r="AB118" s="1402"/>
      <c r="AD118" s="960" t="str">
        <f>IF(K118=TRUE,"V","F")</f>
        <v>V</v>
      </c>
      <c r="AE118" s="961"/>
      <c r="AF118" s="960" t="str">
        <f>IF(R118=TRUE,"V","F")</f>
        <v>F</v>
      </c>
      <c r="AG118" s="961"/>
      <c r="AH118" s="960"/>
      <c r="AI118" s="961"/>
      <c r="AK118" s="10"/>
      <c r="AL118" s="10"/>
      <c r="AM118" s="10"/>
      <c r="AN118" s="2102">
        <f>IF(AND($K116=TRUE,$K117=FALSE),AN116,IF(AND($K116=FALSE,$K117=TRUE),AN117,IF(AND($K116=TRUE,$K117=TRUE),MAX(AN116,AN117),0)))</f>
        <v>12</v>
      </c>
      <c r="AO118" s="2102">
        <f>IF(AND($R116=TRUE,$R117=FALSE),AO116,IF(AND($R116=FALSE,$R117=TRUE),AO117,IF(AND($R116=TRUE,$R117=TRUE),MAX(AO116,AO117),0)))</f>
        <v>0</v>
      </c>
      <c r="AP118" s="2102"/>
      <c r="AQ118" s="2102">
        <f>IF(AND($K116=TRUE,$K117=FALSE),AQ116,IF(AND($K116=FALSE,$K117=TRUE),AQ117,IF(AND($K116=TRUE,$K117=TRUE),MAX(AQ116,AQ117),0)))</f>
        <v>6</v>
      </c>
      <c r="AR118" s="2102">
        <f>IF(AND($K116=TRUE,$K117=FALSE),AR116,IF(AND($K116=FALSE,$K117=TRUE),AR117,IF(AND($K116=TRUE,$K117=TRUE),MAX(AR116,AR117),0)))</f>
        <v>30</v>
      </c>
      <c r="AS118" s="2102">
        <f t="shared" ref="AS118" si="89">IF(AND($R116=TRUE,$R117=FALSE),AS116,IF(AND($R116=FALSE,$R117=TRUE),AS117,IF(AND($R116=TRUE,$R117=TRUE),MAX(AS116,AS117),0)))</f>
        <v>0</v>
      </c>
      <c r="AT118" s="2102">
        <f t="shared" ref="AT118" si="90">IF(AND($R116=TRUE,$R117=FALSE),AT116,IF(AND($R116=FALSE,$R117=TRUE),AT117,IF(AND($R116=TRUE,$R117=TRUE),MAX(AT116,AT117),0)))</f>
        <v>0</v>
      </c>
      <c r="AU118" s="2102"/>
      <c r="AV118" s="2102"/>
      <c r="BD118" s="816"/>
      <c r="BE118" s="110"/>
      <c r="BF118" s="477"/>
      <c r="BG118" s="113"/>
      <c r="BH118" s="481"/>
      <c r="BI118" s="113"/>
      <c r="BJ118" s="482"/>
      <c r="BK118" s="478"/>
    </row>
    <row r="119" spans="2:63" ht="32" customHeight="1" x14ac:dyDescent="0.2">
      <c r="B119" s="2030"/>
      <c r="D119" s="421" t="s">
        <v>310</v>
      </c>
      <c r="E119" s="785"/>
      <c r="F119" s="474" t="s">
        <v>398</v>
      </c>
      <c r="G119" s="47"/>
      <c r="H119" s="47">
        <f>IF(AND(K115=TRUE,K118=FALSE),H115,IF(AND(K115=FALSE,K118=TRUE),H118,IF(AND(K115=TRUE,K118=TRUE),H115+H118,MAX(H115,H118))))</f>
        <v>42</v>
      </c>
      <c r="I119" s="1630"/>
      <c r="J119" s="475"/>
      <c r="K119" s="1613"/>
      <c r="L119" s="1614" t="str">
        <f>IF(AND(K118=TRUE,K115=TRUE),E118,"")</f>
        <v>déforme les souvenirs</v>
      </c>
      <c r="M119" s="1614" t="str">
        <f>IF(AND(K115=TRUE,K118=FALSE),"Bien que le parent "&amp;E115&amp;" l'enfant ne semble pas s'ingérer","")</f>
        <v/>
      </c>
      <c r="N119" s="1614" t="str">
        <f>IF(AND(K115=FALSE,K118=TRUE),E118&amp;" sans signe de la participation du parent favorisé et|ou nouveau conjoint.e","")</f>
        <v/>
      </c>
      <c r="O119" s="1631" t="str">
        <f>IF(AND(K115=FALSE,K118=FALSE),"aucun comportement significatif de cette nature","")</f>
        <v/>
      </c>
      <c r="P119" s="1630"/>
      <c r="Q119" s="475"/>
      <c r="R119" s="1639"/>
      <c r="S119" s="1630"/>
      <c r="T119" s="475"/>
      <c r="U119" s="1639"/>
      <c r="V119" s="170"/>
      <c r="W119" s="170"/>
      <c r="X119" s="1394"/>
      <c r="Z119" s="1398"/>
      <c r="AB119" s="1402"/>
      <c r="AD119" s="962"/>
      <c r="AE119" s="963">
        <f>IF(AND(AD115="V",AD118="V"),2,IF(OR(AD115="V",AD118="V"),1,0))</f>
        <v>2</v>
      </c>
      <c r="AF119" s="962"/>
      <c r="AG119" s="963">
        <f>IF(OR(AF115="V",AF118="V"),1,0)</f>
        <v>1</v>
      </c>
      <c r="AH119" s="962"/>
      <c r="AI119" s="963"/>
      <c r="AK119" s="10"/>
      <c r="AL119" s="10"/>
      <c r="AM119" s="10"/>
      <c r="AN119" s="2097">
        <f>IF(AND($AD115="V",$AD118="F"),AN115,IF(AND($AD115="F",$AD118="V"),AN118,IF(AND($AD115="V",$AD118="V"),AN115+AN118,0)))</f>
        <v>42</v>
      </c>
      <c r="AO119" s="2097">
        <f>IF(AND($AF115="V",$AF118="F"),AO115,IF(AND($AF115="F",$AF118="V"),AO118,IF(AND($AF115="V",$AF118="V"),AO115+AO118,0)))</f>
        <v>14</v>
      </c>
      <c r="AP119" s="2097"/>
      <c r="AQ119" s="2097">
        <f>IF(AND($AD115="V",$AD118="F"),AQ115,IF(AND($AD115="F",$AD118="V"),AQ118,IF(AND($AD115="V",$AD118="V"),AQ115+AQ118,0)))</f>
        <v>14</v>
      </c>
      <c r="AR119" s="2097">
        <f>IF(AND($AD115="V",$AD118="F"),AR115,IF(AND($AD115="F",$AD118="V"),AR118,IF(AND($AD115="V",$AD118="V"),AR115+AR118,0)))</f>
        <v>60</v>
      </c>
      <c r="AS119" s="2097">
        <f>IF(AND($AF115="V",$AF118="F"),AS115,IF(AND($AF115="F",$AF118="V"),AS118,IF(AND($AF115="V",$AF118="V"),AS115+AS118,0)))</f>
        <v>8</v>
      </c>
      <c r="AT119" s="2097">
        <f>IF(AND($AF115="V",$AF118="F"),AT115,IF(AND($AF115="F",$AF118="V"),AT118,IF(AND($AF115="V",$AF118="V"),AT115+AT118,0)))</f>
        <v>14</v>
      </c>
      <c r="AU119" s="2097"/>
      <c r="AV119" s="2097"/>
      <c r="BD119" s="816"/>
      <c r="BE119" s="110"/>
      <c r="BF119" s="477"/>
      <c r="BG119" s="113"/>
      <c r="BH119" s="481"/>
      <c r="BI119" s="113"/>
      <c r="BJ119" s="482"/>
      <c r="BK119" s="478"/>
    </row>
    <row r="120" spans="2:63" ht="32" customHeight="1" x14ac:dyDescent="0.2">
      <c r="B120" s="2030"/>
      <c r="C120" t="s">
        <v>243</v>
      </c>
      <c r="I120" s="146"/>
      <c r="L120" s="46"/>
      <c r="M120" s="46"/>
      <c r="N120" s="46"/>
      <c r="O120" s="1652"/>
      <c r="P120" s="146"/>
      <c r="R120" s="326"/>
      <c r="S120" s="146"/>
      <c r="U120" s="326"/>
      <c r="V120" s="46"/>
      <c r="X120" s="1394"/>
      <c r="Z120" s="1398"/>
      <c r="AB120" s="1402"/>
      <c r="AD120" s="960"/>
      <c r="AE120" s="961"/>
      <c r="AF120" s="960"/>
      <c r="AG120" s="961"/>
      <c r="AH120" s="960"/>
      <c r="AI120" s="961"/>
      <c r="AK120" s="10"/>
      <c r="AL120" s="10"/>
      <c r="AM120" s="10"/>
      <c r="AN120" s="975"/>
      <c r="AO120" s="975"/>
      <c r="AP120" s="975"/>
      <c r="AQ120" s="1806"/>
      <c r="AR120" s="1806"/>
      <c r="AS120" s="1806"/>
      <c r="AT120" s="1806"/>
      <c r="AU120" s="1806"/>
      <c r="AV120" s="1806"/>
      <c r="BD120" s="816"/>
      <c r="BE120" s="110"/>
      <c r="BF120" s="477"/>
      <c r="BG120" s="113"/>
      <c r="BH120" s="481"/>
      <c r="BI120" s="113"/>
      <c r="BJ120" s="482"/>
      <c r="BK120" s="478"/>
    </row>
    <row r="121" spans="2:63" ht="32" customHeight="1" x14ac:dyDescent="0.2">
      <c r="B121" s="2030"/>
      <c r="C121" s="964"/>
      <c r="D121" s="972"/>
      <c r="E121" s="965"/>
      <c r="F121" s="973"/>
      <c r="G121" s="973"/>
      <c r="H121" s="973">
        <f>F121*G121</f>
        <v>0</v>
      </c>
      <c r="I121" s="1647">
        <v>11</v>
      </c>
      <c r="J121" s="1648">
        <v>11</v>
      </c>
      <c r="K121" s="45" t="b">
        <f>IF(AND(F121&gt;=I121,F121&lt;=J121),TRUE,FALSE)</f>
        <v>0</v>
      </c>
      <c r="L121" s="32"/>
      <c r="M121" s="32"/>
      <c r="N121" s="32"/>
      <c r="O121" s="1632"/>
      <c r="P121" s="1647">
        <v>11</v>
      </c>
      <c r="Q121" s="1648">
        <v>11</v>
      </c>
      <c r="R121" s="1623" t="b">
        <f>IF(AND(F121&gt;=P121,F121&lt;=Q121),TRUE,FALSE)</f>
        <v>0</v>
      </c>
      <c r="S121" s="1647">
        <v>11</v>
      </c>
      <c r="T121" s="1648">
        <v>11</v>
      </c>
      <c r="U121" s="1623" t="b">
        <f>IF(AND(F121&gt;=S121,F121&lt;=T121),TRUE,FALSE)</f>
        <v>0</v>
      </c>
      <c r="V121" s="46"/>
      <c r="W121" s="1428"/>
      <c r="X121" s="1422">
        <v>11</v>
      </c>
      <c r="Y121" s="1423"/>
      <c r="Z121" s="1424">
        <v>11</v>
      </c>
      <c r="AA121" s="1423"/>
      <c r="AB121" s="1416">
        <v>11</v>
      </c>
      <c r="AD121" s="960"/>
      <c r="AE121" s="961"/>
      <c r="AF121" s="960"/>
      <c r="AG121" s="961"/>
      <c r="AH121" s="960"/>
      <c r="AI121" s="961"/>
      <c r="AK121" s="10"/>
      <c r="AL121" s="10"/>
      <c r="AM121" s="10"/>
      <c r="AN121" s="975">
        <f>IF($K121=TRUE,H121,0)</f>
        <v>0</v>
      </c>
      <c r="AO121" s="975">
        <f>IF($R121=TRUE,H121,0)</f>
        <v>0</v>
      </c>
      <c r="AP121" s="975">
        <f>IF($U121=TRUE,H121,0)</f>
        <v>0</v>
      </c>
      <c r="AQ121" s="1806">
        <f>IF(I121=11,0,G121*I121)</f>
        <v>0</v>
      </c>
      <c r="AR121" s="1806">
        <f>IF(J121=11,0,G121*J121)</f>
        <v>0</v>
      </c>
      <c r="AS121" s="1806">
        <f>IF(P121=11,0,G121*P121)</f>
        <v>0</v>
      </c>
      <c r="AT121" s="1806">
        <f>IF(Q121=11,0,G121*Q121)</f>
        <v>0</v>
      </c>
      <c r="AU121" s="1806">
        <f>IF(S121=11,0,S121*G121)</f>
        <v>0</v>
      </c>
      <c r="AV121" s="1806">
        <f>IF(T121=11,0,T121*G121)</f>
        <v>0</v>
      </c>
      <c r="BD121" s="816"/>
      <c r="BE121" s="110"/>
      <c r="BF121" s="477"/>
      <c r="BG121" s="113"/>
      <c r="BH121" s="481"/>
      <c r="BI121" s="113"/>
      <c r="BJ121" s="482"/>
      <c r="BK121" s="478"/>
    </row>
    <row r="122" spans="2:63" ht="32" customHeight="1" thickBot="1" x14ac:dyDescent="0.25">
      <c r="B122" s="2030"/>
      <c r="C122" s="964"/>
      <c r="D122" s="972"/>
      <c r="E122" s="965"/>
      <c r="F122" s="973"/>
      <c r="G122" s="973"/>
      <c r="H122" s="973">
        <f>F122*G122</f>
        <v>0</v>
      </c>
      <c r="I122" s="1647">
        <v>11</v>
      </c>
      <c r="J122" s="1648">
        <v>11</v>
      </c>
      <c r="K122" s="45" t="b">
        <f>IF(AND(F122&gt;=I122,F122&lt;=J122),TRUE,FALSE)</f>
        <v>0</v>
      </c>
      <c r="L122" s="32"/>
      <c r="M122" s="32"/>
      <c r="N122" s="32"/>
      <c r="O122" s="1632"/>
      <c r="P122" s="1647">
        <v>11</v>
      </c>
      <c r="Q122" s="1648">
        <v>11</v>
      </c>
      <c r="R122" s="1623" t="b">
        <f>IF(AND(F122&gt;=P122,F122&lt;=Q122),TRUE,FALSE)</f>
        <v>0</v>
      </c>
      <c r="S122" s="1647">
        <v>11</v>
      </c>
      <c r="T122" s="1648">
        <v>11</v>
      </c>
      <c r="U122" s="1623" t="b">
        <f>IF(AND(F122&gt;=S122,F122&lt;=T122),TRUE,FALSE)</f>
        <v>0</v>
      </c>
      <c r="W122" s="1429"/>
      <c r="X122" s="1425">
        <v>11</v>
      </c>
      <c r="Y122" s="1426"/>
      <c r="Z122" s="1427">
        <v>11</v>
      </c>
      <c r="AA122" s="1426"/>
      <c r="AB122" s="1421">
        <v>11</v>
      </c>
      <c r="AD122" s="960"/>
      <c r="AE122" s="961"/>
      <c r="AF122" s="960"/>
      <c r="AG122" s="961"/>
      <c r="AH122" s="960"/>
      <c r="AI122" s="961"/>
      <c r="AK122" s="10"/>
      <c r="AL122" s="10"/>
      <c r="AM122" s="10"/>
      <c r="AN122" s="975">
        <f>IF($K122=TRUE,H122,0)</f>
        <v>0</v>
      </c>
      <c r="AO122" s="975">
        <f>IF($R122=TRUE,H122,0)</f>
        <v>0</v>
      </c>
      <c r="AP122" s="975">
        <f>IF($U122=TRUE,H122,0)</f>
        <v>0</v>
      </c>
      <c r="AQ122" s="1806">
        <f>IF(I122=11,0,G122*I122)</f>
        <v>0</v>
      </c>
      <c r="AR122" s="1806">
        <f>IF(J122=11,0,G122*J122)</f>
        <v>0</v>
      </c>
      <c r="AS122" s="1806">
        <f>IF(P122=11,0,G122*P122)</f>
        <v>0</v>
      </c>
      <c r="AT122" s="1806">
        <f>IF(Q122=11,0,G122*Q122)</f>
        <v>0</v>
      </c>
      <c r="AU122" s="1806">
        <f>IF(S122=11,0,S122*G122)</f>
        <v>0</v>
      </c>
      <c r="AV122" s="1806">
        <f>IF(T122=11,0,T122*G122)</f>
        <v>0</v>
      </c>
      <c r="BD122" s="816"/>
      <c r="BE122" s="110"/>
      <c r="BF122" s="477"/>
      <c r="BG122" s="113"/>
      <c r="BH122" s="481"/>
      <c r="BI122" s="113"/>
      <c r="BJ122" s="482"/>
      <c r="BK122" s="478"/>
    </row>
    <row r="123" spans="2:63" ht="32" customHeight="1" thickBot="1" x14ac:dyDescent="0.35">
      <c r="D123" s="16"/>
      <c r="E123" s="16"/>
      <c r="F123" s="89"/>
      <c r="G123" s="473"/>
      <c r="H123" s="47">
        <f>IF(AND(K121=TRUE,K122=FALSE),H121,IF(AND(K121=FALSE,K122=TRUE),H122,MAX(H121,H122)))</f>
        <v>0</v>
      </c>
      <c r="I123" s="1644"/>
      <c r="J123" s="1645"/>
      <c r="K123" s="1651" t="b">
        <f>IF(AND(K121=FALSE,K122=FALSE),FALSE,TRUE)</f>
        <v>0</v>
      </c>
      <c r="L123" s="1633"/>
      <c r="M123" s="1634"/>
      <c r="N123" s="1634"/>
      <c r="O123" s="1635"/>
      <c r="P123" s="1644"/>
      <c r="Q123" s="1645"/>
      <c r="R123" s="1651" t="b">
        <f>IF(AND(R121=FALSE,R122=FALSE),FALSE,TRUE)</f>
        <v>0</v>
      </c>
      <c r="S123" s="1656"/>
      <c r="T123" s="1657"/>
      <c r="U123" s="1658" t="b">
        <f>IF(AND(U121=FALSE,U122=FALSE),FALSE,TRUE)</f>
        <v>0</v>
      </c>
      <c r="V123" s="170"/>
      <c r="AD123" s="1564" t="str">
        <f>IF(K123=TRUE,"V","F")</f>
        <v>F</v>
      </c>
      <c r="AE123" s="1565"/>
      <c r="AF123" s="1564" t="str">
        <f>IF(R123=TRUE,"V","F")</f>
        <v>F</v>
      </c>
      <c r="AG123" s="1565"/>
      <c r="AH123" s="1564" t="str">
        <f>IF(U123=TRUE,"V","F")</f>
        <v>F</v>
      </c>
      <c r="AI123" s="1565"/>
      <c r="AK123" s="10"/>
      <c r="AL123" s="10"/>
      <c r="AM123" s="10"/>
      <c r="AN123" s="2102">
        <f>IF(AND($K121=TRUE,$K122=FALSE),AN121,IF(AND($K121=FALSE,$K122=TRUE),AN122,MAX(AN121,AN122)))</f>
        <v>0</v>
      </c>
      <c r="AO123" s="2102">
        <f>IF(AND($R121=TRUE,$R122=FALSE),AO121,IF(AND($R121=FALSE,$R122=TRUE),AO122,MAX(AO121,AO122)))</f>
        <v>0</v>
      </c>
      <c r="AP123" s="2102">
        <f>IF(AND($U121=TRUE,$U122=FALSE),AP121,IF(AND($U121=FALSE,$U122=TRUE),AP122,MAX(AP121,AP122)))</f>
        <v>0</v>
      </c>
      <c r="AQ123" s="2102">
        <f>IF(AND($K121=TRUE,$K122=FALSE),AQ121,IF(AND($K121=FALSE,$K122=TRUE),AQ122,MAX(AQ121,AQ122)))</f>
        <v>0</v>
      </c>
      <c r="AR123" s="2102">
        <f>IF(AND($K121=TRUE,$K122=FALSE),AR121,IF(AND($K121=FALSE,$K122=TRUE),AR122,MAX(AR121,AR122)))</f>
        <v>0</v>
      </c>
      <c r="AS123" s="2102">
        <f>IF(AND($R121=TRUE,$R122=FALSE),AS121,IF(AND($R121=FALSE,$R122=TRUE),AS122,MAX(AS121,AS122)))</f>
        <v>0</v>
      </c>
      <c r="AT123" s="2102">
        <f>IF(AND($R121=TRUE,$R122=FALSE),AT121,IF(AND($R121=FALSE,$R122=TRUE),AT122,MAX(AT121,AT122)))</f>
        <v>0</v>
      </c>
      <c r="AU123" s="2102">
        <f>IF(AND($U121=TRUE,$U122=FALSE),AU121,IF(AND($U121=FALSE,$U122=TRUE),AU122,MAX(AU121,AU122)))</f>
        <v>0</v>
      </c>
      <c r="AV123" s="2102">
        <f>IF(AND($U121=TRUE,$U122=FALSE),AV121,IF(AND($U121=FALSE,$U122=TRUE),AV122,MAX(AV121,AV122)))</f>
        <v>0</v>
      </c>
      <c r="BD123" s="816"/>
      <c r="BE123" s="110"/>
      <c r="BF123" s="477"/>
      <c r="BG123" s="113"/>
      <c r="BH123" s="481"/>
      <c r="BI123" s="113"/>
      <c r="BJ123" s="482"/>
      <c r="BK123" s="478"/>
    </row>
    <row r="124" spans="2:63" ht="32" customHeight="1" thickBot="1" x14ac:dyDescent="0.35">
      <c r="D124" s="16"/>
      <c r="E124" s="16"/>
      <c r="F124" s="89"/>
      <c r="G124" s="473"/>
      <c r="H124" s="473"/>
      <c r="I124" s="8"/>
      <c r="J124" s="8"/>
      <c r="K124" s="80"/>
      <c r="L124" s="170"/>
      <c r="M124" s="170"/>
      <c r="N124" s="170"/>
      <c r="O124" s="170"/>
      <c r="P124" s="170"/>
      <c r="Q124" s="170"/>
      <c r="R124" s="170"/>
      <c r="S124" s="170"/>
      <c r="T124" s="170"/>
      <c r="U124" s="170"/>
      <c r="V124" s="170"/>
      <c r="AD124" s="1649"/>
      <c r="AE124" s="1650">
        <f>IF(AND(AD123="V",AD115="V"),AE119-1,AE119)</f>
        <v>2</v>
      </c>
      <c r="AF124" s="1649"/>
      <c r="AG124" s="1650">
        <f>IF(OR(AF115="V",AF118="V",AF123="V"),1,0)</f>
        <v>1</v>
      </c>
      <c r="AH124" s="1649"/>
      <c r="AI124" s="1650">
        <f>IF(AH115="V",1,IF(AH123="V",1,0))</f>
        <v>0</v>
      </c>
      <c r="AK124" s="10">
        <v>1</v>
      </c>
      <c r="AL124" s="10">
        <v>1</v>
      </c>
      <c r="AM124" s="10"/>
      <c r="AN124" s="2101">
        <f>IF($AD123="F",AN119,AN119+AN123)</f>
        <v>42</v>
      </c>
      <c r="AO124" s="2101">
        <f>IF($AF123="F",AO119,AO119+AO123)</f>
        <v>14</v>
      </c>
      <c r="AP124" s="2101">
        <f>IF(AND($AH115="V",$AH123="F"),AP115,IF(AND($AH115="F",$AH123="V"),AP123,IF(AND($AH115="V",$AH123="V"),AP115+AP123,0)))</f>
        <v>0</v>
      </c>
      <c r="AQ124" s="2101">
        <f>IF($AD123="F",AQ119,AQ119+AQ123)</f>
        <v>14</v>
      </c>
      <c r="AR124" s="2101">
        <f t="shared" ref="AR124" si="91">IF($AD123="F",AR119,AR119+AR123)</f>
        <v>60</v>
      </c>
      <c r="AS124" s="2101">
        <f t="shared" ref="AS124" si="92">IF($AF123="F",AS119,AS119+AS123)</f>
        <v>8</v>
      </c>
      <c r="AT124" s="2101">
        <f t="shared" ref="AT124" si="93">IF($AF123="F",AT119,AT119+AT123)</f>
        <v>14</v>
      </c>
      <c r="AU124" s="2101">
        <f t="shared" ref="AU124" si="94">IF(AND($AH115="V",$AH123="F"),AU115,IF(AND($AH115="F",$AH123="V"),AU123,IF(AND($AH115="V",$AH123="V"),AU115+AU123,0)))</f>
        <v>0</v>
      </c>
      <c r="AV124" s="2101">
        <f t="shared" ref="AV124" si="95">IF(AND($AH115="V",$AH123="F"),AV115,IF(AND($AH115="F",$AH123="V"),AV123,IF(AND($AH115="V",$AH123="V"),AV115+AV123,0)))</f>
        <v>0</v>
      </c>
      <c r="BD124" s="816"/>
      <c r="BE124" s="110"/>
      <c r="BF124" s="477"/>
      <c r="BG124" s="113"/>
      <c r="BH124" s="481"/>
      <c r="BI124" s="113"/>
      <c r="BJ124" s="482"/>
      <c r="BK124" s="478"/>
    </row>
    <row r="125" spans="2:63" ht="32" customHeight="1" x14ac:dyDescent="0.3">
      <c r="D125" s="16"/>
      <c r="E125" s="16"/>
      <c r="F125" s="89"/>
      <c r="G125" s="473"/>
      <c r="H125" s="473"/>
      <c r="I125" s="2270" t="s">
        <v>1395</v>
      </c>
      <c r="J125" s="2271"/>
      <c r="K125" s="2272"/>
      <c r="L125" s="2268"/>
      <c r="M125" s="2268"/>
      <c r="N125" s="2268"/>
      <c r="O125" s="1619"/>
      <c r="P125" s="2273" t="s">
        <v>1394</v>
      </c>
      <c r="Q125" s="2274"/>
      <c r="R125" s="2275"/>
      <c r="S125" s="1678" t="s">
        <v>1393</v>
      </c>
      <c r="T125" s="1618"/>
      <c r="U125" s="1619"/>
      <c r="V125" s="170"/>
      <c r="AD125" s="1668"/>
      <c r="AE125" s="1669"/>
      <c r="AF125" s="1409"/>
      <c r="AG125" s="1409"/>
      <c r="AH125" s="1409"/>
      <c r="AI125" s="1409"/>
      <c r="AK125" s="10"/>
      <c r="AL125" s="10"/>
      <c r="AM125" s="10"/>
      <c r="BD125" s="816"/>
      <c r="BE125" s="110"/>
      <c r="BF125" s="477"/>
      <c r="BG125" s="113"/>
      <c r="BH125" s="481"/>
      <c r="BI125" s="113"/>
      <c r="BJ125" s="482"/>
      <c r="BK125" s="478"/>
    </row>
    <row r="126" spans="2:63" ht="32" customHeight="1" x14ac:dyDescent="0.3">
      <c r="B126" s="2029">
        <v>6</v>
      </c>
      <c r="D126" s="476" t="s">
        <v>712</v>
      </c>
      <c r="E126" s="107"/>
      <c r="F126" s="65"/>
      <c r="G126" s="18"/>
      <c r="H126" s="18"/>
      <c r="I126" s="2255" t="s">
        <v>734</v>
      </c>
      <c r="J126" s="2256"/>
      <c r="K126" s="2256"/>
      <c r="L126" s="2257" t="s">
        <v>1378</v>
      </c>
      <c r="M126" s="2257"/>
      <c r="N126" s="2257"/>
      <c r="O126" s="2258"/>
      <c r="P126" s="2259" t="s">
        <v>733</v>
      </c>
      <c r="Q126" s="2260"/>
      <c r="R126" s="2261"/>
      <c r="S126" s="2262" t="s">
        <v>735</v>
      </c>
      <c r="T126" s="2263"/>
      <c r="U126" s="2264"/>
      <c r="V126" s="15"/>
      <c r="W126" s="15"/>
      <c r="AD126" s="956"/>
      <c r="AE126" s="956"/>
      <c r="AF126" s="956"/>
      <c r="AG126" s="956"/>
      <c r="AH126" s="956"/>
      <c r="AI126" s="957"/>
      <c r="AK126" s="10"/>
      <c r="AL126" s="10"/>
      <c r="AM126" s="10"/>
      <c r="BD126" s="816"/>
      <c r="BE126" s="110"/>
      <c r="BF126" s="477"/>
      <c r="BG126" s="113"/>
      <c r="BH126" s="481"/>
      <c r="BI126" s="113"/>
      <c r="BJ126" s="482"/>
      <c r="BK126" s="478"/>
    </row>
    <row r="127" spans="2:63" ht="32" customHeight="1" x14ac:dyDescent="0.2">
      <c r="B127" s="2030"/>
      <c r="D127" s="102" t="s">
        <v>998</v>
      </c>
      <c r="E127" s="983" t="s">
        <v>997</v>
      </c>
      <c r="F127" s="32" t="s">
        <v>748</v>
      </c>
      <c r="G127" s="32" t="s">
        <v>749</v>
      </c>
      <c r="H127" s="32" t="s">
        <v>750</v>
      </c>
      <c r="I127" s="1620" t="s">
        <v>306</v>
      </c>
      <c r="J127" s="43" t="s">
        <v>307</v>
      </c>
      <c r="K127" s="43" t="s">
        <v>308</v>
      </c>
      <c r="L127" s="43" t="s">
        <v>413</v>
      </c>
      <c r="M127" s="43" t="s">
        <v>388</v>
      </c>
      <c r="N127" s="43" t="s">
        <v>389</v>
      </c>
      <c r="O127" s="1621" t="s">
        <v>390</v>
      </c>
      <c r="P127" s="1620" t="s">
        <v>306</v>
      </c>
      <c r="Q127" s="43" t="s">
        <v>307</v>
      </c>
      <c r="R127" s="1621" t="s">
        <v>308</v>
      </c>
      <c r="S127" s="1620" t="s">
        <v>306</v>
      </c>
      <c r="T127" s="43" t="s">
        <v>307</v>
      </c>
      <c r="U127" s="1621" t="s">
        <v>308</v>
      </c>
      <c r="V127" s="818"/>
      <c r="W127" s="955" t="s">
        <v>928</v>
      </c>
      <c r="X127" s="1391" t="s">
        <v>734</v>
      </c>
      <c r="Y127" s="955" t="s">
        <v>928</v>
      </c>
      <c r="Z127" s="1395" t="s">
        <v>733</v>
      </c>
      <c r="AA127" s="955" t="s">
        <v>928</v>
      </c>
      <c r="AB127" s="1399" t="s">
        <v>735</v>
      </c>
      <c r="AD127" s="970" t="s">
        <v>734</v>
      </c>
      <c r="AE127" s="971" t="s">
        <v>946</v>
      </c>
      <c r="AF127" s="970" t="s">
        <v>733</v>
      </c>
      <c r="AG127" s="971" t="s">
        <v>947</v>
      </c>
      <c r="AH127" s="970" t="s">
        <v>735</v>
      </c>
      <c r="AI127" s="971" t="s">
        <v>948</v>
      </c>
      <c r="AK127" s="10"/>
      <c r="AL127" s="10"/>
      <c r="AM127" s="10"/>
      <c r="BD127" s="816"/>
      <c r="BE127" s="110"/>
      <c r="BF127" s="477"/>
      <c r="BG127" s="113"/>
      <c r="BH127" s="481"/>
      <c r="BI127" s="113"/>
      <c r="BJ127" s="482"/>
      <c r="BK127" s="478"/>
    </row>
    <row r="128" spans="2:63" ht="32" customHeight="1" x14ac:dyDescent="0.2">
      <c r="B128" s="1847" t="str">
        <f>'Action-Réaction finale'!I21</f>
        <v>C: Chantage affectif, loyauté, manipulation</v>
      </c>
      <c r="C128" s="414" t="str">
        <f>'Action-Réaction finale'!G21</f>
        <v>PFA07</v>
      </c>
      <c r="D128" s="26" t="str">
        <f>Test_Bible!B177</f>
        <v>L’autre parent culpabilise votre enfant de sa relation ou de son amour pour vous.</v>
      </c>
      <c r="E128" s="101" t="s">
        <v>761</v>
      </c>
      <c r="F128" s="790">
        <f>Test_Bible!P177</f>
        <v>1</v>
      </c>
      <c r="G128" s="789">
        <f>Test_Bible!D177</f>
        <v>1</v>
      </c>
      <c r="H128" s="790">
        <f t="shared" ref="H128:H130" si="96">F128*G128</f>
        <v>1</v>
      </c>
      <c r="I128" s="1622">
        <v>4</v>
      </c>
      <c r="J128" s="1615">
        <v>10</v>
      </c>
      <c r="K128" s="45" t="b">
        <f>IF(AND(F128&gt;=I128,F128&lt;=J128),TRUE,FALSE)</f>
        <v>0</v>
      </c>
      <c r="L128" s="45"/>
      <c r="M128" s="45"/>
      <c r="N128" s="45"/>
      <c r="O128" s="1623"/>
      <c r="P128" s="1622">
        <v>2</v>
      </c>
      <c r="Q128" s="1615">
        <v>10</v>
      </c>
      <c r="R128" s="1623" t="b">
        <f>IF(AND(F128&gt;=P128,F128&lt;=Q128),TRUE,FALSE)</f>
        <v>0</v>
      </c>
      <c r="S128" s="1647">
        <v>11</v>
      </c>
      <c r="T128" s="1648">
        <v>11</v>
      </c>
      <c r="U128" s="1623" t="b">
        <f>IF(AND(F128&gt;=S128,F128&lt;=T128),TRUE,FALSE)</f>
        <v>0</v>
      </c>
      <c r="V128" s="1593"/>
      <c r="W128" s="1403"/>
      <c r="X128" s="1404">
        <v>4</v>
      </c>
      <c r="Y128" s="1405"/>
      <c r="Z128" s="1408">
        <v>2</v>
      </c>
      <c r="AA128" s="1405"/>
      <c r="AB128" s="1416">
        <v>11</v>
      </c>
      <c r="AD128" s="958"/>
      <c r="AE128" s="959"/>
      <c r="AF128" s="958"/>
      <c r="AG128" s="959"/>
      <c r="AH128" s="958"/>
      <c r="AI128" s="959"/>
      <c r="AK128" s="10"/>
      <c r="AL128" s="10"/>
      <c r="AM128" s="10"/>
      <c r="AN128" s="975">
        <f>IF($K128=TRUE,H128,0)</f>
        <v>0</v>
      </c>
      <c r="AO128" s="975">
        <f>IF($R128=TRUE,H128,0)</f>
        <v>0</v>
      </c>
      <c r="AP128" s="975">
        <f>IF($U128=TRUE,H128,0)</f>
        <v>0</v>
      </c>
      <c r="AQ128" s="1806">
        <f>IF(I128=11,0,G128*I128)</f>
        <v>4</v>
      </c>
      <c r="AR128" s="1806">
        <f>IF(J128=11,0,G128*J128)</f>
        <v>10</v>
      </c>
      <c r="AS128" s="1806">
        <f>IF(P128=11,0,G128*P128)</f>
        <v>2</v>
      </c>
      <c r="AT128" s="1806">
        <f>IF(Q128=11,0,G128*Q128)</f>
        <v>10</v>
      </c>
      <c r="AU128" s="1806">
        <f>IF(S128=11,0,S128*G128)</f>
        <v>0</v>
      </c>
      <c r="AV128" s="1806">
        <f>IF(T128=11,0,T128*G128)</f>
        <v>0</v>
      </c>
      <c r="BD128" s="816"/>
      <c r="BE128" s="110"/>
      <c r="BF128" s="477"/>
      <c r="BG128" s="113"/>
      <c r="BH128" s="481"/>
      <c r="BI128" s="113"/>
      <c r="BJ128" s="482"/>
      <c r="BK128" s="478"/>
    </row>
    <row r="129" spans="2:63" ht="32" customHeight="1" x14ac:dyDescent="0.2">
      <c r="B129" s="1847" t="str">
        <f>'Action-Réaction finale'!I22</f>
        <v>C: Chantage affectif, loyauté, manipulation</v>
      </c>
      <c r="C129" s="414" t="str">
        <f>'Action-Réaction finale'!G22</f>
        <v>PFA07a</v>
      </c>
      <c r="D129" s="767" t="str">
        <f>Test_Bible!B178</f>
        <v/>
      </c>
      <c r="E129" s="101" t="s">
        <v>762</v>
      </c>
      <c r="F129" s="790">
        <f>Test_Bible!P178</f>
        <v>0</v>
      </c>
      <c r="G129" s="789">
        <f>Test_Bible!D178</f>
        <v>2</v>
      </c>
      <c r="H129" s="790">
        <f t="shared" si="96"/>
        <v>0</v>
      </c>
      <c r="I129" s="1622">
        <v>4</v>
      </c>
      <c r="J129" s="1615">
        <v>10</v>
      </c>
      <c r="K129" s="45" t="b">
        <f>IF(AND(F129&gt;=I129,F129&lt;=J129),TRUE,FALSE)</f>
        <v>0</v>
      </c>
      <c r="L129" s="45"/>
      <c r="M129" s="45"/>
      <c r="N129" s="45"/>
      <c r="O129" s="1623"/>
      <c r="P129" s="1622">
        <v>2</v>
      </c>
      <c r="Q129" s="1615">
        <v>10</v>
      </c>
      <c r="R129" s="1623" t="b">
        <f>IF(AND(F129&gt;=P129,F129&lt;=Q129),TRUE,FALSE)</f>
        <v>0</v>
      </c>
      <c r="S129" s="1647">
        <v>11</v>
      </c>
      <c r="T129" s="1648">
        <v>11</v>
      </c>
      <c r="U129" s="1623" t="b">
        <f>IF(AND(F129&gt;=S129,F129&lt;=T129),TRUE,FALSE)</f>
        <v>0</v>
      </c>
      <c r="V129" s="931"/>
      <c r="W129" s="1410"/>
      <c r="X129" s="1392">
        <v>4</v>
      </c>
      <c r="Y129" s="8"/>
      <c r="Z129" s="1397">
        <v>2</v>
      </c>
      <c r="AA129" s="8"/>
      <c r="AB129" s="1432">
        <v>11</v>
      </c>
      <c r="AD129" s="960"/>
      <c r="AE129" s="961"/>
      <c r="AF129" s="960"/>
      <c r="AG129" s="961"/>
      <c r="AH129" s="960"/>
      <c r="AI129" s="961"/>
      <c r="AK129" s="10"/>
      <c r="AL129" s="10"/>
      <c r="AM129" s="10"/>
      <c r="AN129" s="975">
        <f>IF($K129=TRUE,H129,0)</f>
        <v>0</v>
      </c>
      <c r="AO129" s="975">
        <f>IF($R129=TRUE,H129,0)</f>
        <v>0</v>
      </c>
      <c r="AP129" s="975">
        <f>IF($U129=TRUE,H129,0)</f>
        <v>0</v>
      </c>
      <c r="AQ129" s="1806">
        <f>IF(I129=11,0,G129*I129)</f>
        <v>8</v>
      </c>
      <c r="AR129" s="1806">
        <f>IF(J129=11,0,G129*J129)</f>
        <v>20</v>
      </c>
      <c r="AS129" s="1806">
        <f>IF(P129=11,0,G129*P129)</f>
        <v>4</v>
      </c>
      <c r="AT129" s="1806">
        <f>IF(Q129=11,0,G129*Q129)</f>
        <v>20</v>
      </c>
      <c r="AU129" s="1806">
        <f>IF(S129=11,0,S129*G129)</f>
        <v>0</v>
      </c>
      <c r="AV129" s="1806">
        <f>IF(T129=11,0,T129*G129)</f>
        <v>0</v>
      </c>
      <c r="BD129" s="816"/>
      <c r="BE129" s="110"/>
      <c r="BF129" s="477"/>
      <c r="BG129" s="113"/>
      <c r="BH129" s="481"/>
      <c r="BI129" s="113"/>
      <c r="BJ129" s="482"/>
      <c r="BK129" s="478"/>
    </row>
    <row r="130" spans="2:63" ht="32" customHeight="1" x14ac:dyDescent="0.2">
      <c r="B130" s="1847" t="str">
        <f>'Action-Réaction finale'!I23</f>
        <v>C: Chantage affectif, loyauté, manipulation</v>
      </c>
      <c r="C130" s="414" t="str">
        <f>'Action-Réaction finale'!G23</f>
        <v>PFA07a1</v>
      </c>
      <c r="D130" s="767" t="str">
        <f>Test_Bible!B179</f>
        <v/>
      </c>
      <c r="E130" s="101" t="s">
        <v>763</v>
      </c>
      <c r="F130" s="790">
        <f>Test_Bible!P179</f>
        <v>0</v>
      </c>
      <c r="G130" s="789">
        <f>Test_Bible!D179</f>
        <v>3</v>
      </c>
      <c r="H130" s="790">
        <f t="shared" si="96"/>
        <v>0</v>
      </c>
      <c r="I130" s="1622">
        <v>2</v>
      </c>
      <c r="J130" s="1615">
        <v>10</v>
      </c>
      <c r="K130" s="45" t="b">
        <f>IF(AND(F130&gt;=I130,F130&lt;=J130),TRUE,FALSE)</f>
        <v>0</v>
      </c>
      <c r="L130" s="45"/>
      <c r="M130" s="45"/>
      <c r="N130" s="45"/>
      <c r="O130" s="1623"/>
      <c r="P130" s="1622">
        <v>2</v>
      </c>
      <c r="Q130" s="1615">
        <v>10</v>
      </c>
      <c r="R130" s="1623" t="b">
        <f>IF(AND(F130&gt;=P130,F130&lt;=Q130),TRUE,FALSE)</f>
        <v>0</v>
      </c>
      <c r="S130" s="1647">
        <v>11</v>
      </c>
      <c r="T130" s="1648">
        <v>11</v>
      </c>
      <c r="U130" s="1623" t="b">
        <f>IF(AND(F130&gt;=S130,F130&lt;=T130),TRUE,FALSE)</f>
        <v>0</v>
      </c>
      <c r="V130" s="931"/>
      <c r="W130" s="1406" t="s">
        <v>943</v>
      </c>
      <c r="X130" s="1411">
        <v>2</v>
      </c>
      <c r="Y130" s="1412"/>
      <c r="Z130" s="1427">
        <v>11</v>
      </c>
      <c r="AA130" s="1412"/>
      <c r="AB130" s="1421">
        <v>11</v>
      </c>
      <c r="AD130" s="960"/>
      <c r="AE130" s="961"/>
      <c r="AF130" s="960"/>
      <c r="AG130" s="961"/>
      <c r="AH130" s="960"/>
      <c r="AI130" s="961"/>
      <c r="AK130" s="10"/>
      <c r="AL130" s="10"/>
      <c r="AM130" s="10"/>
      <c r="AN130" s="975">
        <f>IF($K130=TRUE,H130,0)</f>
        <v>0</v>
      </c>
      <c r="AO130" s="975">
        <f>IF($R130=TRUE,H130,0)</f>
        <v>0</v>
      </c>
      <c r="AP130" s="975">
        <f>IF($U130=TRUE,H130,0)</f>
        <v>0</v>
      </c>
      <c r="AQ130" s="1806">
        <f>IF(I130=11,0,G130*I130)</f>
        <v>6</v>
      </c>
      <c r="AR130" s="1806">
        <f>IF(J130=11,0,G130*J130)</f>
        <v>30</v>
      </c>
      <c r="AS130" s="1806">
        <f>IF(P130=11,0,G130*P130)</f>
        <v>6</v>
      </c>
      <c r="AT130" s="1806">
        <f>IF(Q130=11,0,G130*Q130)</f>
        <v>30</v>
      </c>
      <c r="AU130" s="1806">
        <f>IF(S130=11,0,S130*G130)</f>
        <v>0</v>
      </c>
      <c r="AV130" s="1806">
        <f>IF(T130=11,0,T130*G130)</f>
        <v>0</v>
      </c>
      <c r="BD130" s="816"/>
      <c r="BE130" s="110"/>
      <c r="BF130" s="477"/>
      <c r="BG130" s="113"/>
      <c r="BH130" s="481"/>
      <c r="BI130" s="113"/>
      <c r="BJ130" s="482"/>
      <c r="BK130" s="478"/>
    </row>
    <row r="131" spans="2:63" ht="32" customHeight="1" x14ac:dyDescent="0.2">
      <c r="B131" s="2030"/>
      <c r="C131" s="792" t="s">
        <v>745</v>
      </c>
      <c r="D131" s="793" t="str">
        <f>_xlfn.XLOOKUP(H131,H128:H130,D128:D130)</f>
        <v>L’autre parent culpabilise votre enfant de sa relation ou de son amour pour vous.</v>
      </c>
      <c r="E131" s="794" t="str">
        <f>_xlfn.XLOOKUP(H131,H128:H130,E128:E130)</f>
        <v>culpabilise l'enfant pour son amour pour vous</v>
      </c>
      <c r="F131" s="795"/>
      <c r="G131" s="795"/>
      <c r="H131" s="795">
        <f>IF(AND(K128=TRUE,K129=FALSE,K130=FALSE),H128,IF(AND(K128=FALSE,K129=TRUE,K130=FALSE),H129,IF(AND(K128=FALSE,K129=FALSE,K130=TRUE),H130,IF(AND(K128=TRUE,K129=TRUE,K130=TRUE),H128+H129+H130,MAX(H128:H130)))))</f>
        <v>1</v>
      </c>
      <c r="I131" s="796"/>
      <c r="J131" s="796"/>
      <c r="K131" s="797" t="b">
        <f>IF(AND(K128=FALSE,K129=FALSE,K130=FALSE),FALSE,TRUE)</f>
        <v>0</v>
      </c>
      <c r="L131" s="45"/>
      <c r="M131" s="45"/>
      <c r="N131" s="45"/>
      <c r="O131" s="1623"/>
      <c r="P131" s="1624"/>
      <c r="Q131" s="796"/>
      <c r="R131" s="797" t="b">
        <f>IF(AND(R128=FALSE,R129=FALSE,R130=FALSE),FALSE,TRUE)</f>
        <v>0</v>
      </c>
      <c r="S131" s="1624"/>
      <c r="T131" s="796"/>
      <c r="U131" s="797" t="b">
        <f>IF(AND(U128=FALSE,U129=FALSE,U130=FALSE),FALSE,TRUE)</f>
        <v>0</v>
      </c>
      <c r="V131" s="931"/>
      <c r="W131" s="931" t="s">
        <v>943</v>
      </c>
      <c r="X131" s="1392"/>
      <c r="Y131" s="8"/>
      <c r="Z131" s="1397"/>
      <c r="AA131" s="8"/>
      <c r="AB131" s="1400"/>
      <c r="AD131" s="960"/>
      <c r="AE131" s="961"/>
      <c r="AF131" s="960"/>
      <c r="AG131" s="961"/>
      <c r="AH131" s="960"/>
      <c r="AI131" s="961"/>
      <c r="AK131" s="10"/>
      <c r="AL131" s="10"/>
      <c r="AM131" s="10"/>
      <c r="AN131" s="2100">
        <f>IF($K131=TRUE,MAX(AN128:AN130),0)</f>
        <v>0</v>
      </c>
      <c r="AO131" s="2100">
        <f>IF($R131=TRUE,MAX(AO128:AO130),0)</f>
        <v>0</v>
      </c>
      <c r="AP131" s="2100">
        <f>IF($U131=TRUE,MAX(AP128:AP130),0)</f>
        <v>0</v>
      </c>
      <c r="AQ131" s="2099">
        <f t="shared" ref="AQ131:AV131" si="97">MAX(AQ128:AQ130)</f>
        <v>8</v>
      </c>
      <c r="AR131" s="2099">
        <f t="shared" si="97"/>
        <v>30</v>
      </c>
      <c r="AS131" s="2099">
        <f t="shared" si="97"/>
        <v>6</v>
      </c>
      <c r="AT131" s="2099">
        <f t="shared" si="97"/>
        <v>30</v>
      </c>
      <c r="AU131" s="2099">
        <f t="shared" si="97"/>
        <v>0</v>
      </c>
      <c r="AV131" s="2099">
        <f t="shared" si="97"/>
        <v>0</v>
      </c>
      <c r="BD131" s="816"/>
      <c r="BE131" s="110"/>
      <c r="BF131" s="477"/>
      <c r="BG131" s="113"/>
      <c r="BH131" s="481"/>
      <c r="BI131" s="113"/>
      <c r="BJ131" s="482"/>
      <c r="BK131" s="478"/>
    </row>
    <row r="132" spans="2:63" ht="32" customHeight="1" x14ac:dyDescent="0.2">
      <c r="B132" s="2030"/>
      <c r="C132" s="52"/>
      <c r="D132" s="26"/>
      <c r="E132" s="101"/>
      <c r="F132" s="790"/>
      <c r="G132" s="789"/>
      <c r="H132" s="790">
        <f>F132*G132</f>
        <v>0</v>
      </c>
      <c r="I132" s="1647">
        <v>11</v>
      </c>
      <c r="J132" s="1648">
        <v>11</v>
      </c>
      <c r="K132" s="45" t="b">
        <f>IF(AND(F131&gt;=I132,F131&lt;=J132),TRUE,FALSE)</f>
        <v>0</v>
      </c>
      <c r="L132" s="45"/>
      <c r="M132" s="45"/>
      <c r="N132" s="45"/>
      <c r="O132" s="1623"/>
      <c r="P132" s="1647">
        <v>11</v>
      </c>
      <c r="Q132" s="1648">
        <v>11</v>
      </c>
      <c r="R132" s="1623" t="b">
        <f>IF(AND(F131&gt;=P132,F131&lt;=Q132),TRUE,FALSE)</f>
        <v>0</v>
      </c>
      <c r="S132" s="1647">
        <v>11</v>
      </c>
      <c r="T132" s="1648">
        <v>11</v>
      </c>
      <c r="U132" s="1623" t="b">
        <f>IF(AND(F131&gt;=S132,F131&lt;=T132),TRUE,FALSE)</f>
        <v>0</v>
      </c>
      <c r="V132" s="931"/>
      <c r="W132" s="1403"/>
      <c r="X132" s="1422">
        <v>11</v>
      </c>
      <c r="Y132" s="1423"/>
      <c r="Z132" s="1424">
        <v>11</v>
      </c>
      <c r="AA132" s="1423"/>
      <c r="AB132" s="1416">
        <v>11</v>
      </c>
      <c r="AD132" s="960"/>
      <c r="AE132" s="961"/>
      <c r="AF132" s="960"/>
      <c r="AG132" s="961"/>
      <c r="AH132" s="960"/>
      <c r="AI132" s="961"/>
      <c r="AK132" s="10"/>
      <c r="AL132" s="10"/>
      <c r="AM132" s="10"/>
      <c r="AN132" s="975">
        <f>IF(K132=TRUE,H132,0)</f>
        <v>0</v>
      </c>
      <c r="AO132" s="975">
        <f>IF(R132=TRUE,H132,0)</f>
        <v>0</v>
      </c>
      <c r="AP132" s="975">
        <f>IF(U132=TRUE,H132,0)</f>
        <v>0</v>
      </c>
      <c r="AQ132" s="1806">
        <f>IF(I132=11,0,G132*I132)</f>
        <v>0</v>
      </c>
      <c r="AR132" s="1806">
        <f>IF(J132=11,0,G132*J132)</f>
        <v>0</v>
      </c>
      <c r="AS132" s="1806">
        <f>IF(P132=11,0,G132*P132)</f>
        <v>0</v>
      </c>
      <c r="AT132" s="1806">
        <f>IF(Q132=11,0,G132*Q132)</f>
        <v>0</v>
      </c>
      <c r="AU132" s="1806">
        <f>IF(S132=11,0,S132*G132)</f>
        <v>0</v>
      </c>
      <c r="AV132" s="1806">
        <f>IF(T132=11,0,T132*G132)</f>
        <v>0</v>
      </c>
      <c r="BD132" s="816"/>
      <c r="BE132" s="110"/>
      <c r="BF132" s="477"/>
      <c r="BG132" s="113"/>
      <c r="BH132" s="481"/>
      <c r="BI132" s="113"/>
      <c r="BJ132" s="482"/>
      <c r="BK132" s="478"/>
    </row>
    <row r="133" spans="2:63" ht="32" customHeight="1" x14ac:dyDescent="0.2">
      <c r="B133" s="2030"/>
      <c r="C133" s="52"/>
      <c r="D133" s="26"/>
      <c r="E133" s="62"/>
      <c r="F133" s="35"/>
      <c r="G133" s="35"/>
      <c r="H133" s="35">
        <f>F133*G133</f>
        <v>0</v>
      </c>
      <c r="I133" s="1647">
        <v>11</v>
      </c>
      <c r="J133" s="1648">
        <v>11</v>
      </c>
      <c r="K133" s="45" t="b">
        <f>IF(AND(F132&gt;=I133,F132&lt;=J133),TRUE,FALSE)</f>
        <v>0</v>
      </c>
      <c r="L133" s="45"/>
      <c r="M133" s="45"/>
      <c r="N133" s="45"/>
      <c r="O133" s="1623"/>
      <c r="P133" s="1647">
        <v>11</v>
      </c>
      <c r="Q133" s="1648">
        <v>11</v>
      </c>
      <c r="R133" s="1623" t="b">
        <f>IF(AND(F132&gt;=P133,F132&lt;=Q133),TRUE,FALSE)</f>
        <v>0</v>
      </c>
      <c r="S133" s="1647">
        <v>11</v>
      </c>
      <c r="T133" s="1648">
        <v>11</v>
      </c>
      <c r="U133" s="1623" t="b">
        <f>IF(AND(F132&gt;=S133,F132&lt;=T133),TRUE,FALSE)</f>
        <v>0</v>
      </c>
      <c r="V133" s="931"/>
      <c r="W133" s="1406" t="s">
        <v>943</v>
      </c>
      <c r="X133" s="1425">
        <v>11</v>
      </c>
      <c r="Y133" s="1426"/>
      <c r="Z133" s="1427">
        <v>11</v>
      </c>
      <c r="AA133" s="1426"/>
      <c r="AB133" s="1421">
        <v>11</v>
      </c>
      <c r="AD133" s="960"/>
      <c r="AE133" s="961"/>
      <c r="AF133" s="960"/>
      <c r="AG133" s="961"/>
      <c r="AH133" s="960"/>
      <c r="AI133" s="961"/>
      <c r="AK133" s="10"/>
      <c r="AL133" s="10"/>
      <c r="AM133" s="10"/>
      <c r="AN133" s="975">
        <f>IF(K133=TRUE,H133,0)</f>
        <v>0</v>
      </c>
      <c r="AO133" s="975">
        <f>IF(R133=TRUE,H133,0)</f>
        <v>0</v>
      </c>
      <c r="AP133" s="975">
        <f>IF(U133=TRUE,H133,0)</f>
        <v>0</v>
      </c>
      <c r="AQ133" s="1806">
        <f>IF(I133=11,0,G133*I133)</f>
        <v>0</v>
      </c>
      <c r="AR133" s="1806">
        <f>IF(J133=11,0,G133*J133)</f>
        <v>0</v>
      </c>
      <c r="AS133" s="1806">
        <f>IF(P133=11,0,G133*P133)</f>
        <v>0</v>
      </c>
      <c r="AT133" s="1806">
        <f>IF(Q133=11,0,G133*Q133)</f>
        <v>0</v>
      </c>
      <c r="AU133" s="1806">
        <f>IF(S133=11,0,S133*G133)</f>
        <v>0</v>
      </c>
      <c r="AV133" s="1806">
        <f>IF(T133=11,0,T133*G133)</f>
        <v>0</v>
      </c>
      <c r="BC133" s="7"/>
      <c r="BD133" s="816"/>
      <c r="BE133" s="110"/>
      <c r="BF133" s="477"/>
      <c r="BG133" s="113"/>
      <c r="BH133" s="481"/>
      <c r="BI133" s="113"/>
      <c r="BJ133" s="482"/>
      <c r="BK133" s="478"/>
    </row>
    <row r="134" spans="2:63" ht="32" customHeight="1" thickBot="1" x14ac:dyDescent="0.25">
      <c r="B134" s="2030"/>
      <c r="C134" s="798" t="s">
        <v>746</v>
      </c>
      <c r="D134" s="799">
        <f>_xlfn.XLOOKUP(H134,H132:H133,D132:D133)</f>
        <v>0</v>
      </c>
      <c r="E134" s="800">
        <f>_xlfn.XLOOKUP(H134,H132:H133,E132:E133)</f>
        <v>0</v>
      </c>
      <c r="F134" s="801"/>
      <c r="G134" s="801"/>
      <c r="H134" s="795">
        <f>IF(AND(K132=TRUE,K133=FALSE),H132,IF(AND(K132=FALSE,K133=TRUE),H133,IF(AND(K132=TRUE,K133=TRUE),H132+H133,MAX(H132,H133))))</f>
        <v>0</v>
      </c>
      <c r="I134" s="1625"/>
      <c r="J134" s="802"/>
      <c r="K134" s="803" t="b">
        <f>IF(AND(K132=FALSE,K133=FALSE),FALSE,TRUE)</f>
        <v>0</v>
      </c>
      <c r="L134" s="45"/>
      <c r="M134" s="45"/>
      <c r="N134" s="45"/>
      <c r="O134" s="1623"/>
      <c r="P134" s="1625"/>
      <c r="Q134" s="802"/>
      <c r="R134" s="1638" t="b">
        <f>IF(AND(R132=FALSE,R133=FALSE),FALSE,TRUE)</f>
        <v>0</v>
      </c>
      <c r="S134" s="1625"/>
      <c r="T134" s="802"/>
      <c r="U134" s="1638" t="b">
        <f>IF(AND(U132=FALSE,U133=FALSE),FALSE,TRUE)</f>
        <v>0</v>
      </c>
      <c r="V134" s="931"/>
      <c r="W134" s="931"/>
      <c r="X134" s="1392"/>
      <c r="Y134" s="8"/>
      <c r="Z134" s="1397"/>
      <c r="AA134" s="8"/>
      <c r="AB134" s="1400"/>
      <c r="AD134" s="960"/>
      <c r="AE134" s="961"/>
      <c r="AF134" s="960"/>
      <c r="AG134" s="961"/>
      <c r="AH134" s="960"/>
      <c r="AI134" s="961"/>
      <c r="AJ134" t="str">
        <f>IF(OR(AD134="V",AF134="V"),IF(H133&gt;H130,"Le NC contribue plus que le coparent","Le coparent joue un plus grand rôle que le NC"),"pas de contexte significatif de la part du coparent et NC")</f>
        <v>pas de contexte significatif de la part du coparent et NC</v>
      </c>
      <c r="AK134" s="10"/>
      <c r="AL134" s="10"/>
      <c r="AM134" s="10"/>
      <c r="AN134" s="2100">
        <f>IF($K134=TRUE,MAX(AN132:AN133),0)</f>
        <v>0</v>
      </c>
      <c r="AO134" s="2100">
        <f>IF($R134=TRUE,MAX(AO132:AO133),0)</f>
        <v>0</v>
      </c>
      <c r="AP134" s="2100">
        <f>IF($U134=TRUE,MAX(AP132:AP133),0)</f>
        <v>0</v>
      </c>
      <c r="AQ134" s="2099">
        <f>MAX(AQ132:AQ133)</f>
        <v>0</v>
      </c>
      <c r="AR134" s="2099">
        <f t="shared" ref="AR134" si="98">MAX(AR132:AR133)</f>
        <v>0</v>
      </c>
      <c r="AS134" s="2099">
        <f>MAX(AS132:AS133)</f>
        <v>0</v>
      </c>
      <c r="AT134" s="2099">
        <f t="shared" ref="AT134" si="99">MAX(AT132:AT133)</f>
        <v>0</v>
      </c>
      <c r="AU134" s="2099">
        <f t="shared" ref="AU134" si="100">MAX(AU132:AU133)</f>
        <v>0</v>
      </c>
      <c r="AV134" s="2099">
        <f t="shared" ref="AV134" si="101">MAX(AV132:AV133)</f>
        <v>0</v>
      </c>
      <c r="BC134" s="7"/>
      <c r="BD134" s="816"/>
      <c r="BE134" s="110"/>
      <c r="BF134" s="477"/>
      <c r="BG134" s="113"/>
      <c r="BH134" s="481"/>
      <c r="BI134" s="113"/>
      <c r="BJ134" s="482"/>
      <c r="BK134" s="478"/>
    </row>
    <row r="135" spans="2:63" ht="32" customHeight="1" thickBot="1" x14ac:dyDescent="0.25">
      <c r="B135" s="2030"/>
      <c r="C135" s="804" t="s">
        <v>754</v>
      </c>
      <c r="D135" s="805"/>
      <c r="E135" s="805" t="str">
        <f>IF(H135=H131,E131,E134)</f>
        <v>culpabilise l'enfant pour son amour pour vous</v>
      </c>
      <c r="F135" s="806"/>
      <c r="G135" s="806"/>
      <c r="H135" s="806">
        <f>IF(AND(K131=TRUE,K134=FALSE),H131,IF(AND(K131=FALSE,K134=TRUE),H134,IF(AND(K131=TRUE,K134=TRUE),H131+H134,MAX(H131,H134))))</f>
        <v>1</v>
      </c>
      <c r="I135" s="1626"/>
      <c r="J135" s="807"/>
      <c r="K135" s="808" t="b">
        <f>IF(AND(K131=FALSE,K134=FALSE),FALSE,TRUE)</f>
        <v>0</v>
      </c>
      <c r="L135" s="1610"/>
      <c r="M135" s="1610"/>
      <c r="N135" s="1610"/>
      <c r="O135" s="1627"/>
      <c r="P135" s="1626"/>
      <c r="Q135" s="807"/>
      <c r="R135" s="808" t="b">
        <f>IF(AND(R131=FALSE,R134=FALSE),FALSE,TRUE)</f>
        <v>0</v>
      </c>
      <c r="S135" s="1626"/>
      <c r="T135" s="807"/>
      <c r="U135" s="808" t="b">
        <f>IF(AND(U131=FALSE,U134=FALSE),FALSE,TRUE)</f>
        <v>0</v>
      </c>
      <c r="V135" s="931"/>
      <c r="W135" s="931" t="s">
        <v>942</v>
      </c>
      <c r="X135" s="1392"/>
      <c r="Y135" s="8"/>
      <c r="Z135" s="1397"/>
      <c r="AA135" s="8"/>
      <c r="AB135" s="1400"/>
      <c r="AD135" s="960" t="str">
        <f>IF(K135=TRUE,"V","F")</f>
        <v>F</v>
      </c>
      <c r="AE135" s="961"/>
      <c r="AF135" s="960" t="str">
        <f>IF(R135=TRUE,"V","F")</f>
        <v>F</v>
      </c>
      <c r="AG135" s="961"/>
      <c r="AH135" s="960" t="str">
        <f>IF(U135=TRUE,"V","F")</f>
        <v>F</v>
      </c>
      <c r="AI135" s="961"/>
      <c r="AK135" s="10"/>
      <c r="AL135" s="10"/>
      <c r="AM135" s="10"/>
      <c r="AN135" s="631">
        <f>IF(AND($K131=TRUE,$K134=FALSE),AN131,IF(AND($K131=FALSE,$K134=TRUE),AN134,IF(AND($K131=TRUE,$K134=TRUE),AN131+AN134,0)))</f>
        <v>0</v>
      </c>
      <c r="AO135" s="631">
        <f>IF(AND($R131=TRUE,$R134=FALSE),AO131,IF(AND($R131=FALSE,$R134=TRUE),AO134,IF(AND($R131=TRUE,$R134=TRUE),AO131+AO134,0)))</f>
        <v>0</v>
      </c>
      <c r="AP135" s="631">
        <f>IF(AND($U131=TRUE,$U134=FALSE),AP131,IF(AND($U131=FALSE,$U134=TRUE),AP134,IF(AND($U131=TRUE,$U134=TRUE),AP131+AP134,0)))</f>
        <v>0</v>
      </c>
      <c r="AQ135" s="631">
        <f>IF(AND($K131=TRUE,$K134=FALSE),AQ131,IF(AND($K131=FALSE,$K134=TRUE),AQ134,IF(AND($K131=TRUE,$K134=TRUE),AQ131+AQ134,MAX(AQ131,AQ134))))</f>
        <v>8</v>
      </c>
      <c r="AR135" s="631">
        <f>IF(AND($K131=TRUE,$K134=FALSE),AR131,IF(AND($K131=FALSE,$K134=TRUE),AR134,IF(AND($K131=TRUE,$K134=TRUE),AR131+AR134,MAX(AR131,AR134))))</f>
        <v>30</v>
      </c>
      <c r="AS135" s="631">
        <f t="shared" ref="AS135" si="102">IF(AND($R131=TRUE,$R134=FALSE),AS131,IF(AND($R131=FALSE,$R134=TRUE),AS134,IF(AND($R131=TRUE,$R134=TRUE),AS131+AS134,MAX(AS131,AS134))))</f>
        <v>6</v>
      </c>
      <c r="AT135" s="631">
        <f t="shared" ref="AT135" si="103">IF(AND($R131=TRUE,$R134=FALSE),AT131,IF(AND($R131=FALSE,$R134=TRUE),AT134,IF(AND($R131=TRUE,$R134=TRUE),AT131+AT134,MAX(AT131,AT134))))</f>
        <v>30</v>
      </c>
      <c r="AU135" s="631">
        <f t="shared" ref="AU135" si="104">IF(AND($U131=TRUE,$U134=FALSE),AU131,IF(AND($U131=FALSE,$U134=TRUE),AU134,IF(AND($U131=TRUE,$U134=TRUE),AU131+AU134,MAX(AU131,AU134))))</f>
        <v>0</v>
      </c>
      <c r="AV135" s="631">
        <f t="shared" ref="AV135" si="105">IF(AND($U131=TRUE,$U134=FALSE),AV131,IF(AND($U131=FALSE,$U134=TRUE),AV134,IF(AND($U131=TRUE,$U134=TRUE),AV131+AV134,MAX(AV131,AV134))))</f>
        <v>0</v>
      </c>
      <c r="BC135" s="7"/>
      <c r="BD135" s="816"/>
      <c r="BE135" s="110"/>
      <c r="BF135" s="477"/>
      <c r="BG135" s="113"/>
      <c r="BH135" s="481"/>
      <c r="BI135" s="113"/>
      <c r="BJ135" s="482"/>
      <c r="BK135" s="478"/>
    </row>
    <row r="136" spans="2:63" ht="32" customHeight="1" x14ac:dyDescent="0.2">
      <c r="B136" s="2030" t="str">
        <f>'Action-Réaction finale'!Q21</f>
        <v>C: Chantage affectif, loyauté, manipulation</v>
      </c>
      <c r="C136" s="313" t="str">
        <f>'Action-Réaction finale'!O21</f>
        <v>E07</v>
      </c>
      <c r="D136" s="26" t="str">
        <f>Test_Bible!B281</f>
        <v>Votre enfant se sent coupable de passer du temps avec vous car cela pourrait indisposer, contrarier ou faire de la peine à l'autre parent.</v>
      </c>
      <c r="E136" s="101" t="s">
        <v>764</v>
      </c>
      <c r="F136" s="790">
        <f>Test_Bible!P281</f>
        <v>2</v>
      </c>
      <c r="G136" s="789">
        <f>Test_Bible!D281</f>
        <v>1</v>
      </c>
      <c r="H136" s="790">
        <f>F136*G136</f>
        <v>2</v>
      </c>
      <c r="I136" s="1622">
        <v>7</v>
      </c>
      <c r="J136" s="1615">
        <f>$J$18</f>
        <v>10</v>
      </c>
      <c r="K136" s="45" t="b">
        <f>IF(AND(F135&gt;=I136,F135&lt;=J136),TRUE,FALSE)</f>
        <v>0</v>
      </c>
      <c r="L136" s="45"/>
      <c r="M136" s="45"/>
      <c r="N136" s="45"/>
      <c r="O136" s="1623"/>
      <c r="P136" s="1622">
        <v>2</v>
      </c>
      <c r="Q136" s="1615">
        <v>10</v>
      </c>
      <c r="R136" s="1623" t="b">
        <f>IF(AND(F135&gt;=P136,F135&lt;=Q136),TRUE,FALSE)</f>
        <v>0</v>
      </c>
      <c r="S136" s="1622"/>
      <c r="T136" s="1615"/>
      <c r="U136" s="1623"/>
      <c r="V136" s="931"/>
      <c r="W136" s="1403"/>
      <c r="X136" s="1404">
        <v>7</v>
      </c>
      <c r="Y136" s="1405"/>
      <c r="Z136" s="1408">
        <v>2</v>
      </c>
      <c r="AA136" s="1405"/>
      <c r="AB136" s="1416">
        <v>11</v>
      </c>
      <c r="AD136" s="960" t="s">
        <v>945</v>
      </c>
      <c r="AE136" s="961"/>
      <c r="AF136" s="960"/>
      <c r="AG136" s="961"/>
      <c r="AH136" s="960"/>
      <c r="AI136" s="961"/>
      <c r="AK136" s="10"/>
      <c r="AL136" s="10"/>
      <c r="AM136" s="10"/>
      <c r="AN136" s="975">
        <f>IF($K136=TRUE,H136,0)</f>
        <v>0</v>
      </c>
      <c r="AO136" s="975">
        <f>IF($R136=TRUE,H136,0)</f>
        <v>0</v>
      </c>
      <c r="AP136" s="975"/>
      <c r="AQ136" s="1806">
        <f>IF(I136=11,0,G136*I136)</f>
        <v>7</v>
      </c>
      <c r="AR136" s="1806">
        <f>IF(J136=11,0,G136*J136)</f>
        <v>10</v>
      </c>
      <c r="AS136" s="1806">
        <f>IF(P136=11,0,G136*P136)</f>
        <v>2</v>
      </c>
      <c r="AT136" s="1806">
        <f>IF(Q136=11,0,G136*Q136)</f>
        <v>10</v>
      </c>
      <c r="AU136" s="1806"/>
      <c r="AV136" s="1806"/>
      <c r="BC136" s="7"/>
      <c r="BD136" s="816"/>
      <c r="BE136" s="110"/>
      <c r="BF136" s="477"/>
      <c r="BG136" s="113"/>
      <c r="BH136" s="481"/>
      <c r="BI136" s="113"/>
      <c r="BJ136" s="482"/>
      <c r="BK136" s="478"/>
    </row>
    <row r="137" spans="2:63" ht="32" customHeight="1" thickBot="1" x14ac:dyDescent="0.25">
      <c r="B137" s="2030"/>
      <c r="C137" s="313"/>
      <c r="D137" s="26"/>
      <c r="E137" s="101"/>
      <c r="F137" s="790"/>
      <c r="G137" s="789"/>
      <c r="H137" s="790">
        <f>F137*G137</f>
        <v>0</v>
      </c>
      <c r="I137" s="1647">
        <v>11</v>
      </c>
      <c r="J137" s="1648">
        <v>11</v>
      </c>
      <c r="K137" s="45" t="b">
        <f>IF(AND(F136&gt;=I137,F136&lt;=J137),TRUE,FALSE)</f>
        <v>0</v>
      </c>
      <c r="L137" s="45"/>
      <c r="M137" s="45"/>
      <c r="N137" s="45"/>
      <c r="O137" s="1623"/>
      <c r="P137" s="1647">
        <v>11</v>
      </c>
      <c r="Q137" s="1648">
        <v>11</v>
      </c>
      <c r="R137" s="1623" t="b">
        <f>IF(AND(F136&gt;=P137,F136&lt;=Q137),TRUE,FALSE)</f>
        <v>0</v>
      </c>
      <c r="S137" s="1647"/>
      <c r="T137" s="1648"/>
      <c r="U137" s="1623"/>
      <c r="V137" s="931"/>
      <c r="W137" s="1406" t="s">
        <v>943</v>
      </c>
      <c r="X137" s="1425">
        <v>11</v>
      </c>
      <c r="Y137" s="1426"/>
      <c r="Z137" s="1427">
        <v>11</v>
      </c>
      <c r="AA137" s="1426"/>
      <c r="AB137" s="1421">
        <v>11</v>
      </c>
      <c r="AD137" s="960"/>
      <c r="AE137" s="961"/>
      <c r="AF137" s="960"/>
      <c r="AG137" s="961"/>
      <c r="AH137" s="960"/>
      <c r="AI137" s="961"/>
      <c r="AK137" s="10"/>
      <c r="AL137" s="10"/>
      <c r="AM137" s="10"/>
      <c r="AN137" s="975">
        <f>IF($K137=TRUE,H137,0)</f>
        <v>0</v>
      </c>
      <c r="AO137" s="975">
        <f>IF($R137=TRUE,H137,0)</f>
        <v>0</v>
      </c>
      <c r="AP137" s="975"/>
      <c r="AQ137" s="1806">
        <f>IF(I137=11,0,G137*I137)</f>
        <v>0</v>
      </c>
      <c r="AR137" s="1806">
        <f>IF(J137=11,0,G137*J137)</f>
        <v>0</v>
      </c>
      <c r="AS137" s="1806">
        <f>IF(P137=11,0,G137*P137)</f>
        <v>0</v>
      </c>
      <c r="AT137" s="1806">
        <f>IF(Q137=11,0,G137*Q137)</f>
        <v>0</v>
      </c>
      <c r="AU137" s="1806"/>
      <c r="AV137" s="1806"/>
      <c r="BD137" s="816"/>
      <c r="BE137" s="110"/>
      <c r="BF137" s="477"/>
      <c r="BG137" s="113"/>
      <c r="BH137" s="481"/>
      <c r="BI137" s="113"/>
      <c r="BJ137" s="482"/>
      <c r="BK137" s="478"/>
    </row>
    <row r="138" spans="2:63" ht="32" customHeight="1" thickBot="1" x14ac:dyDescent="0.25">
      <c r="B138" s="2030"/>
      <c r="C138" s="809" t="s">
        <v>747</v>
      </c>
      <c r="D138" s="810" t="str">
        <f>_xlfn.XLOOKUP(H138,H136:H137,D136:D137)</f>
        <v>Votre enfant se sent coupable de passer du temps avec vous car cela pourrait indisposer, contrarier ou faire de la peine à l'autre parent.</v>
      </c>
      <c r="E138" s="810" t="str">
        <f>_xlfn.XLOOKUP(H138,H136:H137,E136:E137)</f>
        <v>se sent coupable de passer du temps avec vous, car cela affecte l'autre parent</v>
      </c>
      <c r="F138" s="811"/>
      <c r="G138" s="811"/>
      <c r="H138" s="811">
        <f>IF(AND(K136=TRUE,K137=FALSE),H136,IF(AND(K136=FALSE,K137=TRUE),H137,IF(AND(K136=TRUE,K137=TRUE),H136+H137,MAX(H136,H137))))</f>
        <v>2</v>
      </c>
      <c r="I138" s="1628"/>
      <c r="J138" s="812"/>
      <c r="K138" s="813" t="b">
        <f>IF(AND(K136=FALSE,K137=FALSE),FALSE,TRUE)</f>
        <v>0</v>
      </c>
      <c r="L138" s="1611"/>
      <c r="M138" s="1611"/>
      <c r="N138" s="1611"/>
      <c r="O138" s="1629"/>
      <c r="P138" s="1628"/>
      <c r="Q138" s="812"/>
      <c r="R138" s="813" t="b">
        <f>IF(AND(R136=FALSE,R137=FALSE),FALSE,TRUE)</f>
        <v>0</v>
      </c>
      <c r="S138" s="1628"/>
      <c r="T138" s="812"/>
      <c r="U138" s="813"/>
      <c r="V138" s="931"/>
      <c r="W138" s="931"/>
      <c r="X138" s="1394"/>
      <c r="Z138" s="1398"/>
      <c r="AB138" s="1402"/>
      <c r="AD138" s="960" t="str">
        <f>IF(K138=TRUE,"V","F")</f>
        <v>F</v>
      </c>
      <c r="AE138" s="961"/>
      <c r="AF138" s="960" t="str">
        <f>IF(R138=TRUE,"V","F")</f>
        <v>F</v>
      </c>
      <c r="AG138" s="961"/>
      <c r="AH138" s="960"/>
      <c r="AI138" s="961"/>
      <c r="AK138" s="10"/>
      <c r="AL138" s="10"/>
      <c r="AM138" s="10"/>
      <c r="AN138" s="2102">
        <f>IF(AND($K136=TRUE,$K137=FALSE),AN136,IF(AND($K136=FALSE,$K137=TRUE),AN137,IF(AND($K136=TRUE,$K137=TRUE),MAX(AN136,AN137),0)))</f>
        <v>0</v>
      </c>
      <c r="AO138" s="2102">
        <f>IF(AND($R136=TRUE,$R137=FALSE),AO136,IF(AND($R136=FALSE,$R137=TRUE),AO137,IF(AND($R136=TRUE,$R137=TRUE),MAX(AO136,AO137),0)))</f>
        <v>0</v>
      </c>
      <c r="AP138" s="2102"/>
      <c r="AQ138" s="2102">
        <f>IF(AND($K136=TRUE,$K137=FALSE),AQ136,IF(AND($K136=FALSE,$K137=TRUE),AQ137,IF(AND($K136=TRUE,$K137=TRUE),MAX(AQ136,AQ137),0)))</f>
        <v>0</v>
      </c>
      <c r="AR138" s="2102">
        <f>IF(AND($K136=TRUE,$K137=FALSE),AR136,IF(AND($K136=FALSE,$K137=TRUE),AR137,IF(AND($K136=TRUE,$K137=TRUE),MAX(AR136,AR137),0)))</f>
        <v>0</v>
      </c>
      <c r="AS138" s="2102">
        <f t="shared" ref="AS138" si="106">IF(AND($R136=TRUE,$R137=FALSE),AS136,IF(AND($R136=FALSE,$R137=TRUE),AS137,IF(AND($R136=TRUE,$R137=TRUE),MAX(AS136,AS137),0)))</f>
        <v>0</v>
      </c>
      <c r="AT138" s="2102">
        <f t="shared" ref="AT138" si="107">IF(AND($R136=TRUE,$R137=FALSE),AT136,IF(AND($R136=FALSE,$R137=TRUE),AT137,IF(AND($R136=TRUE,$R137=TRUE),MAX(AT136,AT137),0)))</f>
        <v>0</v>
      </c>
      <c r="AU138" s="2102"/>
      <c r="AV138" s="2102"/>
      <c r="BD138" s="816"/>
      <c r="BE138" s="110"/>
      <c r="BF138" s="477"/>
      <c r="BG138" s="113"/>
      <c r="BH138" s="481"/>
      <c r="BI138" s="113"/>
      <c r="BJ138" s="482"/>
      <c r="BK138" s="478"/>
    </row>
    <row r="139" spans="2:63" ht="32" customHeight="1" x14ac:dyDescent="0.2">
      <c r="B139" s="2030"/>
      <c r="D139" s="421" t="s">
        <v>310</v>
      </c>
      <c r="E139" s="785"/>
      <c r="F139" s="474" t="s">
        <v>398</v>
      </c>
      <c r="G139" s="47"/>
      <c r="H139" s="47">
        <f>IF(AND(K135=TRUE,K138=FALSE),H135,IF(AND(K135=FALSE,K138=TRUE),H138,IF(AND(K135=TRUE,K138=TRUE),H135+H138,MAX(H135,H138))))</f>
        <v>2</v>
      </c>
      <c r="I139" s="1630"/>
      <c r="J139" s="475"/>
      <c r="K139" s="1613"/>
      <c r="L139" s="1614" t="str">
        <f>IF(AND(K138=TRUE,K135=TRUE),E137,"")</f>
        <v/>
      </c>
      <c r="M139" s="1614" t="str">
        <f>IF(AND(K135=TRUE,K138=FALSE),"Bien que le parent "&amp;E134&amp;" l'enfant ne semble pas s'ingérer","")</f>
        <v/>
      </c>
      <c r="N139" s="1614" t="str">
        <f>IF(AND(K135=FALSE,K138=TRUE),E137&amp;" sans signe de la participation du parent favorisé et|ou nouveau conjoint.e","")</f>
        <v/>
      </c>
      <c r="O139" s="1631" t="str">
        <f>IF(AND(K135=FALSE,K138=FALSE),"aucun comportement significatif de cette nature","")</f>
        <v>aucun comportement significatif de cette nature</v>
      </c>
      <c r="P139" s="1630"/>
      <c r="Q139" s="475"/>
      <c r="R139" s="1639"/>
      <c r="S139" s="1630"/>
      <c r="T139" s="475"/>
      <c r="U139" s="1639"/>
      <c r="V139" s="170"/>
      <c r="W139" s="170"/>
      <c r="X139" s="1394"/>
      <c r="Z139" s="1398"/>
      <c r="AB139" s="1402"/>
      <c r="AD139" s="962"/>
      <c r="AE139" s="963">
        <f>IF(AND(AD135="V",AD138="V"),2,IF(OR(AD135="V",AD138="V"),1,0))</f>
        <v>0</v>
      </c>
      <c r="AF139" s="962"/>
      <c r="AG139" s="963">
        <f>IF(OR(AF135="V",AF138="V"),1,0)</f>
        <v>0</v>
      </c>
      <c r="AH139" s="962"/>
      <c r="AI139" s="963"/>
      <c r="AK139" s="10"/>
      <c r="AL139" s="10"/>
      <c r="AM139" s="10"/>
      <c r="AN139" s="2097">
        <f>IF(AND($AD135="V",$AD138="F"),AN135,IF(AND($AD135="F",$AD138="V"),AN138,IF(AND($AD135="V",$AD138="V"),AN135+AN138,0)))</f>
        <v>0</v>
      </c>
      <c r="AO139" s="2097">
        <f>IF(AND($AF135="V",$AF138="F"),AO135,IF(AND($AF135="F",$AF138="V"),AO138,IF(AND($AF135="V",$AF138="V"),AO135+AO138,0)))</f>
        <v>0</v>
      </c>
      <c r="AP139" s="2097"/>
      <c r="AQ139" s="2097">
        <f>IF(AND($AD135="V",$AD138="F"),AQ135,IF(AND($AD135="F",$AD138="V"),AQ138,IF(AND($AD135="V",$AD138="V"),AQ135+AQ138,0)))</f>
        <v>0</v>
      </c>
      <c r="AR139" s="2097">
        <f>IF(AND($AD135="V",$AD138="F"),AR135,IF(AND($AD135="F",$AD138="V"),AR138,IF(AND($AD135="V",$AD138="V"),AR135+AR138,0)))</f>
        <v>0</v>
      </c>
      <c r="AS139" s="2097">
        <f>IF(AND($AF135="V",$AF138="F"),AS135,IF(AND($AF135="F",$AF138="V"),AS138,IF(AND($AF135="V",$AF138="V"),AS135+AS138,0)))</f>
        <v>0</v>
      </c>
      <c r="AT139" s="2097">
        <f>IF(AND($AF135="V",$AF138="F"),AT135,IF(AND($AF135="F",$AF138="V"),AT138,IF(AND($AF135="V",$AF138="V"),AT135+AT138,0)))</f>
        <v>0</v>
      </c>
      <c r="AU139" s="2097"/>
      <c r="AV139" s="2097"/>
      <c r="BD139" s="816"/>
      <c r="BE139" s="110"/>
      <c r="BF139" s="477"/>
      <c r="BG139" s="113"/>
      <c r="BH139" s="481"/>
      <c r="BI139" s="113"/>
      <c r="BJ139" s="482"/>
      <c r="BK139" s="478"/>
    </row>
    <row r="140" spans="2:63" ht="32" customHeight="1" x14ac:dyDescent="0.2">
      <c r="B140" s="2030"/>
      <c r="C140" t="s">
        <v>243</v>
      </c>
      <c r="I140" s="146"/>
      <c r="L140" s="46"/>
      <c r="M140" s="46"/>
      <c r="N140" s="46"/>
      <c r="O140" s="1652"/>
      <c r="P140" s="146"/>
      <c r="R140" s="326"/>
      <c r="S140" s="146"/>
      <c r="U140" s="326"/>
      <c r="V140" s="46"/>
      <c r="X140" s="1394"/>
      <c r="Z140" s="1398"/>
      <c r="AB140" s="1402"/>
      <c r="AD140" s="960"/>
      <c r="AE140" s="961"/>
      <c r="AF140" s="960"/>
      <c r="AG140" s="961"/>
      <c r="AH140" s="960"/>
      <c r="AI140" s="961"/>
      <c r="AK140" s="10"/>
      <c r="AL140" s="10"/>
      <c r="AM140" s="10"/>
      <c r="AN140" s="975"/>
      <c r="AO140" s="975"/>
      <c r="AP140" s="975"/>
      <c r="AQ140" s="1806"/>
      <c r="AR140" s="1806"/>
      <c r="AS140" s="1806"/>
      <c r="AT140" s="1806"/>
      <c r="AU140" s="1806"/>
      <c r="AV140" s="1806"/>
      <c r="BD140" s="816"/>
      <c r="BE140" s="110"/>
      <c r="BF140" s="477"/>
      <c r="BG140" s="113"/>
      <c r="BH140" s="481"/>
      <c r="BI140" s="113"/>
      <c r="BJ140" s="482"/>
      <c r="BK140" s="478"/>
    </row>
    <row r="141" spans="2:63" ht="32" customHeight="1" x14ac:dyDescent="0.2">
      <c r="B141" s="2030"/>
      <c r="C141" s="964"/>
      <c r="D141" s="972"/>
      <c r="E141" s="965"/>
      <c r="F141" s="973"/>
      <c r="G141" s="973"/>
      <c r="H141" s="973">
        <f>F141*G141</f>
        <v>0</v>
      </c>
      <c r="I141" s="1647">
        <v>11</v>
      </c>
      <c r="J141" s="1648">
        <v>11</v>
      </c>
      <c r="K141" s="45" t="b">
        <f>IF(AND(F140&gt;=I141,F140&lt;=J141),TRUE,FALSE)</f>
        <v>0</v>
      </c>
      <c r="L141" s="32"/>
      <c r="M141" s="32"/>
      <c r="N141" s="32"/>
      <c r="O141" s="1632"/>
      <c r="P141" s="1647">
        <v>11</v>
      </c>
      <c r="Q141" s="1648">
        <v>11</v>
      </c>
      <c r="R141" s="1623" t="b">
        <f>IF(AND(F141&gt;=P141,F141&lt;=Q141),TRUE,FALSE)</f>
        <v>0</v>
      </c>
      <c r="S141" s="1647">
        <v>11</v>
      </c>
      <c r="T141" s="1648">
        <v>11</v>
      </c>
      <c r="U141" s="1623" t="b">
        <f>IF(AND(F141&gt;=S141,F141&lt;=T141),TRUE,FALSE)</f>
        <v>0</v>
      </c>
      <c r="V141" s="46"/>
      <c r="W141" s="1428"/>
      <c r="X141" s="1422">
        <v>11</v>
      </c>
      <c r="Y141" s="1423"/>
      <c r="Z141" s="1424">
        <v>11</v>
      </c>
      <c r="AA141" s="1423"/>
      <c r="AB141" s="1416">
        <v>11</v>
      </c>
      <c r="AD141" s="960"/>
      <c r="AE141" s="961"/>
      <c r="AF141" s="960"/>
      <c r="AG141" s="961"/>
      <c r="AH141" s="960"/>
      <c r="AI141" s="961"/>
      <c r="AK141" s="10"/>
      <c r="AL141" s="10"/>
      <c r="AM141" s="10"/>
      <c r="AN141" s="975">
        <f>IF($K141=TRUE,H141,0)</f>
        <v>0</v>
      </c>
      <c r="AO141" s="975">
        <f>IF($R141=TRUE,H141,0)</f>
        <v>0</v>
      </c>
      <c r="AP141" s="975">
        <f>IF($U141=TRUE,H141,0)</f>
        <v>0</v>
      </c>
      <c r="AQ141" s="1806">
        <f>IF(I141=11,0,G141*I141)</f>
        <v>0</v>
      </c>
      <c r="AR141" s="1806">
        <f>IF(J141=11,0,G141*J141)</f>
        <v>0</v>
      </c>
      <c r="AS141" s="1806">
        <f>IF(P141=11,0,G141*P141)</f>
        <v>0</v>
      </c>
      <c r="AT141" s="1806">
        <f>IF(Q141=11,0,G141*Q141)</f>
        <v>0</v>
      </c>
      <c r="AU141" s="1806">
        <f>IF(S141=11,0,S141*G141)</f>
        <v>0</v>
      </c>
      <c r="AV141" s="1806">
        <f>IF(T141=11,0,T141*G141)</f>
        <v>0</v>
      </c>
      <c r="BD141" s="816"/>
      <c r="BE141" s="110"/>
      <c r="BF141" s="477"/>
      <c r="BG141" s="113"/>
      <c r="BH141" s="481"/>
      <c r="BI141" s="113"/>
      <c r="BJ141" s="482"/>
      <c r="BK141" s="478"/>
    </row>
    <row r="142" spans="2:63" ht="32" customHeight="1" thickBot="1" x14ac:dyDescent="0.35">
      <c r="C142" s="964"/>
      <c r="D142" s="972"/>
      <c r="E142" s="965"/>
      <c r="F142" s="973"/>
      <c r="G142" s="973"/>
      <c r="H142" s="973">
        <f>F142*G142</f>
        <v>0</v>
      </c>
      <c r="I142" s="1647">
        <v>11</v>
      </c>
      <c r="J142" s="1648">
        <v>11</v>
      </c>
      <c r="K142" s="45" t="b">
        <f>IF(AND(F141&gt;=I142,F141&lt;=J142),TRUE,FALSE)</f>
        <v>0</v>
      </c>
      <c r="L142" s="32"/>
      <c r="M142" s="32"/>
      <c r="N142" s="32"/>
      <c r="O142" s="1632"/>
      <c r="P142" s="1647">
        <v>11</v>
      </c>
      <c r="Q142" s="1648">
        <v>11</v>
      </c>
      <c r="R142" s="1623" t="b">
        <f>IF(AND(F142&gt;=P142,F142&lt;=Q142),TRUE,FALSE)</f>
        <v>0</v>
      </c>
      <c r="S142" s="1647">
        <v>11</v>
      </c>
      <c r="T142" s="1648">
        <v>11</v>
      </c>
      <c r="U142" s="1623" t="b">
        <f>IF(AND(F142&gt;=S142,F142&lt;=T142),TRUE,FALSE)</f>
        <v>0</v>
      </c>
      <c r="W142" s="1429"/>
      <c r="X142" s="1425">
        <v>11</v>
      </c>
      <c r="Y142" s="1426"/>
      <c r="Z142" s="1427">
        <v>11</v>
      </c>
      <c r="AA142" s="1426"/>
      <c r="AB142" s="1421">
        <v>11</v>
      </c>
      <c r="AD142" s="960"/>
      <c r="AE142" s="961"/>
      <c r="AF142" s="960"/>
      <c r="AG142" s="961"/>
      <c r="AH142" s="960"/>
      <c r="AI142" s="961"/>
      <c r="AK142" s="10"/>
      <c r="AL142" s="10"/>
      <c r="AM142" s="10"/>
      <c r="AN142" s="975">
        <f>IF($K142=TRUE,H142,0)</f>
        <v>0</v>
      </c>
      <c r="AO142" s="975">
        <f>IF($R142=TRUE,H142,0)</f>
        <v>0</v>
      </c>
      <c r="AP142" s="975">
        <f>IF($U142=TRUE,H142,0)</f>
        <v>0</v>
      </c>
      <c r="AQ142" s="1806">
        <f>IF(I142=11,0,G142*I142)</f>
        <v>0</v>
      </c>
      <c r="AR142" s="1806">
        <f>IF(J142=11,0,G142*J142)</f>
        <v>0</v>
      </c>
      <c r="AS142" s="1806">
        <f>IF(P142=11,0,G142*P142)</f>
        <v>0</v>
      </c>
      <c r="AT142" s="1806">
        <f>IF(Q142=11,0,G142*Q142)</f>
        <v>0</v>
      </c>
      <c r="AU142" s="1806">
        <f>IF(S142=11,0,S142*G142)</f>
        <v>0</v>
      </c>
      <c r="AV142" s="1806">
        <f>IF(T142=11,0,T142*G142)</f>
        <v>0</v>
      </c>
      <c r="BD142" s="816"/>
      <c r="BE142" s="110"/>
      <c r="BF142" s="477"/>
      <c r="BG142" s="113"/>
      <c r="BH142" s="481"/>
      <c r="BI142" s="113"/>
      <c r="BJ142" s="482"/>
      <c r="BK142" s="478"/>
    </row>
    <row r="143" spans="2:63" ht="32" customHeight="1" thickBot="1" x14ac:dyDescent="0.35">
      <c r="D143" s="16"/>
      <c r="E143" s="16"/>
      <c r="F143" s="89"/>
      <c r="G143" s="473"/>
      <c r="H143" s="47">
        <f>IF(AND(K141=TRUE,K142=FALSE),H141,IF(AND(K141=FALSE,K142=TRUE),H142,IF(AND(K141=TRUE,K142=TRUE),H141+H142,MAX(H141,H142))))</f>
        <v>0</v>
      </c>
      <c r="I143" s="1644"/>
      <c r="J143" s="1645"/>
      <c r="K143" s="1651" t="b">
        <f>IF(AND(K141=FALSE,K142=FALSE),FALSE,TRUE)</f>
        <v>0</v>
      </c>
      <c r="L143" s="1633"/>
      <c r="M143" s="1634"/>
      <c r="N143" s="1634"/>
      <c r="O143" s="1635"/>
      <c r="P143" s="1644"/>
      <c r="Q143" s="1645"/>
      <c r="R143" s="1651" t="b">
        <f>IF(AND(R141=FALSE,R142=FALSE),FALSE,TRUE)</f>
        <v>0</v>
      </c>
      <c r="S143" s="1656"/>
      <c r="T143" s="1657"/>
      <c r="U143" s="1658" t="b">
        <f>IF(AND(U141=FALSE,U142=FALSE),FALSE,TRUE)</f>
        <v>0</v>
      </c>
      <c r="V143" s="933"/>
      <c r="AD143" s="1564" t="str">
        <f>IF(K143=TRUE,"V","F")</f>
        <v>F</v>
      </c>
      <c r="AE143" s="1565"/>
      <c r="AF143" s="1564" t="str">
        <f>IF(R143=TRUE,"V","F")</f>
        <v>F</v>
      </c>
      <c r="AG143" s="1565"/>
      <c r="AH143" s="1564" t="str">
        <f>IF(U143=TRUE,"V","F")</f>
        <v>F</v>
      </c>
      <c r="AI143" s="1565"/>
      <c r="AK143" s="10">
        <v>1</v>
      </c>
      <c r="AL143" s="10">
        <v>1</v>
      </c>
      <c r="AM143" s="10"/>
      <c r="AN143" s="2102">
        <f>IF(AND($K141=TRUE,$K142=FALSE),AN141,IF(AND($K141=FALSE,$K142=TRUE),AN142,MAX(AN141,AN142)))</f>
        <v>0</v>
      </c>
      <c r="AO143" s="2102">
        <f>IF(AND($R141=TRUE,$R142=FALSE),AO141,IF(AND($R141=FALSE,$R142=TRUE),AO142,MAX(AO141,AO142)))</f>
        <v>0</v>
      </c>
      <c r="AP143" s="2102">
        <f>IF(AND($U141=TRUE,$U142=FALSE),AP141,IF(AND($U141=FALSE,$U142=TRUE),AP142,MAX(AP141,AP142)))</f>
        <v>0</v>
      </c>
      <c r="AQ143" s="2102">
        <f>IF(AND($K141=TRUE,$K142=FALSE),AQ141,IF(AND($K141=FALSE,$K142=TRUE),AQ142,MAX(AQ141,AQ142)))</f>
        <v>0</v>
      </c>
      <c r="AR143" s="2102">
        <f>IF(AND($K141=TRUE,$K142=FALSE),AR141,IF(AND($K141=FALSE,$K142=TRUE),AR142,MAX(AR141,AR142)))</f>
        <v>0</v>
      </c>
      <c r="AS143" s="2102">
        <f>IF(AND($R141=TRUE,$R142=FALSE),AS141,IF(AND($R141=FALSE,$R142=TRUE),AS142,MAX(AS141,AS142)))</f>
        <v>0</v>
      </c>
      <c r="AT143" s="2102">
        <f>IF(AND($R141=TRUE,$R142=FALSE),AT141,IF(AND($R141=FALSE,$R142=TRUE),AT142,MAX(AT141,AT142)))</f>
        <v>0</v>
      </c>
      <c r="AU143" s="2102">
        <f>IF(AND($U141=TRUE,$U142=FALSE),AU141,IF(AND($U141=FALSE,$U142=TRUE),AU142,MAX(AU141,AU142)))</f>
        <v>0</v>
      </c>
      <c r="AV143" s="2102">
        <f>IF(AND($U141=TRUE,$U142=FALSE),AV141,IF(AND($U141=FALSE,$U142=TRUE),AV142,MAX(AV141,AV142)))</f>
        <v>0</v>
      </c>
      <c r="BD143" s="816"/>
      <c r="BE143" s="110"/>
      <c r="BF143" s="477"/>
      <c r="BG143" s="113"/>
      <c r="BH143" s="481"/>
      <c r="BI143" s="113"/>
      <c r="BJ143" s="482"/>
      <c r="BK143" s="478"/>
    </row>
    <row r="144" spans="2:63" ht="32" customHeight="1" thickBot="1" x14ac:dyDescent="0.35">
      <c r="D144" s="16"/>
      <c r="E144" s="16"/>
      <c r="F144" s="89"/>
      <c r="G144" s="473"/>
      <c r="H144" s="473"/>
      <c r="I144" s="8"/>
      <c r="J144" s="8"/>
      <c r="K144" s="80"/>
      <c r="L144" s="170"/>
      <c r="M144" s="170"/>
      <c r="N144" s="170"/>
      <c r="O144" s="170"/>
      <c r="P144" s="170"/>
      <c r="Q144" s="170"/>
      <c r="R144" s="170"/>
      <c r="S144" s="170"/>
      <c r="T144" s="170"/>
      <c r="U144" s="170"/>
      <c r="V144" s="170"/>
      <c r="AD144" s="1649"/>
      <c r="AE144" s="1650">
        <f>IF(AND(AD143="V",AD135="V"),AE139-1,AE139)</f>
        <v>0</v>
      </c>
      <c r="AF144" s="1649"/>
      <c r="AG144" s="1650">
        <f>IF(OR(AF135="V",AF138="V",AF143="V"),1,0)</f>
        <v>0</v>
      </c>
      <c r="AH144" s="1649"/>
      <c r="AI144" s="1650">
        <f>IF(AH135="V",1,IF(AH143="V",1,0))</f>
        <v>0</v>
      </c>
      <c r="AK144" s="10"/>
      <c r="AL144" s="10"/>
      <c r="AM144" s="10"/>
      <c r="AN144" s="2101">
        <f>IF($AD143="F",AN139,AN139+AN143)</f>
        <v>0</v>
      </c>
      <c r="AO144" s="2101">
        <f>IF($AF143="F",AO139,AO139+AO143)</f>
        <v>0</v>
      </c>
      <c r="AP144" s="2101">
        <f>IF(AND($AH135="V",$AH143="F"),AP135,IF(AND($AH135="F",$AH143="V"),AP143,IF(AND($AH135="V",$AH143="V"),AP135+AP143,0)))</f>
        <v>0</v>
      </c>
      <c r="AQ144" s="2101">
        <f>IF($AD143="F",AQ139,AQ139+AQ143)</f>
        <v>0</v>
      </c>
      <c r="AR144" s="2101">
        <f t="shared" ref="AR144" si="108">IF($AD143="F",AR139,AR139+AR143)</f>
        <v>0</v>
      </c>
      <c r="AS144" s="2101">
        <f t="shared" ref="AS144" si="109">IF($AF143="F",AS139,AS139+AS143)</f>
        <v>0</v>
      </c>
      <c r="AT144" s="2101">
        <f t="shared" ref="AT144" si="110">IF($AF143="F",AT139,AT139+AT143)</f>
        <v>0</v>
      </c>
      <c r="AU144" s="2101">
        <f>IF(AND($AH135="V",$AH143="F"),AU135,IF(AND($AH135="F",$AH143="V"),AU143,IF(AND($AH135="V",$AH143="V"),AU135+AU143,0)))</f>
        <v>0</v>
      </c>
      <c r="AV144" s="2101">
        <f>IF(AND($AH135="V",$AH143="F"),AV135,IF(AND($AH135="F",$AH143="V"),AV143,IF(AND($AH135="V",$AH143="V"),AV135+AV143,0)))</f>
        <v>0</v>
      </c>
      <c r="BD144" s="816"/>
      <c r="BE144" s="110"/>
      <c r="BF144" s="477"/>
      <c r="BG144" s="113"/>
      <c r="BH144" s="481"/>
      <c r="BI144" s="113"/>
      <c r="BJ144" s="482"/>
      <c r="BK144" s="478"/>
    </row>
    <row r="145" spans="2:63" ht="32" customHeight="1" x14ac:dyDescent="0.3">
      <c r="D145" s="16"/>
      <c r="E145" s="16"/>
      <c r="F145" s="89"/>
      <c r="G145" s="473"/>
      <c r="H145" s="473"/>
      <c r="I145" s="2270" t="s">
        <v>1395</v>
      </c>
      <c r="J145" s="2271"/>
      <c r="K145" s="2272"/>
      <c r="L145" s="2268"/>
      <c r="M145" s="2268"/>
      <c r="N145" s="2268"/>
      <c r="O145" s="1619"/>
      <c r="P145" s="2273" t="s">
        <v>1394</v>
      </c>
      <c r="Q145" s="2274"/>
      <c r="R145" s="2275"/>
      <c r="S145" s="1678" t="s">
        <v>1393</v>
      </c>
      <c r="T145" s="1618"/>
      <c r="U145" s="1619"/>
      <c r="V145" s="170"/>
      <c r="AK145" s="10"/>
      <c r="AL145" s="10"/>
      <c r="AM145" s="10"/>
      <c r="BD145" s="816"/>
      <c r="BE145" s="110"/>
      <c r="BF145" s="477"/>
      <c r="BG145" s="113"/>
      <c r="BH145" s="481"/>
      <c r="BI145" s="113"/>
      <c r="BJ145" s="482"/>
      <c r="BK145" s="478"/>
    </row>
    <row r="146" spans="2:63" ht="32" customHeight="1" x14ac:dyDescent="0.3">
      <c r="B146" s="2029">
        <v>7</v>
      </c>
      <c r="D146" s="476" t="s">
        <v>1911</v>
      </c>
      <c r="E146" s="107"/>
      <c r="F146" s="65"/>
      <c r="G146" s="18"/>
      <c r="H146" s="18"/>
      <c r="I146" s="2255" t="s">
        <v>734</v>
      </c>
      <c r="J146" s="2256"/>
      <c r="K146" s="2256"/>
      <c r="L146" s="2257" t="s">
        <v>1378</v>
      </c>
      <c r="M146" s="2257"/>
      <c r="N146" s="2257"/>
      <c r="O146" s="2258"/>
      <c r="P146" s="2259" t="s">
        <v>733</v>
      </c>
      <c r="Q146" s="2260"/>
      <c r="R146" s="2261"/>
      <c r="S146" s="2262" t="s">
        <v>735</v>
      </c>
      <c r="T146" s="2263"/>
      <c r="U146" s="2264"/>
      <c r="V146" s="15"/>
      <c r="W146" s="170"/>
      <c r="AD146" s="956"/>
      <c r="AE146" s="956"/>
      <c r="AF146" s="956"/>
      <c r="AG146" s="956"/>
      <c r="AH146" s="956"/>
      <c r="AI146" s="957"/>
      <c r="AK146" s="10"/>
      <c r="AL146" s="10"/>
      <c r="AM146" s="10"/>
      <c r="AN146" s="1659" t="s">
        <v>734</v>
      </c>
      <c r="AO146" s="1659" t="s">
        <v>733</v>
      </c>
      <c r="AP146" s="1659" t="s">
        <v>735</v>
      </c>
      <c r="AQ146" s="2254" t="s">
        <v>734</v>
      </c>
      <c r="AR146" s="2254"/>
      <c r="AS146" s="2254" t="s">
        <v>733</v>
      </c>
      <c r="AT146" s="2254"/>
      <c r="AU146" s="2254" t="s">
        <v>735</v>
      </c>
      <c r="AV146" s="2254"/>
      <c r="BD146" s="816"/>
      <c r="BE146" s="110"/>
      <c r="BF146" s="477"/>
      <c r="BG146" s="113"/>
      <c r="BH146" s="481"/>
      <c r="BI146" s="113"/>
      <c r="BJ146" s="482"/>
      <c r="BK146" s="478"/>
    </row>
    <row r="147" spans="2:63" ht="32" customHeight="1" x14ac:dyDescent="0.2">
      <c r="B147" s="2030"/>
      <c r="D147" s="102" t="s">
        <v>998</v>
      </c>
      <c r="E147" s="983" t="s">
        <v>997</v>
      </c>
      <c r="F147" s="32" t="s">
        <v>748</v>
      </c>
      <c r="G147" s="32" t="s">
        <v>749</v>
      </c>
      <c r="H147" s="32" t="s">
        <v>750</v>
      </c>
      <c r="I147" s="1620" t="s">
        <v>306</v>
      </c>
      <c r="J147" s="43" t="s">
        <v>307</v>
      </c>
      <c r="K147" s="43" t="s">
        <v>308</v>
      </c>
      <c r="L147" s="43" t="s">
        <v>413</v>
      </c>
      <c r="M147" s="43" t="s">
        <v>388</v>
      </c>
      <c r="N147" s="43" t="s">
        <v>389</v>
      </c>
      <c r="O147" s="1621" t="s">
        <v>390</v>
      </c>
      <c r="P147" s="1620" t="s">
        <v>306</v>
      </c>
      <c r="Q147" s="43" t="s">
        <v>307</v>
      </c>
      <c r="R147" s="1621" t="s">
        <v>308</v>
      </c>
      <c r="S147" s="1620" t="s">
        <v>306</v>
      </c>
      <c r="T147" s="43" t="s">
        <v>307</v>
      </c>
      <c r="U147" s="1621" t="s">
        <v>308</v>
      </c>
      <c r="V147" s="818"/>
      <c r="W147" s="955" t="s">
        <v>928</v>
      </c>
      <c r="X147" s="1391" t="s">
        <v>734</v>
      </c>
      <c r="Y147" s="955" t="s">
        <v>928</v>
      </c>
      <c r="Z147" s="1395" t="s">
        <v>733</v>
      </c>
      <c r="AA147" s="955" t="s">
        <v>928</v>
      </c>
      <c r="AB147" s="1399" t="s">
        <v>735</v>
      </c>
      <c r="AD147" s="970" t="s">
        <v>734</v>
      </c>
      <c r="AE147" s="971" t="s">
        <v>946</v>
      </c>
      <c r="AF147" s="970" t="s">
        <v>733</v>
      </c>
      <c r="AG147" s="971" t="s">
        <v>947</v>
      </c>
      <c r="AH147" s="970" t="s">
        <v>735</v>
      </c>
      <c r="AI147" s="971" t="s">
        <v>948</v>
      </c>
      <c r="AK147" s="10"/>
      <c r="AL147" s="10"/>
      <c r="AM147" s="10"/>
      <c r="AN147" s="10"/>
      <c r="AO147" s="10"/>
      <c r="AP147" s="10"/>
      <c r="AQ147" s="1806" t="s">
        <v>1322</v>
      </c>
      <c r="AR147" s="1806" t="s">
        <v>1323</v>
      </c>
      <c r="AS147" s="1806" t="s">
        <v>1322</v>
      </c>
      <c r="AT147" s="1806" t="s">
        <v>1323</v>
      </c>
      <c r="AU147" s="1806" t="s">
        <v>1322</v>
      </c>
      <c r="AV147" s="1806" t="s">
        <v>1323</v>
      </c>
      <c r="BD147" s="816"/>
      <c r="BE147" s="110"/>
      <c r="BF147" s="477"/>
      <c r="BG147" s="113"/>
      <c r="BH147" s="481"/>
      <c r="BI147" s="113"/>
      <c r="BJ147" s="482"/>
      <c r="BK147" s="478"/>
    </row>
    <row r="148" spans="2:63" ht="36" customHeight="1" x14ac:dyDescent="0.2">
      <c r="B148" s="1847" t="str">
        <f>'Action-Réaction finale'!I25</f>
        <v>C: Chantage affectif, loyauté, manipulation</v>
      </c>
      <c r="C148" s="414" t="str">
        <f>'Action-Réaction finale'!G25</f>
        <v>PFA09</v>
      </c>
      <c r="D148" s="26" t="str">
        <f>Test_Bible!B180</f>
        <v>Arrive-t-il que l'autre parent vous accable de reproches par courriel ou texto au retour des enfants (après votre tour de garde) ?</v>
      </c>
      <c r="E148" s="101" t="s">
        <v>767</v>
      </c>
      <c r="F148" s="790">
        <f>Test_Bible!P180</f>
        <v>2</v>
      </c>
      <c r="G148" s="789">
        <f>Test_Bible!D180</f>
        <v>1</v>
      </c>
      <c r="H148" s="790">
        <f>F148*G148</f>
        <v>2</v>
      </c>
      <c r="I148" s="1622">
        <v>7</v>
      </c>
      <c r="J148" s="1615">
        <v>10</v>
      </c>
      <c r="K148" s="45" t="b">
        <f>IF(AND(F148&gt;=I148,F148&lt;=J148),TRUE,FALSE)</f>
        <v>0</v>
      </c>
      <c r="L148" s="45"/>
      <c r="M148" s="45"/>
      <c r="N148" s="45"/>
      <c r="O148" s="1623"/>
      <c r="P148" s="1647">
        <v>11</v>
      </c>
      <c r="Q148" s="1648">
        <v>11</v>
      </c>
      <c r="R148" s="1623" t="b">
        <f>IF(AND(F148&gt;=P148,F148&lt;=Q148),TRUE,FALSE)</f>
        <v>0</v>
      </c>
      <c r="S148" s="1622">
        <v>4</v>
      </c>
      <c r="T148" s="1615">
        <v>7</v>
      </c>
      <c r="U148" s="1623" t="b">
        <f>IF(AND(F148&gt;=S148,F148&lt;=T148),TRUE,FALSE)</f>
        <v>0</v>
      </c>
      <c r="V148" s="931"/>
      <c r="W148" s="1403"/>
      <c r="X148" s="1404">
        <v>4</v>
      </c>
      <c r="Y148" s="1405"/>
      <c r="Z148" s="1424">
        <v>11</v>
      </c>
      <c r="AA148" s="1405"/>
      <c r="AB148" s="1415">
        <v>2</v>
      </c>
      <c r="AD148" s="958"/>
      <c r="AE148" s="959"/>
      <c r="AF148" s="958"/>
      <c r="AG148" s="959"/>
      <c r="AH148" s="958"/>
      <c r="AI148" s="959"/>
      <c r="AK148" s="10"/>
      <c r="AL148" s="10"/>
      <c r="AM148" s="10"/>
      <c r="AN148" s="975">
        <f>IF($K148=TRUE,H148,0)</f>
        <v>0</v>
      </c>
      <c r="AO148" s="975">
        <f>IF($R148=TRUE,H148,0)</f>
        <v>0</v>
      </c>
      <c r="AP148" s="975">
        <f>IF($U148=TRUE,H148,0)</f>
        <v>0</v>
      </c>
      <c r="AQ148" s="1806">
        <f>IF(I148=11,0,G148*I148)</f>
        <v>7</v>
      </c>
      <c r="AR148" s="1806">
        <f>IF(J148=11,0,G148*J148)</f>
        <v>10</v>
      </c>
      <c r="AS148" s="1806">
        <f>IF(P148=11,0,G148*P148)</f>
        <v>0</v>
      </c>
      <c r="AT148" s="1806">
        <f>IF(Q148=11,0,G148*Q148)</f>
        <v>0</v>
      </c>
      <c r="AU148" s="1806">
        <f>IF(S148=11,0,S148*G148)</f>
        <v>4</v>
      </c>
      <c r="AV148" s="1806">
        <f>IF(T148=11,0,T148*G148)</f>
        <v>7</v>
      </c>
      <c r="BD148" s="816"/>
      <c r="BE148" s="110"/>
      <c r="BF148" s="477"/>
      <c r="BG148" s="113"/>
      <c r="BH148" s="481"/>
      <c r="BI148" s="113"/>
      <c r="BJ148" s="482"/>
      <c r="BK148" s="478"/>
    </row>
    <row r="149" spans="2:63" ht="32" customHeight="1" x14ac:dyDescent="0.2">
      <c r="B149" s="2032"/>
      <c r="C149" s="414"/>
      <c r="D149" s="26"/>
      <c r="E149" s="101"/>
      <c r="F149" s="790"/>
      <c r="G149" s="789"/>
      <c r="H149" s="790">
        <f>F149*G149</f>
        <v>0</v>
      </c>
      <c r="I149" s="1647">
        <v>11</v>
      </c>
      <c r="J149" s="1648">
        <v>11</v>
      </c>
      <c r="K149" s="45" t="b">
        <f>IF(AND(F149&gt;=I149,F149&lt;=J149),TRUE,FALSE)</f>
        <v>0</v>
      </c>
      <c r="L149" s="45"/>
      <c r="M149" s="45"/>
      <c r="N149" s="45"/>
      <c r="O149" s="1623"/>
      <c r="P149" s="1647">
        <v>11</v>
      </c>
      <c r="Q149" s="1648">
        <v>11</v>
      </c>
      <c r="R149" s="1623" t="b">
        <f>IF(AND(F149&gt;=P149,F149&lt;=Q149),TRUE,FALSE)</f>
        <v>0</v>
      </c>
      <c r="S149" s="1647">
        <v>11</v>
      </c>
      <c r="T149" s="1648">
        <v>11</v>
      </c>
      <c r="U149" s="1623" t="b">
        <f>IF(AND(F149&gt;=S149,F149&lt;=T149),TRUE,FALSE)</f>
        <v>0</v>
      </c>
      <c r="V149" s="931"/>
      <c r="W149" s="1406" t="s">
        <v>943</v>
      </c>
      <c r="X149" s="1425">
        <v>11</v>
      </c>
      <c r="Y149" s="1426"/>
      <c r="Z149" s="1427">
        <v>11</v>
      </c>
      <c r="AA149" s="1426"/>
      <c r="AB149" s="1421">
        <v>11</v>
      </c>
      <c r="AD149" s="960"/>
      <c r="AE149" s="961"/>
      <c r="AF149" s="960"/>
      <c r="AG149" s="961"/>
      <c r="AH149" s="960"/>
      <c r="AI149" s="961"/>
      <c r="AK149" s="10"/>
      <c r="AL149" s="10"/>
      <c r="AM149" s="10"/>
      <c r="AN149" s="975">
        <f>IF($K149=TRUE,H149,0)</f>
        <v>0</v>
      </c>
      <c r="AO149" s="975">
        <f>IF($R149=TRUE,H149,0)</f>
        <v>0</v>
      </c>
      <c r="AP149" s="975">
        <f>IF($U149=TRUE,H149,0)</f>
        <v>0</v>
      </c>
      <c r="AQ149" s="1806">
        <f>IF(I149=11,0,G149*I149)</f>
        <v>0</v>
      </c>
      <c r="AR149" s="1806">
        <f>IF(J149=11,0,G149*J149)</f>
        <v>0</v>
      </c>
      <c r="AS149" s="1806">
        <f>IF(P149=11,0,G149*P149)</f>
        <v>0</v>
      </c>
      <c r="AT149" s="1806">
        <f>IF(Q149=11,0,G149*Q149)</f>
        <v>0</v>
      </c>
      <c r="AU149" s="1806">
        <f>IF(S149=11,0,S149*G149)</f>
        <v>0</v>
      </c>
      <c r="AV149" s="1806">
        <f>IF(T149=11,0,T149*G149)</f>
        <v>0</v>
      </c>
      <c r="BD149" s="816"/>
      <c r="BE149" s="110"/>
      <c r="BF149" s="477"/>
      <c r="BG149" s="113"/>
      <c r="BH149" s="481"/>
      <c r="BI149" s="113"/>
      <c r="BJ149" s="482"/>
      <c r="BK149" s="478"/>
    </row>
    <row r="150" spans="2:63" ht="32" customHeight="1" x14ac:dyDescent="0.2">
      <c r="B150" s="1847"/>
      <c r="C150" s="792" t="s">
        <v>745</v>
      </c>
      <c r="D150" s="793" t="str">
        <f>_xlfn.XLOOKUP(H150,H148:H149,D148:D149)</f>
        <v>Arrive-t-il que l'autre parent vous accable de reproches par courriel ou texto au retour des enfants (après votre tour de garde) ?</v>
      </c>
      <c r="E150" s="794" t="str">
        <f>_xlfn.XLOOKUP(H150,H148:H149,E148:E149)</f>
        <v>accable de reproches par courriel ou texto au retour de garde</v>
      </c>
      <c r="F150" s="795"/>
      <c r="G150" s="795"/>
      <c r="H150" s="795">
        <f>IF(AND(K148=TRUE,K149=FALSE),H148,IF(AND(K148=FALSE,K149=TRUE),H149,MAX(H148,H149)))</f>
        <v>2</v>
      </c>
      <c r="I150" s="1624"/>
      <c r="J150" s="796"/>
      <c r="K150" s="797" t="b">
        <f>IF(AND(K148=FALSE,K149=FALSE),FALSE,TRUE)</f>
        <v>0</v>
      </c>
      <c r="L150" s="45"/>
      <c r="M150" s="45"/>
      <c r="N150" s="45"/>
      <c r="O150" s="1623"/>
      <c r="P150" s="1624"/>
      <c r="Q150" s="796"/>
      <c r="R150" s="1637" t="b">
        <f>IF(AND(R148=FALSE,R149=FALSE),FALSE,TRUE)</f>
        <v>0</v>
      </c>
      <c r="S150" s="1624"/>
      <c r="T150" s="796"/>
      <c r="U150" s="1637" t="b">
        <f>IF(AND(U148=FALSE,U149=FALSE),FALSE,TRUE)</f>
        <v>0</v>
      </c>
      <c r="V150" s="931"/>
      <c r="W150" s="931" t="s">
        <v>943</v>
      </c>
      <c r="X150" s="1392"/>
      <c r="Y150" s="8"/>
      <c r="Z150" s="1397"/>
      <c r="AA150" s="8"/>
      <c r="AB150" s="1400"/>
      <c r="AD150" s="960"/>
      <c r="AE150" s="961"/>
      <c r="AF150" s="960"/>
      <c r="AG150" s="961"/>
      <c r="AH150" s="960"/>
      <c r="AI150" s="961"/>
      <c r="AK150" s="10"/>
      <c r="AL150" s="10"/>
      <c r="AM150" s="10"/>
      <c r="AN150" s="2100">
        <f>IF($K150=TRUE,MAX(AN148:AN149),0)</f>
        <v>0</v>
      </c>
      <c r="AO150" s="2100">
        <f>IF($R150=TRUE,MAX(AO148:AO149),0)</f>
        <v>0</v>
      </c>
      <c r="AP150" s="2100">
        <f>IF($U150=TRUE,MAX(AP148:AP149),0)</f>
        <v>0</v>
      </c>
      <c r="AQ150" s="2099">
        <f>MAX(AQ148:AQ149)</f>
        <v>7</v>
      </c>
      <c r="AR150" s="2099">
        <f t="shared" ref="AR150" si="111">MAX(AR148:AR149)</f>
        <v>10</v>
      </c>
      <c r="AS150" s="2099">
        <f t="shared" ref="AS150" si="112">MAX(AS148:AS149)</f>
        <v>0</v>
      </c>
      <c r="AT150" s="2099">
        <f t="shared" ref="AT150" si="113">MAX(AT148:AT149)</f>
        <v>0</v>
      </c>
      <c r="AU150" s="2099">
        <f t="shared" ref="AU150" si="114">MAX(AU148:AU149)</f>
        <v>4</v>
      </c>
      <c r="AV150" s="2099">
        <f t="shared" ref="AV150" si="115">MAX(AV148:AV149)</f>
        <v>7</v>
      </c>
      <c r="BD150" s="816"/>
      <c r="BE150" s="110"/>
      <c r="BF150" s="477"/>
      <c r="BG150" s="113"/>
      <c r="BH150" s="481"/>
      <c r="BI150" s="113"/>
      <c r="BJ150" s="482"/>
      <c r="BK150" s="478"/>
    </row>
    <row r="151" spans="2:63" ht="32" customHeight="1" x14ac:dyDescent="0.2">
      <c r="B151" s="2030"/>
      <c r="C151" s="52"/>
      <c r="D151" s="26"/>
      <c r="E151" s="101"/>
      <c r="F151" s="790"/>
      <c r="G151" s="789"/>
      <c r="H151" s="790">
        <f>F151*G151</f>
        <v>0</v>
      </c>
      <c r="I151" s="1647">
        <v>11</v>
      </c>
      <c r="J151" s="1648">
        <v>11</v>
      </c>
      <c r="K151" s="45" t="b">
        <f>IF(AND(F151&gt;=I151,F151&lt;=J151),TRUE,FALSE)</f>
        <v>0</v>
      </c>
      <c r="L151" s="45"/>
      <c r="M151" s="45"/>
      <c r="N151" s="45"/>
      <c r="O151" s="1623"/>
      <c r="P151" s="1647">
        <v>11</v>
      </c>
      <c r="Q151" s="1648">
        <v>11</v>
      </c>
      <c r="R151" s="1623" t="b">
        <f>IF(AND(F151&gt;=P151,F151&lt;=Q151),TRUE,FALSE)</f>
        <v>0</v>
      </c>
      <c r="S151" s="1647">
        <v>11</v>
      </c>
      <c r="T151" s="1648">
        <v>11</v>
      </c>
      <c r="U151" s="1623" t="b">
        <f>IF(AND(F151&gt;=S151,F151&lt;=T151),TRUE,FALSE)</f>
        <v>0</v>
      </c>
      <c r="V151" s="931"/>
      <c r="W151" s="1403"/>
      <c r="X151" s="1422">
        <v>11</v>
      </c>
      <c r="Y151" s="1423"/>
      <c r="Z151" s="1424">
        <v>11</v>
      </c>
      <c r="AA151" s="1423"/>
      <c r="AB151" s="1416">
        <v>11</v>
      </c>
      <c r="AD151" s="960"/>
      <c r="AE151" s="961"/>
      <c r="AF151" s="960"/>
      <c r="AG151" s="961"/>
      <c r="AH151" s="960"/>
      <c r="AI151" s="961"/>
      <c r="AK151" s="10"/>
      <c r="AL151" s="10"/>
      <c r="AM151" s="10"/>
      <c r="AN151" s="975">
        <f>IF(K151=TRUE,H151,0)</f>
        <v>0</v>
      </c>
      <c r="AO151" s="975">
        <f>IF(R151=TRUE,H151,0)</f>
        <v>0</v>
      </c>
      <c r="AP151" s="975">
        <f>IF(U151=TRUE,H151,0)</f>
        <v>0</v>
      </c>
      <c r="AQ151" s="1806">
        <f>IF(I151=11,0,G151*I151)</f>
        <v>0</v>
      </c>
      <c r="AR151" s="1806">
        <f>IF(J151=11,0,G151*J151)</f>
        <v>0</v>
      </c>
      <c r="AS151" s="1806">
        <f>IF(P151=11,0,G151*P151)</f>
        <v>0</v>
      </c>
      <c r="AT151" s="1806">
        <f>IF(Q151=11,0,G151*Q151)</f>
        <v>0</v>
      </c>
      <c r="AU151" s="1806">
        <f>IF(S151=11,0,S151*G151)</f>
        <v>0</v>
      </c>
      <c r="AV151" s="1806">
        <f>IF(T151=11,0,T151*G151)</f>
        <v>0</v>
      </c>
      <c r="BD151" s="816"/>
      <c r="BE151" s="110"/>
      <c r="BF151" s="477"/>
      <c r="BG151" s="113"/>
      <c r="BH151" s="481"/>
      <c r="BI151" s="113"/>
      <c r="BJ151" s="482"/>
      <c r="BK151" s="478"/>
    </row>
    <row r="152" spans="2:63" ht="32" customHeight="1" x14ac:dyDescent="0.2">
      <c r="B152" s="2030"/>
      <c r="C152" s="52"/>
      <c r="D152" s="26"/>
      <c r="E152" s="62"/>
      <c r="F152" s="35"/>
      <c r="G152" s="35"/>
      <c r="H152" s="35">
        <f>F152*G152</f>
        <v>0</v>
      </c>
      <c r="I152" s="1647">
        <v>11</v>
      </c>
      <c r="J152" s="1648">
        <v>11</v>
      </c>
      <c r="K152" s="45" t="b">
        <f>IF(AND(F152&gt;=I152,F152&lt;=J152),TRUE,FALSE)</f>
        <v>0</v>
      </c>
      <c r="L152" s="45"/>
      <c r="M152" s="45"/>
      <c r="N152" s="45"/>
      <c r="O152" s="1623"/>
      <c r="P152" s="1647">
        <v>11</v>
      </c>
      <c r="Q152" s="1648">
        <v>11</v>
      </c>
      <c r="R152" s="1623" t="b">
        <f>IF(AND(F152&gt;=P152,F152&lt;=Q152),TRUE,FALSE)</f>
        <v>0</v>
      </c>
      <c r="S152" s="1647">
        <v>11</v>
      </c>
      <c r="T152" s="1648">
        <v>11</v>
      </c>
      <c r="U152" s="1623" t="b">
        <f>IF(AND(F152&gt;=S152,F152&lt;=T152),TRUE,FALSE)</f>
        <v>0</v>
      </c>
      <c r="V152" s="931"/>
      <c r="W152" s="1406" t="s">
        <v>943</v>
      </c>
      <c r="X152" s="1425">
        <v>11</v>
      </c>
      <c r="Y152" s="1426"/>
      <c r="Z152" s="1427">
        <v>11</v>
      </c>
      <c r="AA152" s="1426"/>
      <c r="AB152" s="1421">
        <v>11</v>
      </c>
      <c r="AD152" s="960"/>
      <c r="AE152" s="961"/>
      <c r="AF152" s="960"/>
      <c r="AG152" s="961"/>
      <c r="AH152" s="960"/>
      <c r="AI152" s="961"/>
      <c r="AK152" s="10"/>
      <c r="AL152" s="10"/>
      <c r="AM152" s="10"/>
      <c r="AN152" s="975">
        <f>IF(K152=TRUE,H152,0)</f>
        <v>0</v>
      </c>
      <c r="AO152" s="975">
        <f>IF(R152=TRUE,H152,0)</f>
        <v>0</v>
      </c>
      <c r="AP152" s="975">
        <f>IF(U152=TRUE,H152,0)</f>
        <v>0</v>
      </c>
      <c r="AQ152" s="1806">
        <f>IF(I152=11,0,G152*I152)</f>
        <v>0</v>
      </c>
      <c r="AR152" s="1806">
        <f>IF(J152=11,0,G152*J152)</f>
        <v>0</v>
      </c>
      <c r="AS152" s="1806">
        <f>IF(P152=11,0,G152*P152)</f>
        <v>0</v>
      </c>
      <c r="AT152" s="1806">
        <f>IF(Q152=11,0,G152*Q152)</f>
        <v>0</v>
      </c>
      <c r="AU152" s="1806">
        <f>IF(S152=11,0,S152*G152)</f>
        <v>0</v>
      </c>
      <c r="AV152" s="1806">
        <f>IF(T152=11,0,T152*G152)</f>
        <v>0</v>
      </c>
      <c r="BC152" s="816"/>
      <c r="BD152" s="110"/>
      <c r="BE152" s="477"/>
      <c r="BF152" s="113"/>
      <c r="BG152" s="481"/>
      <c r="BH152" s="113"/>
      <c r="BI152" s="482"/>
      <c r="BJ152" s="478"/>
    </row>
    <row r="153" spans="2:63" ht="32" customHeight="1" thickBot="1" x14ac:dyDescent="0.25">
      <c r="B153" s="2030"/>
      <c r="C153" s="798" t="s">
        <v>746</v>
      </c>
      <c r="D153" s="799">
        <f>_xlfn.XLOOKUP(H153,H151:H152,D151:D152)</f>
        <v>0</v>
      </c>
      <c r="E153" s="800">
        <f>_xlfn.XLOOKUP(H153,H151:H152,E151:E152)</f>
        <v>0</v>
      </c>
      <c r="F153" s="801"/>
      <c r="G153" s="801"/>
      <c r="H153" s="795">
        <f>IF(AND(K151=TRUE,K152=FALSE),H151,IF(AND(K151=FALSE,K152=TRUE),H152,MAX(H151,H152)))</f>
        <v>0</v>
      </c>
      <c r="I153" s="1625"/>
      <c r="J153" s="802"/>
      <c r="K153" s="803" t="b">
        <f>IF(AND(K151=FALSE,K152=FALSE),FALSE,TRUE)</f>
        <v>0</v>
      </c>
      <c r="L153" s="45"/>
      <c r="M153" s="45"/>
      <c r="N153" s="45"/>
      <c r="O153" s="1623"/>
      <c r="P153" s="1625"/>
      <c r="Q153" s="802"/>
      <c r="R153" s="1638" t="b">
        <f>IF(AND(R151=FALSE,R152=FALSE),FALSE,TRUE)</f>
        <v>0</v>
      </c>
      <c r="S153" s="1625"/>
      <c r="T153" s="802"/>
      <c r="U153" s="1638" t="b">
        <f>IF(AND(U151=FALSE,U152=FALSE),FALSE,TRUE)</f>
        <v>0</v>
      </c>
      <c r="V153" s="931"/>
      <c r="W153" s="931"/>
      <c r="X153" s="1392"/>
      <c r="Y153" s="8"/>
      <c r="Z153" s="1397"/>
      <c r="AA153" s="8"/>
      <c r="AB153" s="1400"/>
      <c r="AD153" s="960"/>
      <c r="AE153" s="961"/>
      <c r="AF153" s="960"/>
      <c r="AG153" s="961"/>
      <c r="AH153" s="960"/>
      <c r="AI153" s="961"/>
      <c r="AK153" s="10"/>
      <c r="AL153" s="10"/>
      <c r="AM153" s="10"/>
      <c r="AN153" s="2100">
        <f>IF($K153=TRUE,MAX(AN151:AN152),0)</f>
        <v>0</v>
      </c>
      <c r="AO153" s="2100">
        <f>IF($R153=TRUE,MAX(AO151:AO152),0)</f>
        <v>0</v>
      </c>
      <c r="AP153" s="2100">
        <f>IF($U153=TRUE,MAX(AP151:AP152),0)</f>
        <v>0</v>
      </c>
      <c r="AQ153" s="2099">
        <f>MAX(AQ151:AQ152)</f>
        <v>0</v>
      </c>
      <c r="AR153" s="2099">
        <f t="shared" ref="AR153" si="116">MAX(AR151:AR152)</f>
        <v>0</v>
      </c>
      <c r="AS153" s="2099">
        <f t="shared" ref="AS153" si="117">MAX(AS151:AS152)</f>
        <v>0</v>
      </c>
      <c r="AT153" s="2099">
        <f t="shared" ref="AT153" si="118">MAX(AT151:AT152)</f>
        <v>0</v>
      </c>
      <c r="AU153" s="2099">
        <f t="shared" ref="AU153" si="119">MAX(AU151:AU152)</f>
        <v>0</v>
      </c>
      <c r="AV153" s="2099">
        <f t="shared" ref="AV153" si="120">MAX(AV151:AV152)</f>
        <v>0</v>
      </c>
      <c r="BC153" s="816"/>
      <c r="BD153" s="110"/>
      <c r="BE153" s="477"/>
      <c r="BF153" s="113"/>
      <c r="BG153" s="481"/>
      <c r="BH153" s="113"/>
      <c r="BI153" s="482"/>
      <c r="BJ153" s="478"/>
    </row>
    <row r="154" spans="2:63" ht="32" customHeight="1" thickBot="1" x14ac:dyDescent="0.25">
      <c r="B154" s="2030"/>
      <c r="C154" s="804" t="s">
        <v>754</v>
      </c>
      <c r="D154" s="805"/>
      <c r="E154" s="805" t="str">
        <f>IF(H154=H150,E150,E153)</f>
        <v>accable de reproches par courriel ou texto au retour de garde</v>
      </c>
      <c r="F154" s="806"/>
      <c r="G154" s="806"/>
      <c r="H154" s="806">
        <f>IF(AND(K150=TRUE,K153=FALSE),H150,IF(AND(K150=FALSE,K153=TRUE),H153,IF(AND(K150=TRUE,K153=TRUE),H150+H153,MAX(H150,H153))))</f>
        <v>2</v>
      </c>
      <c r="I154" s="1626"/>
      <c r="J154" s="807"/>
      <c r="K154" s="808" t="b">
        <f>IF(AND(K150=FALSE,K153=FALSE),FALSE,TRUE)</f>
        <v>0</v>
      </c>
      <c r="L154" s="1610"/>
      <c r="M154" s="1610"/>
      <c r="N154" s="1610"/>
      <c r="O154" s="1627"/>
      <c r="P154" s="1626"/>
      <c r="Q154" s="807"/>
      <c r="R154" s="808" t="b">
        <f>IF(AND(R150=FALSE,R153=FALSE),FALSE,TRUE)</f>
        <v>0</v>
      </c>
      <c r="S154" s="1626"/>
      <c r="T154" s="807"/>
      <c r="U154" s="808" t="b">
        <f>IF(AND(U150=FALSE,U153=FALSE),FALSE,TRUE)</f>
        <v>0</v>
      </c>
      <c r="V154" s="931"/>
      <c r="W154" s="931" t="s">
        <v>942</v>
      </c>
      <c r="X154" s="1392"/>
      <c r="Y154" s="8"/>
      <c r="Z154" s="1397"/>
      <c r="AA154" s="8"/>
      <c r="AB154" s="1400"/>
      <c r="AD154" s="960" t="str">
        <f>IF(K154=TRUE,"V","F")</f>
        <v>F</v>
      </c>
      <c r="AE154" s="961"/>
      <c r="AF154" s="960" t="str">
        <f>IF(R154=TRUE,"V","F")</f>
        <v>F</v>
      </c>
      <c r="AG154" s="961"/>
      <c r="AH154" s="960" t="str">
        <f>IF(U154=TRUE,"V","F")</f>
        <v>F</v>
      </c>
      <c r="AI154" s="961"/>
      <c r="AJ154" t="str">
        <f>IF(OR(AD154="V",AF154="V"),IF(H153&gt;H150,"Le NC contribue plus que le coparent","Le coparent joue un plus grand rôle que le NC"),"pas de contexte significatif de la part du coparent et NC")</f>
        <v>pas de contexte significatif de la part du coparent et NC</v>
      </c>
      <c r="AK154" s="10"/>
      <c r="AL154" s="10"/>
      <c r="AM154" s="10"/>
      <c r="AN154" s="631">
        <f>IF(AND($K150=TRUE,$K153=FALSE),AN150,IF(AND($K150=FALSE,$K153=TRUE),AN153,IF(AND($K150=TRUE,$K153=TRUE),AN150+AN153,0)))</f>
        <v>0</v>
      </c>
      <c r="AO154" s="631">
        <f>IF(AND($R150=TRUE,$R153=FALSE),AO150,IF(AND($R150=FALSE,$R153=TRUE),AO153,IF(AND($R150=TRUE,$R153=TRUE),AO150+AO153,0)))</f>
        <v>0</v>
      </c>
      <c r="AP154" s="631">
        <f>IF(AND($U150=TRUE,$U153=FALSE),AP150,IF(AND($U150=FALSE,$U153=TRUE),AP153,IF(AND($U150=TRUE,$U153=TRUE),AP150+AP153,0)))</f>
        <v>0</v>
      </c>
      <c r="AQ154" s="631">
        <f>IF(AND($K150=TRUE,$K153=FALSE),AQ150,IF(AND($K150=FALSE,$K153=TRUE),AQ153,IF(AND($K150=TRUE,$K153=TRUE),AQ150+AQ153,MAX(AQ150,AQ153))))</f>
        <v>7</v>
      </c>
      <c r="AR154" s="631">
        <f>IF(AND($K150=TRUE,$K153=FALSE),AR150,IF(AND($K150=FALSE,$K153=TRUE),AR153,IF(AND($K150=TRUE,$K153=TRUE),AR150+AR153,MAX(AR150,AR153))))</f>
        <v>10</v>
      </c>
      <c r="AS154" s="631">
        <f t="shared" ref="AS154" si="121">IF(AND($R150=TRUE,$R153=FALSE),AS150,IF(AND($R150=FALSE,$R153=TRUE),AS153,IF(AND($R150=TRUE,$R153=TRUE),AS150+AS153,MAX(AS150,AS153))))</f>
        <v>0</v>
      </c>
      <c r="AT154" s="631">
        <f t="shared" ref="AT154" si="122">IF(AND($R150=TRUE,$R153=FALSE),AT150,IF(AND($R150=FALSE,$R153=TRUE),AT153,IF(AND($R150=TRUE,$R153=TRUE),AT150+AT153,MAX(AT150,AT153))))</f>
        <v>0</v>
      </c>
      <c r="AU154" s="631">
        <f t="shared" ref="AU154" si="123">IF(AND($U150=TRUE,$U153=FALSE),AU150,IF(AND($U150=FALSE,$U153=TRUE),AU153,IF(AND($U150=TRUE,$U153=TRUE),AU150+AU153,MAX(AU150,AU153))))</f>
        <v>4</v>
      </c>
      <c r="AV154" s="631">
        <f t="shared" ref="AV154" si="124">IF(AND($U150=TRUE,$U153=FALSE),AV150,IF(AND($U150=FALSE,$U153=TRUE),AV153,IF(AND($U150=TRUE,$U153=TRUE),AV150+AV153,MAX(AV150,AV153))))</f>
        <v>7</v>
      </c>
      <c r="BC154" s="816"/>
      <c r="BD154" s="110"/>
      <c r="BE154" s="477"/>
      <c r="BF154" s="113"/>
      <c r="BG154" s="481"/>
      <c r="BH154" s="113"/>
      <c r="BI154" s="482"/>
      <c r="BJ154" s="478"/>
    </row>
    <row r="155" spans="2:63" ht="35" customHeight="1" x14ac:dyDescent="0.2">
      <c r="B155" s="2030" t="str">
        <f>'Action-Réaction finale'!Q25</f>
        <v>H: Rôle actif, Réponse au CC, r</v>
      </c>
      <c r="C155" s="313" t="str">
        <f>'Action-Réaction finale'!O25</f>
        <v>E27</v>
      </c>
      <c r="D155" s="26" t="str">
        <f>Test_Bible!B312</f>
        <v>Dans quelle mesure notez-vous un changement au niveau du comportement de votre enfant à son retour de garde ?</v>
      </c>
      <c r="E155" s="101" t="s">
        <v>765</v>
      </c>
      <c r="F155" s="790">
        <f>Test_Bible!P312</f>
        <v>4</v>
      </c>
      <c r="G155" s="789">
        <f>Test_Bible!D312</f>
        <v>2</v>
      </c>
      <c r="H155" s="790">
        <f>F155*G155</f>
        <v>8</v>
      </c>
      <c r="I155" s="1622">
        <v>7</v>
      </c>
      <c r="J155" s="1615">
        <f>$J$18</f>
        <v>10</v>
      </c>
      <c r="K155" s="45" t="b">
        <f>IF(AND(F155&gt;=I155,F155&lt;=J155),TRUE,FALSE)</f>
        <v>0</v>
      </c>
      <c r="L155" s="45"/>
      <c r="M155" s="45"/>
      <c r="N155" s="45"/>
      <c r="O155" s="1623"/>
      <c r="P155" s="1622">
        <v>4</v>
      </c>
      <c r="Q155" s="1615">
        <v>7</v>
      </c>
      <c r="R155" s="1623" t="b">
        <f>IF(AND(F155&gt;=P155,F155&lt;=Q155),TRUE,FALSE)</f>
        <v>1</v>
      </c>
      <c r="S155" s="1622"/>
      <c r="T155" s="1615"/>
      <c r="U155" s="1623"/>
      <c r="V155" s="1593"/>
      <c r="W155" s="1403"/>
      <c r="X155" s="1404">
        <v>7</v>
      </c>
      <c r="Y155" s="1405"/>
      <c r="Z155" s="1408">
        <v>4</v>
      </c>
      <c r="AA155" s="1405"/>
      <c r="AB155" s="1416">
        <v>11</v>
      </c>
      <c r="AD155" s="960" t="s">
        <v>945</v>
      </c>
      <c r="AE155" s="961"/>
      <c r="AF155" s="960"/>
      <c r="AG155" s="961"/>
      <c r="AH155" s="960"/>
      <c r="AI155" s="961"/>
      <c r="AK155" s="10"/>
      <c r="AL155" s="10"/>
      <c r="AM155" s="10"/>
      <c r="AN155" s="975">
        <f>IF($K155=TRUE,H155,0)</f>
        <v>0</v>
      </c>
      <c r="AO155" s="975">
        <f>IF($R155=TRUE,H155,0)</f>
        <v>8</v>
      </c>
      <c r="AP155" s="975"/>
      <c r="AQ155" s="1806">
        <f>IF(I155=11,0,G155*I155)</f>
        <v>14</v>
      </c>
      <c r="AR155" s="1806">
        <f>IF(J155=11,0,G155*J155)</f>
        <v>20</v>
      </c>
      <c r="AS155" s="1806">
        <f>IF(P155=11,0,G155*P155)</f>
        <v>8</v>
      </c>
      <c r="AT155" s="1806">
        <f>IF(Q155=11,0,G155*Q155)</f>
        <v>14</v>
      </c>
      <c r="AU155" s="1806"/>
      <c r="AV155" s="1806"/>
      <c r="BC155" s="816"/>
      <c r="BD155" s="110"/>
      <c r="BE155" s="477"/>
      <c r="BF155" s="113"/>
      <c r="BG155" s="481"/>
      <c r="BH155" s="113"/>
      <c r="BI155" s="482"/>
      <c r="BJ155" s="478"/>
    </row>
    <row r="156" spans="2:63" ht="35" customHeight="1" thickBot="1" x14ac:dyDescent="0.25">
      <c r="B156" s="2030" t="str">
        <f>'Action-Réaction finale'!Q26</f>
        <v>H: Rôle actif, Réponse au CC, r</v>
      </c>
      <c r="C156" s="313" t="str">
        <f>'Action-Réaction finale'!O26</f>
        <v>E27a1</v>
      </c>
      <c r="D156" s="767" t="str">
        <f>Test_Bible!B320</f>
        <v>Au retour d’un séjour chez l’autre parent, votre enfant vous questionne sur vos décisions présentes ou passsées ou vous accable de reproches.</v>
      </c>
      <c r="E156" s="101" t="s">
        <v>766</v>
      </c>
      <c r="F156" s="790">
        <f>Test_Bible!P320</f>
        <v>0</v>
      </c>
      <c r="G156" s="789">
        <f>Test_Bible!D320</f>
        <v>3</v>
      </c>
      <c r="H156" s="790">
        <f>F156*G156</f>
        <v>0</v>
      </c>
      <c r="I156" s="1622">
        <v>4</v>
      </c>
      <c r="J156" s="1615">
        <f>$J$18</f>
        <v>10</v>
      </c>
      <c r="K156" s="45" t="b">
        <f>IF(AND(F156&gt;=I156,F156&lt;=J156),TRUE,FALSE)</f>
        <v>0</v>
      </c>
      <c r="L156" s="45"/>
      <c r="M156" s="45"/>
      <c r="N156" s="45"/>
      <c r="O156" s="1623"/>
      <c r="P156" s="1622">
        <v>4</v>
      </c>
      <c r="Q156" s="1615">
        <v>7</v>
      </c>
      <c r="R156" s="1623" t="b">
        <f>IF(AND(F156&gt;=P156,F156&lt;=Q156),TRUE,FALSE)</f>
        <v>0</v>
      </c>
      <c r="S156" s="1647"/>
      <c r="T156" s="1648"/>
      <c r="U156" s="1623"/>
      <c r="V156" s="931"/>
      <c r="W156" s="1406" t="s">
        <v>943</v>
      </c>
      <c r="X156" s="1411">
        <v>4</v>
      </c>
      <c r="Y156" s="1412"/>
      <c r="Z156" s="1427">
        <v>11</v>
      </c>
      <c r="AA156" s="1412"/>
      <c r="AB156" s="1421">
        <v>11</v>
      </c>
      <c r="AD156" s="960"/>
      <c r="AE156" s="961"/>
      <c r="AF156" s="960"/>
      <c r="AG156" s="961"/>
      <c r="AH156" s="960"/>
      <c r="AI156" s="961"/>
      <c r="AK156" s="10"/>
      <c r="AL156" s="10"/>
      <c r="AM156" s="10"/>
      <c r="AN156" s="975">
        <f>IF($K156=TRUE,H156,0)</f>
        <v>0</v>
      </c>
      <c r="AO156" s="975">
        <f>IF($R156=TRUE,H156,0)</f>
        <v>0</v>
      </c>
      <c r="AP156" s="975"/>
      <c r="AQ156" s="1806">
        <f>IF(I156=11,0,G156*I156)</f>
        <v>12</v>
      </c>
      <c r="AR156" s="1806">
        <f>IF(J156=11,0,G156*J156)</f>
        <v>30</v>
      </c>
      <c r="AS156" s="1806">
        <f>IF(P156=11,0,G156*P156)</f>
        <v>12</v>
      </c>
      <c r="AT156" s="1806">
        <f>IF(Q156=11,0,G156*Q156)</f>
        <v>21</v>
      </c>
      <c r="AU156" s="1806"/>
      <c r="AV156" s="1806"/>
      <c r="BC156" s="7"/>
      <c r="BD156" s="816"/>
      <c r="BE156" s="110"/>
      <c r="BF156" s="477"/>
      <c r="BG156" s="113"/>
      <c r="BH156" s="481"/>
      <c r="BI156" s="113"/>
      <c r="BJ156" s="482"/>
      <c r="BK156" s="478"/>
    </row>
    <row r="157" spans="2:63" ht="32" customHeight="1" thickBot="1" x14ac:dyDescent="0.25">
      <c r="B157" s="2030"/>
      <c r="C157" s="809" t="s">
        <v>747</v>
      </c>
      <c r="D157" s="810" t="str">
        <f>_xlfn.XLOOKUP(H157,H155:H156,D155:D156)</f>
        <v>Dans quelle mesure notez-vous un changement au niveau du comportement de votre enfant à son retour de garde ?</v>
      </c>
      <c r="E157" s="810" t="str">
        <f>_xlfn.XLOOKUP(H157,H155:H156,E155:E156)</f>
        <v>change de comportement à son retour de garde</v>
      </c>
      <c r="F157" s="811"/>
      <c r="G157" s="811"/>
      <c r="H157" s="811">
        <f>IF(AND(K155=TRUE,K156=FALSE),H155,IF(AND(K155=FALSE,K156=TRUE),H156,MAX(H155,H156)))</f>
        <v>8</v>
      </c>
      <c r="I157" s="1628"/>
      <c r="J157" s="812"/>
      <c r="K157" s="813" t="b">
        <f>IF(AND(K155=FALSE,K156=FALSE),FALSE,TRUE)</f>
        <v>0</v>
      </c>
      <c r="L157" s="1611"/>
      <c r="M157" s="1611"/>
      <c r="N157" s="1611"/>
      <c r="O157" s="1629"/>
      <c r="P157" s="1628"/>
      <c r="Q157" s="812"/>
      <c r="R157" s="813" t="b">
        <f>IF(AND(R155=FALSE,R156=FALSE),FALSE,TRUE)</f>
        <v>1</v>
      </c>
      <c r="S157" s="1628"/>
      <c r="T157" s="812"/>
      <c r="U157" s="813"/>
      <c r="V157" s="931"/>
      <c r="W157" s="931"/>
      <c r="X157" s="1394"/>
      <c r="Z157" s="1398"/>
      <c r="AB157" s="1402"/>
      <c r="AD157" s="960" t="str">
        <f>IF(K157=TRUE,"V","F")</f>
        <v>F</v>
      </c>
      <c r="AE157" s="961"/>
      <c r="AF157" s="960" t="str">
        <f>IF(R157=TRUE,"V","F")</f>
        <v>V</v>
      </c>
      <c r="AG157" s="961"/>
      <c r="AH157" s="960"/>
      <c r="AI157" s="961"/>
      <c r="AK157" s="10"/>
      <c r="AL157" s="10"/>
      <c r="AM157" s="10"/>
      <c r="AN157" s="2102">
        <f>IF(AND($K155=TRUE,$K156=FALSE),AN155,IF(AND($K155=FALSE,$K156=TRUE),AN156,IF(AND($K155=TRUE,$K156=TRUE),MAX(AN155,AN156),0)))</f>
        <v>0</v>
      </c>
      <c r="AO157" s="2102">
        <f>IF(AND($R155=TRUE,$R156=FALSE),AO155,IF(AND($R155=FALSE,$R156=TRUE),AO156,IF(AND($R155=TRUE,$R156=TRUE),MAX(AO155,AO156),0)))</f>
        <v>8</v>
      </c>
      <c r="AP157" s="2102"/>
      <c r="AQ157" s="2102">
        <f>IF(AND($K155=TRUE,$K156=FALSE),AQ155,IF(AND($K155=FALSE,$K156=TRUE),AQ156,IF(AND($K155=TRUE,$K156=TRUE),MAX(AQ155,AQ156),0)))</f>
        <v>0</v>
      </c>
      <c r="AR157" s="2102">
        <f>IF(AND($K155=TRUE,$K156=FALSE),AR155,IF(AND($K155=FALSE,$K156=TRUE),AR156,IF(AND($K155=TRUE,$K156=TRUE),MAX(AR155,AR156),0)))</f>
        <v>0</v>
      </c>
      <c r="AS157" s="2102">
        <f t="shared" ref="AS157" si="125">IF(AND($R155=TRUE,$R156=FALSE),AS155,IF(AND($R155=FALSE,$R156=TRUE),AS156,IF(AND($R155=TRUE,$R156=TRUE),MAX(AS155,AS156),0)))</f>
        <v>8</v>
      </c>
      <c r="AT157" s="2102">
        <f t="shared" ref="AT157" si="126">IF(AND($R155=TRUE,$R156=FALSE),AT155,IF(AND($R155=FALSE,$R156=TRUE),AT156,IF(AND($R155=TRUE,$R156=TRUE),MAX(AT155,AT156),0)))</f>
        <v>14</v>
      </c>
      <c r="AU157" s="2102"/>
      <c r="AV157" s="2102"/>
      <c r="BD157" s="816"/>
      <c r="BE157" s="110"/>
      <c r="BF157" s="477"/>
      <c r="BG157" s="113"/>
      <c r="BH157" s="481"/>
      <c r="BI157" s="113"/>
      <c r="BJ157" s="482"/>
      <c r="BK157" s="478"/>
    </row>
    <row r="158" spans="2:63" ht="32" customHeight="1" x14ac:dyDescent="0.2">
      <c r="B158" s="2030"/>
      <c r="D158" s="421" t="s">
        <v>310</v>
      </c>
      <c r="E158" s="785"/>
      <c r="F158" s="474" t="s">
        <v>398</v>
      </c>
      <c r="G158" s="47"/>
      <c r="H158" s="47">
        <f>IF(AND(K154=TRUE,K157=FALSE),H154,IF(AND(K154=FALSE,K157=TRUE),H157,IF(AND(K154=TRUE,K157=TRUE),H154+H157,MAX(H154,H157))))</f>
        <v>8</v>
      </c>
      <c r="I158" s="1630"/>
      <c r="J158" s="475"/>
      <c r="K158" s="1613"/>
      <c r="L158" s="1614" t="str">
        <f>IF(AND(K157=TRUE,K154=TRUE),E157,"")</f>
        <v/>
      </c>
      <c r="M158" s="1614" t="str">
        <f>IF(AND(K154=TRUE,K157=FALSE),"Bien que le parent "&amp;E154&amp;" l'enfant ne semble pas s'ingérer","")</f>
        <v/>
      </c>
      <c r="N158" s="1614" t="str">
        <f>IF(AND(K154=FALSE,K157=TRUE),E157&amp;" sans signe de la participation du parent favorisé et|ou nouveau conjoint.e","")</f>
        <v/>
      </c>
      <c r="O158" s="1631" t="str">
        <f>IF(AND(K154=FALSE,K157=FALSE),"aucun comportement significatif de cette nature","")</f>
        <v>aucun comportement significatif de cette nature</v>
      </c>
      <c r="P158" s="1630"/>
      <c r="Q158" s="475"/>
      <c r="R158" s="1639"/>
      <c r="S158" s="1630"/>
      <c r="T158" s="475"/>
      <c r="U158" s="1639"/>
      <c r="V158" s="170"/>
      <c r="W158" s="170"/>
      <c r="X158" s="1394"/>
      <c r="Z158" s="1398"/>
      <c r="AB158" s="1402"/>
      <c r="AD158" s="962"/>
      <c r="AE158" s="963">
        <f>IF(AND(AD154="V",AD157="V"),2,IF(OR(AD154="V",AD157="V"),1,0))</f>
        <v>0</v>
      </c>
      <c r="AF158" s="962"/>
      <c r="AG158" s="963">
        <f>IF(OR(AF154="V",AF157="V"),1,0)</f>
        <v>1</v>
      </c>
      <c r="AH158" s="962"/>
      <c r="AI158" s="963"/>
      <c r="AK158" s="10"/>
      <c r="AL158" s="10"/>
      <c r="AM158" s="10"/>
      <c r="AN158" s="2097">
        <f>IF(AND($AD154="V",$AD157="F"),AN154,IF(AND($AD154="F",$AD157="V"),AN157,IF(AND($AD154="V",$AD157="V"),AN154+AN157,0)))</f>
        <v>0</v>
      </c>
      <c r="AO158" s="2097">
        <f>IF(AND($AF154="V",$AF157="F"),AO154,IF(AND($AF154="F",$AF157="V"),AO157,IF(AND($AF154="V",$AF157="V"),AO154+AO157,0)))</f>
        <v>8</v>
      </c>
      <c r="AP158" s="2097"/>
      <c r="AQ158" s="2097">
        <f>IF(AND($AD154="V",$AD157="F"),AQ154,IF(AND($AD154="F",$AD157="V"),AQ157,IF(AND($AD154="V",$AD157="V"),AQ154+AQ157,0)))</f>
        <v>0</v>
      </c>
      <c r="AR158" s="2097">
        <f>IF(AND($AD154="V",$AD157="F"),AR154,IF(AND($AD154="F",$AD157="V"),AR157,IF(AND($AD154="V",$AD157="V"),AR154+AR157,0)))</f>
        <v>0</v>
      </c>
      <c r="AS158" s="2097">
        <f>IF(AND($AF154="V",$AF157="F"),AS154,IF(AND($AF154="F",$AF157="V"),AS157,IF(AND($AF154="V",$AF157="V"),AS154+AS157,0)))</f>
        <v>8</v>
      </c>
      <c r="AT158" s="2097">
        <f>IF(AND($AF154="V",$AF157="F"),AT154,IF(AND($AF154="F",$AF157="V"),AT157,IF(AND($AF154="V",$AF157="V"),AT154+AT157,0)))</f>
        <v>14</v>
      </c>
      <c r="AU158" s="2097"/>
      <c r="AV158" s="2097"/>
      <c r="BD158" s="816"/>
      <c r="BE158" s="110"/>
      <c r="BF158" s="477"/>
      <c r="BG158" s="113"/>
      <c r="BH158" s="481"/>
      <c r="BI158" s="113"/>
      <c r="BJ158" s="482"/>
      <c r="BK158" s="478"/>
    </row>
    <row r="159" spans="2:63" ht="32" customHeight="1" x14ac:dyDescent="0.2">
      <c r="B159" s="2030"/>
      <c r="C159" t="s">
        <v>243</v>
      </c>
      <c r="I159" s="146"/>
      <c r="L159" s="46"/>
      <c r="M159" s="46"/>
      <c r="N159" s="46"/>
      <c r="O159" s="1652"/>
      <c r="P159" s="146"/>
      <c r="R159" s="326"/>
      <c r="S159" s="146"/>
      <c r="U159" s="326"/>
      <c r="V159" s="46"/>
      <c r="X159" s="1394"/>
      <c r="Z159" s="1398"/>
      <c r="AB159" s="1402"/>
      <c r="AD159" s="960"/>
      <c r="AE159" s="961"/>
      <c r="AF159" s="960"/>
      <c r="AG159" s="961"/>
      <c r="AH159" s="960"/>
      <c r="AI159" s="961"/>
      <c r="AK159" s="10"/>
      <c r="AL159" s="10"/>
      <c r="AM159" s="10"/>
      <c r="AN159" s="975"/>
      <c r="AO159" s="975"/>
      <c r="AP159" s="975"/>
      <c r="AQ159" s="1806"/>
      <c r="AR159" s="1806"/>
      <c r="AS159" s="1806"/>
      <c r="AT159" s="1806"/>
      <c r="AU159" s="1806"/>
      <c r="AV159" s="1806"/>
      <c r="BB159" s="7"/>
      <c r="BD159" s="816"/>
      <c r="BE159" s="110"/>
      <c r="BF159" s="477"/>
      <c r="BG159" s="113"/>
      <c r="BH159" s="481"/>
      <c r="BI159" s="113"/>
      <c r="BJ159" s="482"/>
      <c r="BK159" s="478"/>
    </row>
    <row r="160" spans="2:63" ht="57" customHeight="1" x14ac:dyDescent="0.2">
      <c r="B160" s="2030"/>
      <c r="C160" s="964"/>
      <c r="D160" s="965"/>
      <c r="E160" s="965"/>
      <c r="F160" s="973"/>
      <c r="G160" s="973"/>
      <c r="H160" s="973">
        <f>F160*G160</f>
        <v>0</v>
      </c>
      <c r="I160" s="1647">
        <v>11</v>
      </c>
      <c r="J160" s="1648">
        <v>11</v>
      </c>
      <c r="K160" s="45" t="b">
        <f>IF(AND(F160&gt;=I160,F160&lt;=J160),TRUE,FALSE)</f>
        <v>0</v>
      </c>
      <c r="L160" s="32"/>
      <c r="M160" s="32"/>
      <c r="N160" s="32"/>
      <c r="O160" s="1632"/>
      <c r="P160" s="1647">
        <v>11</v>
      </c>
      <c r="Q160" s="1648">
        <v>11</v>
      </c>
      <c r="R160" s="1623" t="b">
        <f>IF(AND(F160&gt;=P160,F160&lt;=Q160),TRUE,FALSE)</f>
        <v>0</v>
      </c>
      <c r="S160" s="1647">
        <v>11</v>
      </c>
      <c r="T160" s="1648">
        <v>11</v>
      </c>
      <c r="U160" s="1623" t="b">
        <f>IF(AND(F160&gt;=S160,F160&lt;=T160),TRUE,FALSE)</f>
        <v>0</v>
      </c>
      <c r="V160" s="46"/>
      <c r="W160" s="1428"/>
      <c r="X160" s="1404">
        <v>4</v>
      </c>
      <c r="Y160" s="1405"/>
      <c r="Z160" s="1424">
        <v>11</v>
      </c>
      <c r="AA160" s="1405"/>
      <c r="AB160" s="1415">
        <v>4</v>
      </c>
      <c r="AD160" s="960"/>
      <c r="AE160" s="961"/>
      <c r="AF160" s="960"/>
      <c r="AG160" s="961"/>
      <c r="AH160" s="960"/>
      <c r="AI160" s="961"/>
      <c r="AK160" s="10"/>
      <c r="AL160" s="10"/>
      <c r="AM160" s="10"/>
      <c r="AN160" s="975">
        <f>IF($K160=TRUE,H160,0)</f>
        <v>0</v>
      </c>
      <c r="AO160" s="975">
        <f>IF($R160=TRUE,H160,0)</f>
        <v>0</v>
      </c>
      <c r="AP160" s="975">
        <f>IF($U160=TRUE,H160,0)</f>
        <v>0</v>
      </c>
      <c r="AQ160" s="1806">
        <f>IF(I160=11,0,G160*I160)</f>
        <v>0</v>
      </c>
      <c r="AR160" s="1806">
        <f>IF(J160=11,0,G160*J160)</f>
        <v>0</v>
      </c>
      <c r="AS160" s="1806">
        <f>IF(P160=11,0,G160*P160)</f>
        <v>0</v>
      </c>
      <c r="AT160" s="1806">
        <f>IF(Q160=11,0,G160*Q160)</f>
        <v>0</v>
      </c>
      <c r="AU160" s="1806">
        <f>IF(S160=11,0,S160*G160)</f>
        <v>0</v>
      </c>
      <c r="AV160" s="1806">
        <f>IF(T160=11,0,T160*G160)</f>
        <v>0</v>
      </c>
      <c r="BB160" s="7"/>
      <c r="BD160" s="816"/>
      <c r="BE160" s="110"/>
      <c r="BF160" s="477"/>
      <c r="BG160" s="113"/>
      <c r="BH160" s="481"/>
      <c r="BI160" s="113"/>
      <c r="BJ160" s="482"/>
      <c r="BK160" s="478"/>
    </row>
    <row r="161" spans="2:63" ht="32" customHeight="1" thickBot="1" x14ac:dyDescent="0.25">
      <c r="B161" s="2030"/>
      <c r="C161" s="964"/>
      <c r="D161" s="972"/>
      <c r="E161" s="965"/>
      <c r="F161" s="973"/>
      <c r="G161" s="973"/>
      <c r="H161" s="973">
        <f>F161*G161</f>
        <v>0</v>
      </c>
      <c r="I161" s="1647">
        <v>11</v>
      </c>
      <c r="J161" s="1648">
        <v>11</v>
      </c>
      <c r="K161" s="45" t="b">
        <f>IF(AND(F161&gt;=I161,F161&lt;=J161),TRUE,FALSE)</f>
        <v>0</v>
      </c>
      <c r="L161" s="32"/>
      <c r="M161" s="32"/>
      <c r="N161" s="32"/>
      <c r="O161" s="1632"/>
      <c r="P161" s="1647">
        <v>11</v>
      </c>
      <c r="Q161" s="1648">
        <v>11</v>
      </c>
      <c r="R161" s="1623" t="b">
        <f>IF(AND(F161&gt;=P161,F161&lt;=Q161),TRUE,FALSE)</f>
        <v>0</v>
      </c>
      <c r="S161" s="1647">
        <v>11</v>
      </c>
      <c r="T161" s="1648">
        <v>11</v>
      </c>
      <c r="U161" s="1623" t="b">
        <f>IF(AND(F161&gt;=S161,F161&lt;=T161),TRUE,FALSE)</f>
        <v>0</v>
      </c>
      <c r="W161" s="1429"/>
      <c r="X161" s="1425">
        <v>11</v>
      </c>
      <c r="Y161" s="1426"/>
      <c r="Z161" s="1427">
        <v>11</v>
      </c>
      <c r="AA161" s="1426"/>
      <c r="AB161" s="1421">
        <v>11</v>
      </c>
      <c r="AD161" s="960"/>
      <c r="AE161" s="961"/>
      <c r="AF161" s="960"/>
      <c r="AG161" s="961"/>
      <c r="AH161" s="960"/>
      <c r="AI161" s="961"/>
      <c r="AK161" s="10"/>
      <c r="AL161" s="10"/>
      <c r="AM161" s="10"/>
      <c r="AN161" s="975">
        <f>IF($K161=TRUE,H161,0)</f>
        <v>0</v>
      </c>
      <c r="AO161" s="975">
        <f>IF($R161=TRUE,H161,0)</f>
        <v>0</v>
      </c>
      <c r="AP161" s="975">
        <f>IF($U161=TRUE,H161,0)</f>
        <v>0</v>
      </c>
      <c r="AQ161" s="1806">
        <f>IF(I161=11,0,G161*I161)</f>
        <v>0</v>
      </c>
      <c r="AR161" s="1806">
        <f>IF(J161=11,0,G161*J161)</f>
        <v>0</v>
      </c>
      <c r="AS161" s="1806">
        <f>IF(P161=11,0,G161*P161)</f>
        <v>0</v>
      </c>
      <c r="AT161" s="1806">
        <f>IF(Q161=11,0,G161*Q161)</f>
        <v>0</v>
      </c>
      <c r="AU161" s="1806">
        <f>IF(S161=11,0,S161*G161)</f>
        <v>0</v>
      </c>
      <c r="AV161" s="1806">
        <f>IF(T161=11,0,T161*G161)</f>
        <v>0</v>
      </c>
      <c r="BB161" s="7"/>
      <c r="BD161" s="816"/>
      <c r="BE161" s="110"/>
      <c r="BF161" s="477"/>
      <c r="BG161" s="113"/>
      <c r="BH161" s="481"/>
      <c r="BI161" s="113"/>
      <c r="BJ161" s="482"/>
      <c r="BK161" s="478"/>
    </row>
    <row r="162" spans="2:63" ht="32" customHeight="1" thickBot="1" x14ac:dyDescent="0.35">
      <c r="C162" s="7"/>
      <c r="D162" s="297"/>
      <c r="E162" s="297"/>
      <c r="F162" s="89"/>
      <c r="G162" s="16"/>
      <c r="H162" s="47">
        <f>IF(AND(K160=TRUE,K161=FALSE),H160,IF(AND(K160=FALSE,K161=TRUE),H161,MAX(H160,H161)))</f>
        <v>0</v>
      </c>
      <c r="I162" s="1644"/>
      <c r="J162" s="1645"/>
      <c r="K162" s="1651" t="b">
        <f>IF(AND(K160=FALSE,K161=FALSE),FALSE,TRUE)</f>
        <v>0</v>
      </c>
      <c r="L162" s="1633"/>
      <c r="M162" s="1634"/>
      <c r="N162" s="1634"/>
      <c r="O162" s="1635"/>
      <c r="P162" s="1644"/>
      <c r="Q162" s="1645"/>
      <c r="R162" s="1651" t="b">
        <f>IF(AND(R160=FALSE,R161=FALSE),FALSE,TRUE)</f>
        <v>0</v>
      </c>
      <c r="S162" s="1656"/>
      <c r="T162" s="1657"/>
      <c r="U162" s="1658" t="b">
        <f>IF(AND(U160=FALSE,U161=FALSE),FALSE,TRUE)</f>
        <v>0</v>
      </c>
      <c r="AD162" s="1564" t="str">
        <f>IF(K162=TRUE,"V","F")</f>
        <v>F</v>
      </c>
      <c r="AE162" s="1565"/>
      <c r="AF162" s="1564" t="str">
        <f>IF(R162=TRUE,"V","F")</f>
        <v>F</v>
      </c>
      <c r="AG162" s="1565"/>
      <c r="AH162" s="1564" t="str">
        <f>IF(U162=TRUE,"V","F")</f>
        <v>F</v>
      </c>
      <c r="AI162" s="1565"/>
      <c r="AK162" s="10"/>
      <c r="AL162" s="10"/>
      <c r="AM162" s="10"/>
      <c r="AN162" s="2102">
        <f>IF(AND($K160=TRUE,$K161=FALSE),AN160,IF(AND($K160=FALSE,$K161=TRUE),AN161,MAX(AN160,AN161)))</f>
        <v>0</v>
      </c>
      <c r="AO162" s="2102">
        <f>IF(AND($R160=TRUE,$R161=FALSE),AO160,IF(AND($R160=FALSE,$R161=TRUE),AO161,MAX(AO160,AO161)))</f>
        <v>0</v>
      </c>
      <c r="AP162" s="2102">
        <f>IF(AND($U160=TRUE,$U161=FALSE),AP160,IF(AND($U160=FALSE,$U161=TRUE),AP161,MAX(AP160,AP161)))</f>
        <v>0</v>
      </c>
      <c r="AQ162" s="2102">
        <f>IF(AND($K160=TRUE,$K161=FALSE),AQ160,IF(AND($K160=FALSE,$K161=TRUE),AQ161,MAX(AQ160,AQ161)))</f>
        <v>0</v>
      </c>
      <c r="AR162" s="2102">
        <f>IF(AND($K160=TRUE,$K161=FALSE),AR160,IF(AND($K160=FALSE,$K161=TRUE),AR161,MAX(AR160,AR161)))</f>
        <v>0</v>
      </c>
      <c r="AS162" s="2102">
        <f>IF(AND($R160=TRUE,$R161=FALSE),AS160,IF(AND($R160=FALSE,$R161=TRUE),AS161,MAX(AS160,AS161)))</f>
        <v>0</v>
      </c>
      <c r="AT162" s="2102">
        <f>IF(AND($R160=TRUE,$R161=FALSE),AT160,IF(AND($R160=FALSE,$R161=TRUE),AT161,MAX(AT160,AT161)))</f>
        <v>0</v>
      </c>
      <c r="AU162" s="2102">
        <f>IF(AND($U160=TRUE,$U161=FALSE),AU160,IF(AND($U160=FALSE,$U161=TRUE),AU161,MAX(AU160,AU161)))</f>
        <v>0</v>
      </c>
      <c r="AV162" s="2102">
        <f>IF(AND($U160=TRUE,$U161=FALSE),AV160,IF(AND($U160=FALSE,$U161=TRUE),AV161,MAX(AV160,AV161)))</f>
        <v>0</v>
      </c>
      <c r="BB162" s="7"/>
      <c r="BD162" s="816"/>
      <c r="BE162" s="110"/>
      <c r="BF162" s="477"/>
      <c r="BG162" s="113"/>
      <c r="BH162" s="481"/>
      <c r="BI162" s="113"/>
      <c r="BJ162" s="482"/>
      <c r="BK162" s="478"/>
    </row>
    <row r="163" spans="2:63" ht="32" customHeight="1" thickBot="1" x14ac:dyDescent="0.35">
      <c r="D163" s="16"/>
      <c r="E163" s="16"/>
      <c r="F163" s="89"/>
      <c r="G163" s="473"/>
      <c r="H163" s="473"/>
      <c r="I163" s="8"/>
      <c r="J163" s="8"/>
      <c r="K163" s="932"/>
      <c r="L163" s="933"/>
      <c r="M163" s="933"/>
      <c r="N163" s="933"/>
      <c r="O163" s="933"/>
      <c r="P163" s="933"/>
      <c r="Q163" s="933"/>
      <c r="R163" s="933"/>
      <c r="S163" s="933"/>
      <c r="T163" s="933"/>
      <c r="U163" s="933"/>
      <c r="V163" s="933"/>
      <c r="W163" s="933"/>
      <c r="AD163" s="1649"/>
      <c r="AE163" s="1650">
        <f>IF(AND(AD162="V",AD154="V"),AE158-1,AE158)</f>
        <v>0</v>
      </c>
      <c r="AF163" s="1649"/>
      <c r="AG163" s="1650">
        <f>IF(OR(AF154="V",AF157="V",AF162="V"),1,0)</f>
        <v>1</v>
      </c>
      <c r="AH163" s="1649"/>
      <c r="AI163" s="1650">
        <f>IF(AH154="V",1,IF(AH162="V",1,0))</f>
        <v>0</v>
      </c>
      <c r="AK163" s="10">
        <v>1</v>
      </c>
      <c r="AL163" s="10">
        <v>1</v>
      </c>
      <c r="AM163" s="10">
        <v>1</v>
      </c>
      <c r="AN163" s="2101">
        <f>IF($AD162="F",AN158,AN158+AN162)</f>
        <v>0</v>
      </c>
      <c r="AO163" s="2101">
        <f>IF($AF162="F",AO158,AO158+AO162)</f>
        <v>8</v>
      </c>
      <c r="AP163" s="2101">
        <f>IF(AND($AH154="V",$AH162="F"),AP154,IF(AND($AH154="F",$AH162="V"),AP162,IF(AND($AH154="V",$AH162="V"),AP154+AP162,0)))</f>
        <v>0</v>
      </c>
      <c r="AQ163" s="2101">
        <f>IF($AD162="F",AQ158,AQ158+AQ162)</f>
        <v>0</v>
      </c>
      <c r="AR163" s="2101">
        <f t="shared" ref="AR163" si="127">IF($AD162="F",AR158,AR158+AR162)</f>
        <v>0</v>
      </c>
      <c r="AS163" s="2101">
        <f t="shared" ref="AS163" si="128">IF($AF162="F",AS158,AS158+AS162)</f>
        <v>8</v>
      </c>
      <c r="AT163" s="2101">
        <f t="shared" ref="AT163" si="129">IF($AF162="F",AT158,AT158+AT162)</f>
        <v>14</v>
      </c>
      <c r="AU163" s="2101">
        <f t="shared" ref="AU163" si="130">IF(AND($AH154="V",$AH162="F"),AU154,IF(AND($AH154="F",$AH162="V"),AU162,IF(AND($AH154="V",$AH162="V"),AU154+AU162,0)))</f>
        <v>0</v>
      </c>
      <c r="AV163" s="2101">
        <f t="shared" ref="AV163" si="131">IF(AND($AH154="V",$AH162="F"),AV154,IF(AND($AH154="F",$AH162="V"),AV162,IF(AND($AH154="V",$AH162="V"),AV154+AV162,0)))</f>
        <v>0</v>
      </c>
      <c r="BD163" s="816"/>
      <c r="BE163" s="110"/>
      <c r="BF163" s="477"/>
      <c r="BG163" s="113"/>
      <c r="BH163" s="481"/>
      <c r="BI163" s="113"/>
      <c r="BJ163" s="482"/>
      <c r="BK163" s="478"/>
    </row>
    <row r="164" spans="2:63" ht="32" customHeight="1" x14ac:dyDescent="0.3">
      <c r="D164" s="16"/>
      <c r="E164" s="16"/>
      <c r="F164" s="89"/>
      <c r="G164" s="473"/>
      <c r="H164" s="473"/>
      <c r="I164" s="2270" t="s">
        <v>1395</v>
      </c>
      <c r="J164" s="2271"/>
      <c r="K164" s="2272"/>
      <c r="L164" s="2268"/>
      <c r="M164" s="2268"/>
      <c r="N164" s="2268"/>
      <c r="O164" s="1619"/>
      <c r="P164" s="2273" t="s">
        <v>1394</v>
      </c>
      <c r="Q164" s="2274"/>
      <c r="R164" s="2275"/>
      <c r="S164" s="1678" t="s">
        <v>1393</v>
      </c>
      <c r="T164" s="1618"/>
      <c r="U164" s="1619"/>
      <c r="V164" s="170"/>
      <c r="AD164" s="1668"/>
      <c r="AE164" s="1669"/>
      <c r="AF164" s="1409"/>
      <c r="AG164" s="1409"/>
      <c r="AH164" s="1409"/>
      <c r="AI164" s="1409"/>
      <c r="AK164" s="10"/>
      <c r="AL164" s="10"/>
      <c r="AM164" s="10"/>
      <c r="BD164" s="816"/>
      <c r="BE164" s="110"/>
      <c r="BF164" s="477"/>
      <c r="BG164" s="113"/>
      <c r="BH164" s="481"/>
      <c r="BI164" s="113"/>
      <c r="BJ164" s="482"/>
      <c r="BK164" s="478"/>
    </row>
    <row r="165" spans="2:63" ht="32" customHeight="1" x14ac:dyDescent="0.3">
      <c r="B165" s="2029">
        <v>8</v>
      </c>
      <c r="D165" s="476" t="str">
        <f>'Action-Réaction finale'!F28</f>
        <v>Réaction en présence des deux parents</v>
      </c>
      <c r="E165" s="107"/>
      <c r="F165" s="65"/>
      <c r="G165" s="18"/>
      <c r="H165" s="18"/>
      <c r="I165" s="2255" t="s">
        <v>734</v>
      </c>
      <c r="J165" s="2256"/>
      <c r="K165" s="2256"/>
      <c r="L165" s="2257" t="s">
        <v>1378</v>
      </c>
      <c r="M165" s="2257"/>
      <c r="N165" s="2257"/>
      <c r="O165" s="2258"/>
      <c r="P165" s="2259" t="s">
        <v>733</v>
      </c>
      <c r="Q165" s="2260"/>
      <c r="R165" s="2261"/>
      <c r="S165" s="2262" t="s">
        <v>735</v>
      </c>
      <c r="T165" s="2263"/>
      <c r="U165" s="2264"/>
      <c r="V165" s="15"/>
      <c r="Y165" s="9"/>
      <c r="AD165" s="956"/>
      <c r="AE165" s="956"/>
      <c r="AF165" s="956"/>
      <c r="AG165" s="956"/>
      <c r="AH165" s="956"/>
      <c r="AI165" s="957"/>
      <c r="AJ165" s="9"/>
      <c r="AK165" s="10"/>
      <c r="AL165" s="10"/>
      <c r="AM165" s="10"/>
      <c r="AN165" s="1659" t="s">
        <v>734</v>
      </c>
      <c r="AO165" s="1659" t="s">
        <v>733</v>
      </c>
      <c r="AP165" s="1659" t="s">
        <v>735</v>
      </c>
      <c r="AQ165" s="2254" t="s">
        <v>734</v>
      </c>
      <c r="AR165" s="2254"/>
      <c r="AS165" s="2254" t="s">
        <v>733</v>
      </c>
      <c r="AT165" s="2254"/>
      <c r="AU165" s="2254" t="s">
        <v>735</v>
      </c>
      <c r="AV165" s="2254"/>
      <c r="BD165" s="816"/>
      <c r="BE165" s="110"/>
      <c r="BF165" s="477"/>
      <c r="BG165" s="113"/>
      <c r="BH165" s="481"/>
      <c r="BI165" s="113"/>
      <c r="BJ165" s="482"/>
      <c r="BK165" s="478"/>
    </row>
    <row r="166" spans="2:63" ht="32" customHeight="1" x14ac:dyDescent="0.2">
      <c r="B166" s="2030"/>
      <c r="D166" s="102" t="s">
        <v>998</v>
      </c>
      <c r="E166" s="983" t="s">
        <v>997</v>
      </c>
      <c r="F166" s="32" t="s">
        <v>748</v>
      </c>
      <c r="G166" s="32" t="s">
        <v>749</v>
      </c>
      <c r="H166" s="32" t="s">
        <v>750</v>
      </c>
      <c r="I166" s="1620" t="s">
        <v>306</v>
      </c>
      <c r="J166" s="43" t="s">
        <v>307</v>
      </c>
      <c r="K166" s="43" t="s">
        <v>308</v>
      </c>
      <c r="L166" s="43" t="s">
        <v>413</v>
      </c>
      <c r="M166" s="43" t="s">
        <v>388</v>
      </c>
      <c r="N166" s="43" t="s">
        <v>389</v>
      </c>
      <c r="O166" s="1621" t="s">
        <v>390</v>
      </c>
      <c r="P166" s="1620" t="s">
        <v>306</v>
      </c>
      <c r="Q166" s="43" t="s">
        <v>307</v>
      </c>
      <c r="R166" s="1621" t="s">
        <v>308</v>
      </c>
      <c r="S166" s="1620" t="s">
        <v>306</v>
      </c>
      <c r="T166" s="43" t="s">
        <v>307</v>
      </c>
      <c r="U166" s="1621" t="s">
        <v>308</v>
      </c>
      <c r="V166" s="818"/>
      <c r="W166" s="955" t="s">
        <v>928</v>
      </c>
      <c r="X166" s="1391" t="s">
        <v>734</v>
      </c>
      <c r="Y166" s="955" t="s">
        <v>928</v>
      </c>
      <c r="Z166" s="1395" t="s">
        <v>733</v>
      </c>
      <c r="AA166" s="955" t="s">
        <v>928</v>
      </c>
      <c r="AB166" s="1399" t="s">
        <v>735</v>
      </c>
      <c r="AD166" s="970" t="s">
        <v>734</v>
      </c>
      <c r="AE166" s="971" t="s">
        <v>946</v>
      </c>
      <c r="AF166" s="970" t="s">
        <v>733</v>
      </c>
      <c r="AG166" s="971" t="s">
        <v>947</v>
      </c>
      <c r="AH166" s="970" t="s">
        <v>735</v>
      </c>
      <c r="AI166" s="971" t="s">
        <v>948</v>
      </c>
      <c r="AK166" s="10"/>
      <c r="AL166" s="10"/>
      <c r="AM166" s="10"/>
      <c r="AN166" s="10"/>
      <c r="AO166" s="10"/>
      <c r="AP166" s="10"/>
      <c r="AQ166" s="1806" t="s">
        <v>1322</v>
      </c>
      <c r="AR166" s="1806" t="s">
        <v>1323</v>
      </c>
      <c r="AS166" s="1806" t="s">
        <v>1322</v>
      </c>
      <c r="AT166" s="1806" t="s">
        <v>1323</v>
      </c>
      <c r="AU166" s="1806" t="s">
        <v>1322</v>
      </c>
      <c r="AV166" s="1806" t="s">
        <v>1323</v>
      </c>
      <c r="BD166" s="816"/>
      <c r="BE166" s="110"/>
      <c r="BF166" s="477"/>
      <c r="BG166" s="113"/>
      <c r="BH166" s="481"/>
      <c r="BI166" s="113"/>
      <c r="BJ166" s="482"/>
      <c r="BK166" s="478"/>
    </row>
    <row r="167" spans="2:63" ht="55" customHeight="1" x14ac:dyDescent="0.2">
      <c r="B167" s="1847" t="str">
        <f>'Action-Réaction finale'!I28</f>
        <v>C: Chantage affectif, loyauté, manipulation</v>
      </c>
      <c r="C167" s="414" t="str">
        <f>'Action-Réaction finale'!G28</f>
        <v>PFA10</v>
      </c>
      <c r="D167" s="26" t="str">
        <f>Test_Bible!B182</f>
        <v>L’autre parent vous salue lors de changements de garde, à l'école ou lors d'événements culturels ou sportifs.</v>
      </c>
      <c r="E167" s="101" t="s">
        <v>1912</v>
      </c>
      <c r="F167" s="790">
        <f>Test_Bible!P182</f>
        <v>7</v>
      </c>
      <c r="G167" s="789">
        <f>Test_Bible!D182</f>
        <v>1</v>
      </c>
      <c r="H167" s="790">
        <f>F167*G167</f>
        <v>7</v>
      </c>
      <c r="I167" s="1622">
        <v>7</v>
      </c>
      <c r="J167" s="1615">
        <v>10</v>
      </c>
      <c r="K167" s="45" t="b">
        <f>IF(AND(F167&gt;=I167,F167&lt;=J167),TRUE,FALSE)</f>
        <v>1</v>
      </c>
      <c r="L167" s="45"/>
      <c r="M167" s="45"/>
      <c r="N167" s="45"/>
      <c r="O167" s="1623"/>
      <c r="P167" s="1622">
        <v>2</v>
      </c>
      <c r="Q167" s="1615">
        <v>10</v>
      </c>
      <c r="R167" s="1623" t="b">
        <f>IF(AND(F167&gt;=P167,F167&lt;=Q167),TRUE,FALSE)</f>
        <v>1</v>
      </c>
      <c r="S167" s="1622">
        <v>4</v>
      </c>
      <c r="T167" s="1615">
        <v>7</v>
      </c>
      <c r="U167" s="1623" t="b">
        <f>IF(AND(F167&gt;=S167,F167&lt;=T167),TRUE,FALSE)</f>
        <v>1</v>
      </c>
      <c r="V167" s="931"/>
      <c r="W167" s="1403"/>
      <c r="X167" s="1404">
        <v>4</v>
      </c>
      <c r="Y167" s="1405"/>
      <c r="Z167" s="1408">
        <v>2</v>
      </c>
      <c r="AA167" s="1405"/>
      <c r="AB167" s="1415">
        <v>2</v>
      </c>
      <c r="AD167" s="958"/>
      <c r="AE167" s="959"/>
      <c r="AF167" s="958"/>
      <c r="AG167" s="959"/>
      <c r="AH167" s="958"/>
      <c r="AI167" s="959"/>
      <c r="AK167" s="10"/>
      <c r="AL167" s="10"/>
      <c r="AM167" s="10"/>
      <c r="AN167" s="975">
        <f>IF($K167=TRUE,H167,0)</f>
        <v>7</v>
      </c>
      <c r="AO167" s="975">
        <f>IF($R167=TRUE,H167,0)</f>
        <v>7</v>
      </c>
      <c r="AP167" s="975">
        <f>IF($U167=TRUE,H167,0)</f>
        <v>7</v>
      </c>
      <c r="AQ167" s="1806">
        <f>IF(I167=11,0,G167*I167)</f>
        <v>7</v>
      </c>
      <c r="AR167" s="1806">
        <f>IF(J167=11,0,G167*J167)</f>
        <v>10</v>
      </c>
      <c r="AS167" s="1806">
        <f>IF(P167=11,0,G167*P167)</f>
        <v>2</v>
      </c>
      <c r="AT167" s="1806">
        <f>IF(Q167=11,0,G167*Q167)</f>
        <v>10</v>
      </c>
      <c r="AU167" s="1806">
        <f>IF(S167=11,0,S167*G167)</f>
        <v>4</v>
      </c>
      <c r="AV167" s="1806">
        <f>IF(T167=11,0,T167*G167)</f>
        <v>7</v>
      </c>
      <c r="BD167" s="816"/>
      <c r="BE167" s="110"/>
      <c r="BF167" s="477"/>
      <c r="BG167" s="113"/>
      <c r="BH167" s="481"/>
      <c r="BI167" s="113"/>
      <c r="BJ167" s="482"/>
      <c r="BK167" s="478"/>
    </row>
    <row r="168" spans="2:63" ht="32" customHeight="1" x14ac:dyDescent="0.2">
      <c r="B168" s="2032"/>
      <c r="C168" s="414" t="s">
        <v>293</v>
      </c>
      <c r="D168" s="26"/>
      <c r="E168" s="101"/>
      <c r="F168" s="790"/>
      <c r="G168" s="789"/>
      <c r="H168" s="790">
        <f>F168*G168</f>
        <v>0</v>
      </c>
      <c r="I168" s="1647">
        <v>11</v>
      </c>
      <c r="J168" s="1648">
        <v>11</v>
      </c>
      <c r="K168" s="45" t="b">
        <f>IF(AND(F168&gt;=I168,F168&lt;=J168),TRUE,FALSE)</f>
        <v>0</v>
      </c>
      <c r="L168" s="45"/>
      <c r="M168" s="45"/>
      <c r="N168" s="45"/>
      <c r="O168" s="1623"/>
      <c r="P168" s="1647">
        <v>11</v>
      </c>
      <c r="Q168" s="1648">
        <v>11</v>
      </c>
      <c r="R168" s="1623" t="b">
        <f>IF(AND(F168&gt;=P168,F168&lt;=Q168),TRUE,FALSE)</f>
        <v>0</v>
      </c>
      <c r="S168" s="1647">
        <v>11</v>
      </c>
      <c r="T168" s="1648">
        <v>11</v>
      </c>
      <c r="U168" s="1623" t="b">
        <f>IF(AND(F168&gt;=S168,F168&lt;=T168),TRUE,FALSE)</f>
        <v>0</v>
      </c>
      <c r="V168" s="931"/>
      <c r="W168" s="1406" t="s">
        <v>943</v>
      </c>
      <c r="X168" s="1425">
        <v>11</v>
      </c>
      <c r="Y168" s="1426"/>
      <c r="Z168" s="1427">
        <v>11</v>
      </c>
      <c r="AA168" s="1426"/>
      <c r="AB168" s="1421">
        <v>11</v>
      </c>
      <c r="AD168" s="960"/>
      <c r="AE168" s="961"/>
      <c r="AF168" s="960"/>
      <c r="AG168" s="961"/>
      <c r="AH168" s="960"/>
      <c r="AI168" s="961"/>
      <c r="AK168" s="10"/>
      <c r="AL168" s="10"/>
      <c r="AM168" s="10"/>
      <c r="AN168" s="975">
        <f>IF($K168=TRUE,H168,0)</f>
        <v>0</v>
      </c>
      <c r="AO168" s="975">
        <f>IF($R168=TRUE,H168,0)</f>
        <v>0</v>
      </c>
      <c r="AP168" s="975">
        <f>IF($U168=TRUE,H168,0)</f>
        <v>0</v>
      </c>
      <c r="AQ168" s="1806">
        <f>IF(I168=11,0,G168*I168)</f>
        <v>0</v>
      </c>
      <c r="AR168" s="1806">
        <f>IF(J168=11,0,G168*J168)</f>
        <v>0</v>
      </c>
      <c r="AS168" s="1806">
        <f>IF(P168=11,0,G168*P168)</f>
        <v>0</v>
      </c>
      <c r="AT168" s="1806">
        <f>IF(Q168=11,0,G168*Q168)</f>
        <v>0</v>
      </c>
      <c r="AU168" s="1806">
        <f>IF(S168=11,0,S168*G168)</f>
        <v>0</v>
      </c>
      <c r="AV168" s="1806">
        <f>IF(T168=11,0,T168*G168)</f>
        <v>0</v>
      </c>
      <c r="BD168" s="816"/>
      <c r="BE168" s="110"/>
      <c r="BF168" s="477"/>
      <c r="BG168" s="113"/>
      <c r="BH168" s="481"/>
      <c r="BI168" s="113"/>
      <c r="BJ168" s="482"/>
      <c r="BK168" s="478"/>
    </row>
    <row r="169" spans="2:63" ht="32" customHeight="1" x14ac:dyDescent="0.2">
      <c r="B169" s="1847"/>
      <c r="C169" s="792" t="s">
        <v>745</v>
      </c>
      <c r="D169" s="793" t="str">
        <f>_xlfn.XLOOKUP(H169,H167:H168,D167:D168)</f>
        <v>L’autre parent vous salue lors de changements de garde, à l'école ou lors d'événements culturels ou sportifs.</v>
      </c>
      <c r="E169" s="794" t="str">
        <f>_xlfn.XLOOKUP(H169,H167:H168,E167:E168)</f>
        <v>vous salue lorsqu'il vous croise à l'école</v>
      </c>
      <c r="F169" s="795"/>
      <c r="G169" s="795"/>
      <c r="H169" s="795">
        <f>IF(AND(K167=TRUE,K168=FALSE),H167,IF(AND(K167=FALSE,K168=TRUE),H168,MAX(H167,H168)))</f>
        <v>7</v>
      </c>
      <c r="I169" s="1624"/>
      <c r="J169" s="796"/>
      <c r="K169" s="797" t="b">
        <f>IF(AND(K167=FALSE,K168=FALSE),FALSE,TRUE)</f>
        <v>1</v>
      </c>
      <c r="L169" s="45"/>
      <c r="M169" s="45"/>
      <c r="N169" s="45"/>
      <c r="O169" s="1623"/>
      <c r="P169" s="1624"/>
      <c r="Q169" s="796"/>
      <c r="R169" s="1637" t="b">
        <f>IF(AND(R167=FALSE,R168=FALSE),FALSE,TRUE)</f>
        <v>1</v>
      </c>
      <c r="S169" s="1624"/>
      <c r="T169" s="796"/>
      <c r="U169" s="1637" t="b">
        <f>IF(AND(U167=FALSE,U168=FALSE),FALSE,TRUE)</f>
        <v>1</v>
      </c>
      <c r="V169" s="931"/>
      <c r="W169" s="931" t="s">
        <v>943</v>
      </c>
      <c r="X169" s="1392"/>
      <c r="Y169" s="8"/>
      <c r="Z169" s="1397"/>
      <c r="AA169" s="8"/>
      <c r="AB169" s="1400"/>
      <c r="AD169" s="960"/>
      <c r="AE169" s="961"/>
      <c r="AF169" s="960"/>
      <c r="AG169" s="961"/>
      <c r="AH169" s="960"/>
      <c r="AI169" s="961"/>
      <c r="AK169" s="10"/>
      <c r="AL169" s="10"/>
      <c r="AM169" s="10"/>
      <c r="AN169" s="2100">
        <f>IF($K169=TRUE,MAX(AN167:AN168),0)</f>
        <v>7</v>
      </c>
      <c r="AO169" s="2100">
        <f>IF($R169=TRUE,MAX(AO167:AO168),0)</f>
        <v>7</v>
      </c>
      <c r="AP169" s="2100">
        <f>IF($U169=TRUE,MAX(AP167:AP168),0)</f>
        <v>7</v>
      </c>
      <c r="AQ169" s="2099">
        <f>MAX(AQ167:AQ168)</f>
        <v>7</v>
      </c>
      <c r="AR169" s="2099">
        <f t="shared" ref="AR169" si="132">MAX(AR167:AR168)</f>
        <v>10</v>
      </c>
      <c r="AS169" s="2099">
        <f t="shared" ref="AS169" si="133">MAX(AS167:AS168)</f>
        <v>2</v>
      </c>
      <c r="AT169" s="2099">
        <f t="shared" ref="AT169" si="134">MAX(AT167:AT168)</f>
        <v>10</v>
      </c>
      <c r="AU169" s="2099">
        <f t="shared" ref="AU169" si="135">MAX(AU167:AU168)</f>
        <v>4</v>
      </c>
      <c r="AV169" s="2099">
        <f t="shared" ref="AV169" si="136">MAX(AV167:AV168)</f>
        <v>7</v>
      </c>
      <c r="BD169" s="816"/>
      <c r="BE169" s="110"/>
      <c r="BF169" s="477"/>
      <c r="BG169" s="113"/>
      <c r="BH169" s="481"/>
      <c r="BI169" s="113"/>
      <c r="BJ169" s="482"/>
      <c r="BK169" s="478"/>
    </row>
    <row r="170" spans="2:63" ht="57" customHeight="1" x14ac:dyDescent="0.2">
      <c r="B170" s="2030" t="str">
        <f>'Action-Réaction finale'!M28</f>
        <v>C: Chantage affectif, loyauté, manipulation</v>
      </c>
      <c r="C170" s="52" t="str">
        <f>'Action-Réaction finale'!K28</f>
        <v>NC03</v>
      </c>
      <c r="D170" s="26" t="str">
        <f>Test_Bible!B407</f>
        <v>Le nouveau ou nouvelle conjoint·e vous salue lors de changements de garde, à l'école ou lors d'événements culturels ou sportifs.</v>
      </c>
      <c r="E170" s="101" t="s">
        <v>1913</v>
      </c>
      <c r="F170" s="790">
        <f>Test_Bible!P407</f>
        <v>7</v>
      </c>
      <c r="G170" s="789">
        <f>Test_Bible!D407</f>
        <v>1</v>
      </c>
      <c r="H170" s="790">
        <f>F170*G170</f>
        <v>7</v>
      </c>
      <c r="I170" s="1622">
        <v>7</v>
      </c>
      <c r="J170" s="1615">
        <v>10</v>
      </c>
      <c r="K170" s="45" t="b">
        <f>IF(AND(F170&gt;=I170,F170&lt;=J170),TRUE,FALSE)</f>
        <v>1</v>
      </c>
      <c r="L170" s="45"/>
      <c r="M170" s="45"/>
      <c r="N170" s="45"/>
      <c r="O170" s="1623"/>
      <c r="P170" s="1622">
        <v>4</v>
      </c>
      <c r="Q170" s="1615">
        <v>10</v>
      </c>
      <c r="R170" s="1623" t="b">
        <f>IF(AND(F170&gt;=P170,F170&lt;=Q170),TRUE,FALSE)</f>
        <v>1</v>
      </c>
      <c r="S170" s="1647">
        <v>11</v>
      </c>
      <c r="T170" s="1648">
        <v>11</v>
      </c>
      <c r="U170" s="1623" t="b">
        <f>IF(AND(F170&gt;=S170,F170&lt;=T170),TRUE,FALSE)</f>
        <v>0</v>
      </c>
      <c r="V170" s="931"/>
      <c r="W170" s="1403"/>
      <c r="X170" s="1404">
        <v>7</v>
      </c>
      <c r="Y170" s="1405"/>
      <c r="Z170" s="1408">
        <v>4</v>
      </c>
      <c r="AA170" s="1405"/>
      <c r="AB170" s="1416">
        <v>11</v>
      </c>
      <c r="AD170" s="960"/>
      <c r="AE170" s="961"/>
      <c r="AF170" s="960"/>
      <c r="AG170" s="961"/>
      <c r="AH170" s="960"/>
      <c r="AI170" s="961"/>
      <c r="AK170" s="10"/>
      <c r="AL170" s="10"/>
      <c r="AM170" s="10"/>
      <c r="AN170" s="975">
        <f>IF(K170=TRUE,H170,0)</f>
        <v>7</v>
      </c>
      <c r="AO170" s="975">
        <f>IF(R170=TRUE,H170,0)</f>
        <v>7</v>
      </c>
      <c r="AP170" s="975">
        <f>IF(U170=TRUE,H170,0)</f>
        <v>0</v>
      </c>
      <c r="AQ170" s="1806">
        <f>IF(I170=11,0,G170*I170)</f>
        <v>7</v>
      </c>
      <c r="AR170" s="1806">
        <f>IF(J170=11,0,G170*J170)</f>
        <v>10</v>
      </c>
      <c r="AS170" s="1806">
        <f>IF(P170=11,0,G170*P170)</f>
        <v>4</v>
      </c>
      <c r="AT170" s="1806">
        <f>IF(Q170=11,0,G170*Q170)</f>
        <v>10</v>
      </c>
      <c r="AU170" s="1806">
        <f>IF(S170=11,0,S170*G170)</f>
        <v>0</v>
      </c>
      <c r="AV170" s="1806">
        <f>IF(T170=11,0,T170*G170)</f>
        <v>0</v>
      </c>
      <c r="BD170" s="816"/>
      <c r="BE170" s="110"/>
      <c r="BF170" s="477"/>
      <c r="BG170" s="113"/>
      <c r="BH170" s="481"/>
      <c r="BI170" s="113"/>
      <c r="BJ170" s="482"/>
      <c r="BK170" s="478"/>
    </row>
    <row r="171" spans="2:63" ht="32" customHeight="1" x14ac:dyDescent="0.2">
      <c r="B171" s="2030"/>
      <c r="C171" s="52" t="s">
        <v>247</v>
      </c>
      <c r="D171" s="26"/>
      <c r="E171" s="62"/>
      <c r="F171" s="35"/>
      <c r="G171" s="35"/>
      <c r="H171" s="35">
        <f>F171*G171</f>
        <v>0</v>
      </c>
      <c r="I171" s="1647">
        <v>11</v>
      </c>
      <c r="J171" s="1648">
        <v>11</v>
      </c>
      <c r="K171" s="45" t="b">
        <f>IF(AND(F171&gt;=I171,F171&lt;=J171),TRUE,FALSE)</f>
        <v>0</v>
      </c>
      <c r="L171" s="45"/>
      <c r="M171" s="45"/>
      <c r="N171" s="45"/>
      <c r="O171" s="1623"/>
      <c r="P171" s="1647">
        <v>11</v>
      </c>
      <c r="Q171" s="1648">
        <v>11</v>
      </c>
      <c r="R171" s="1623" t="b">
        <f>IF(AND(F171&gt;=P171,F171&lt;=Q171),TRUE,FALSE)</f>
        <v>0</v>
      </c>
      <c r="S171" s="1647">
        <v>11</v>
      </c>
      <c r="T171" s="1648">
        <v>11</v>
      </c>
      <c r="U171" s="1623" t="b">
        <f>IF(AND(F171&gt;=S171,F171&lt;=T171),TRUE,FALSE)</f>
        <v>0</v>
      </c>
      <c r="V171" s="931"/>
      <c r="W171" s="1406" t="s">
        <v>943</v>
      </c>
      <c r="X171" s="1425">
        <v>11</v>
      </c>
      <c r="Y171" s="1426"/>
      <c r="Z171" s="1427">
        <v>11</v>
      </c>
      <c r="AA171" s="1426"/>
      <c r="AB171" s="1421">
        <v>11</v>
      </c>
      <c r="AD171" s="960"/>
      <c r="AE171" s="961"/>
      <c r="AF171" s="960"/>
      <c r="AG171" s="961"/>
      <c r="AH171" s="960"/>
      <c r="AI171" s="961"/>
      <c r="AK171" s="10"/>
      <c r="AL171" s="10"/>
      <c r="AM171" s="10"/>
      <c r="AN171" s="975">
        <f>IF(K171=TRUE,H171,0)</f>
        <v>0</v>
      </c>
      <c r="AO171" s="975">
        <f>IF(R171=TRUE,H171,0)</f>
        <v>0</v>
      </c>
      <c r="AP171" s="975">
        <f>IF(U171=TRUE,H171,0)</f>
        <v>0</v>
      </c>
      <c r="AQ171" s="1806">
        <f>IF(I171=11,0,G171*I171)</f>
        <v>0</v>
      </c>
      <c r="AR171" s="1806">
        <f>IF(J171=11,0,G171*J171)</f>
        <v>0</v>
      </c>
      <c r="AS171" s="1806">
        <f>IF(P171=11,0,G171*P171)</f>
        <v>0</v>
      </c>
      <c r="AT171" s="1806">
        <f>IF(Q171=11,0,G171*Q171)</f>
        <v>0</v>
      </c>
      <c r="AU171" s="1806">
        <f>IF(S171=11,0,S171*G171)</f>
        <v>0</v>
      </c>
      <c r="AV171" s="1806">
        <f>IF(T171=11,0,T171*G171)</f>
        <v>0</v>
      </c>
      <c r="BC171" s="7"/>
      <c r="BD171" s="816"/>
      <c r="BE171" s="110"/>
      <c r="BF171" s="477"/>
      <c r="BG171" s="113"/>
      <c r="BH171" s="481"/>
      <c r="BI171" s="113"/>
      <c r="BJ171" s="482"/>
      <c r="BK171" s="478"/>
    </row>
    <row r="172" spans="2:63" ht="37" customHeight="1" thickBot="1" x14ac:dyDescent="0.25">
      <c r="B172" s="2030"/>
      <c r="C172" s="798" t="s">
        <v>746</v>
      </c>
      <c r="D172" s="799" t="str">
        <f>_xlfn.XLOOKUP(H172,H170:H171,D170:D171)</f>
        <v>Le nouveau ou nouvelle conjoint·e vous salue lors de changements de garde, à l'école ou lors d'événements culturels ou sportifs.</v>
      </c>
      <c r="E172" s="800" t="str">
        <f>_xlfn.XLOOKUP(H172,H170:H171,E170:E171)</f>
        <v>Le nouveau conjoint.e vous salue lorsqu'il vous croise à l'école</v>
      </c>
      <c r="F172" s="801"/>
      <c r="G172" s="801"/>
      <c r="H172" s="795">
        <f>IF(AND(K170=TRUE,K171=FALSE),H170,IF(AND(K170=FALSE,K171=TRUE),H171,MAX(H170,H171)))</f>
        <v>7</v>
      </c>
      <c r="I172" s="1625"/>
      <c r="J172" s="802"/>
      <c r="K172" s="803" t="b">
        <f>IF(AND(K170=FALSE,K171=FALSE),FALSE,TRUE)</f>
        <v>1</v>
      </c>
      <c r="L172" s="45"/>
      <c r="M172" s="45"/>
      <c r="N172" s="45"/>
      <c r="O172" s="1623"/>
      <c r="P172" s="1625"/>
      <c r="Q172" s="802"/>
      <c r="R172" s="1638" t="b">
        <f>IF(AND(R170=FALSE,R171=FALSE),FALSE,TRUE)</f>
        <v>1</v>
      </c>
      <c r="S172" s="1625"/>
      <c r="T172" s="802"/>
      <c r="U172" s="1638" t="b">
        <f>IF(AND(U170=FALSE,U171=FALSE),FALSE,TRUE)</f>
        <v>0</v>
      </c>
      <c r="V172" s="931"/>
      <c r="W172" s="931"/>
      <c r="X172" s="1392"/>
      <c r="Y172" s="8"/>
      <c r="Z172" s="1397"/>
      <c r="AA172" s="8"/>
      <c r="AB172" s="1400"/>
      <c r="AD172" s="960"/>
      <c r="AE172" s="961"/>
      <c r="AF172" s="960"/>
      <c r="AG172" s="961"/>
      <c r="AH172" s="960"/>
      <c r="AI172" s="961"/>
      <c r="AK172" s="10"/>
      <c r="AL172" s="10"/>
      <c r="AM172" s="10"/>
      <c r="AN172" s="2100">
        <f>IF($K172=TRUE,MAX(AN170:AN171),0)</f>
        <v>7</v>
      </c>
      <c r="AO172" s="2100">
        <f>IF($R172=TRUE,MAX(AO170:AO171),0)</f>
        <v>7</v>
      </c>
      <c r="AP172" s="2100">
        <f>IF($U172=TRUE,MAX(AP170:AP171),0)</f>
        <v>0</v>
      </c>
      <c r="AQ172" s="2099">
        <f>MAX(AQ170:AQ171)</f>
        <v>7</v>
      </c>
      <c r="AR172" s="2099">
        <f t="shared" ref="AR172" si="137">MAX(AR170:AR171)</f>
        <v>10</v>
      </c>
      <c r="AS172" s="2099">
        <f t="shared" ref="AS172" si="138">MAX(AS170:AS171)</f>
        <v>4</v>
      </c>
      <c r="AT172" s="2099">
        <f t="shared" ref="AT172" si="139">MAX(AT170:AT171)</f>
        <v>10</v>
      </c>
      <c r="AU172" s="2099">
        <f t="shared" ref="AU172" si="140">MAX(AU170:AU171)</f>
        <v>0</v>
      </c>
      <c r="AV172" s="2099">
        <f t="shared" ref="AV172" si="141">MAX(AV170:AV171)</f>
        <v>0</v>
      </c>
      <c r="BC172" s="7"/>
      <c r="BD172" s="816"/>
      <c r="BE172" s="110"/>
      <c r="BF172" s="477"/>
      <c r="BG172" s="113"/>
      <c r="BH172" s="481"/>
      <c r="BI172" s="113"/>
      <c r="BJ172" s="482"/>
      <c r="BK172" s="478"/>
    </row>
    <row r="173" spans="2:63" ht="32" customHeight="1" thickBot="1" x14ac:dyDescent="0.25">
      <c r="B173" s="2030"/>
      <c r="C173" s="804" t="s">
        <v>754</v>
      </c>
      <c r="D173" s="805"/>
      <c r="E173" s="805" t="str">
        <f>IF(H173=H169,E169,E172)</f>
        <v>Le nouveau conjoint.e vous salue lorsqu'il vous croise à l'école</v>
      </c>
      <c r="F173" s="806"/>
      <c r="G173" s="806"/>
      <c r="H173" s="806">
        <f>IF(AND(K169=TRUE,K172=FALSE),H169,IF(AND(K169=FALSE,K172=TRUE),H172,IF(AND(K169=TRUE,K172=TRUE),H169+H172,MAX(H169,H172))))</f>
        <v>14</v>
      </c>
      <c r="I173" s="1626"/>
      <c r="J173" s="807"/>
      <c r="K173" s="808" t="b">
        <f>IF(AND(K169=FALSE,K172=FALSE),FALSE,TRUE)</f>
        <v>1</v>
      </c>
      <c r="L173" s="1610"/>
      <c r="M173" s="1610"/>
      <c r="N173" s="1610"/>
      <c r="O173" s="1627"/>
      <c r="P173" s="1626"/>
      <c r="Q173" s="807"/>
      <c r="R173" s="808" t="b">
        <f>IF(AND(R169=FALSE,R172=FALSE),FALSE,TRUE)</f>
        <v>1</v>
      </c>
      <c r="S173" s="1626"/>
      <c r="T173" s="807"/>
      <c r="U173" s="808" t="b">
        <f>IF(AND(U169=FALSE,U172=FALSE),FALSE,TRUE)</f>
        <v>1</v>
      </c>
      <c r="V173" s="931"/>
      <c r="W173" s="931" t="s">
        <v>942</v>
      </c>
      <c r="X173" s="1392"/>
      <c r="Y173" s="8"/>
      <c r="Z173" s="1397"/>
      <c r="AA173" s="8"/>
      <c r="AB173" s="1400"/>
      <c r="AD173" s="960" t="str">
        <f>IF(K173=TRUE,"V","F")</f>
        <v>V</v>
      </c>
      <c r="AE173" s="961"/>
      <c r="AF173" s="960" t="str">
        <f>IF(R173=TRUE,"V","F")</f>
        <v>V</v>
      </c>
      <c r="AG173" s="961"/>
      <c r="AH173" s="960" t="str">
        <f>IF(U173=TRUE,"V","F")</f>
        <v>V</v>
      </c>
      <c r="AI173" s="961"/>
      <c r="AJ173" t="str">
        <f>IF(OR(AD173="V",AF173="V"),IF(H172&gt;H169,"Le NC contribue plus que le coparent","Le coparent joue un plus grand rôle que le NC"),"pas de contexte significatif de la part du coparent et NC")</f>
        <v>Le coparent joue un plus grand rôle que le NC</v>
      </c>
      <c r="AK173" s="10"/>
      <c r="AL173" s="10"/>
      <c r="AM173" s="10"/>
      <c r="AN173" s="631">
        <f>IF(AND($K169=TRUE,$K172=FALSE),AN169,IF(AND($K169=FALSE,$K172=TRUE),AN172,IF(AND($K169=TRUE,$K172=TRUE),AN169+AN172,0)))</f>
        <v>14</v>
      </c>
      <c r="AO173" s="631">
        <f>IF(AND($R169=TRUE,$R172=FALSE),AO169,IF(AND($R169=FALSE,$R172=TRUE),AO172,IF(AND($R169=TRUE,$R172=TRUE),AO169+AO172,0)))</f>
        <v>14</v>
      </c>
      <c r="AP173" s="631">
        <f>IF(AND($U169=TRUE,$U172=FALSE),AP169,IF(AND($U169=FALSE,$U172=TRUE),AP172,IF(AND($U169=TRUE,$U172=TRUE),AP169+AP172,0)))</f>
        <v>7</v>
      </c>
      <c r="AQ173" s="631">
        <f>IF(AND($K169=TRUE,$K172=FALSE),AQ169,IF(AND($K169=FALSE,$K172=TRUE),AQ172,IF(AND($K169=TRUE,$K172=TRUE),AQ169+AQ172,MAX(AQ169,AQ172))))</f>
        <v>14</v>
      </c>
      <c r="AR173" s="631">
        <f>IF(AND($K169=TRUE,$K172=FALSE),AR169,IF(AND($K169=FALSE,$K172=TRUE),AR172,IF(AND($K169=TRUE,$K172=TRUE),AR169+AR172,MAX(AR169,AR172))))</f>
        <v>20</v>
      </c>
      <c r="AS173" s="631">
        <f t="shared" ref="AS173" si="142">IF(AND($R169=TRUE,$R172=FALSE),AS169,IF(AND($R169=FALSE,$R172=TRUE),AS172,IF(AND($R169=TRUE,$R172=TRUE),AS169+AS172,MAX(AS169,AS172))))</f>
        <v>6</v>
      </c>
      <c r="AT173" s="631">
        <f t="shared" ref="AT173" si="143">IF(AND($R169=TRUE,$R172=FALSE),AT169,IF(AND($R169=FALSE,$R172=TRUE),AT172,IF(AND($R169=TRUE,$R172=TRUE),AT169+AT172,MAX(AT169,AT172))))</f>
        <v>20</v>
      </c>
      <c r="AU173" s="631">
        <f t="shared" ref="AU173" si="144">IF(AND($U169=TRUE,$U172=FALSE),AU169,IF(AND($U169=FALSE,$U172=TRUE),AU172,IF(AND($U169=TRUE,$U172=TRUE),AU169+AU172,MAX(AU169,AU172))))</f>
        <v>4</v>
      </c>
      <c r="AV173" s="631">
        <f t="shared" ref="AV173" si="145">IF(AND($U169=TRUE,$U172=FALSE),AV169,IF(AND($U169=FALSE,$U172=TRUE),AV172,IF(AND($U169=TRUE,$U172=TRUE),AV169+AV172,MAX(AV169,AV172))))</f>
        <v>7</v>
      </c>
      <c r="BC173" s="7"/>
      <c r="BD173" s="816"/>
      <c r="BE173" s="110"/>
      <c r="BF173" s="477"/>
      <c r="BG173" s="113"/>
      <c r="BH173" s="481"/>
      <c r="BI173" s="113"/>
      <c r="BJ173" s="482"/>
      <c r="BK173" s="478"/>
    </row>
    <row r="174" spans="2:63" ht="60" customHeight="1" x14ac:dyDescent="0.2">
      <c r="B174" s="2030" t="str">
        <f>'Action-Réaction finale'!Q28</f>
        <v>C: Chantage affectif, loyauté, manipulation</v>
      </c>
      <c r="C174" s="313" t="str">
        <f>'Action-Réaction finale'!O28</f>
        <v>E11</v>
      </c>
      <c r="D174" s="26" t="str">
        <f>Test_Bible!B284</f>
        <v>Votre enfant va vers vous lors d'événements culturels ou sportifs lorsqu'il ou elle est en compagnie (sous la supervision) de l'autre parent ?</v>
      </c>
      <c r="E174" s="101" t="s">
        <v>1912</v>
      </c>
      <c r="F174" s="790">
        <f>Test_Bible!P284</f>
        <v>4</v>
      </c>
      <c r="G174" s="789">
        <f>Test_Bible!D284</f>
        <v>2</v>
      </c>
      <c r="H174" s="790">
        <f>F174*G174</f>
        <v>8</v>
      </c>
      <c r="I174" s="1622">
        <v>4</v>
      </c>
      <c r="J174" s="1615">
        <f>$J$18</f>
        <v>10</v>
      </c>
      <c r="K174" s="45" t="b">
        <f>IF(AND(F174&gt;=I174,F174&lt;=J174),TRUE,FALSE)</f>
        <v>1</v>
      </c>
      <c r="L174" s="45"/>
      <c r="M174" s="45"/>
      <c r="N174" s="45"/>
      <c r="O174" s="1623"/>
      <c r="P174" s="1622">
        <v>2</v>
      </c>
      <c r="Q174" s="1615">
        <v>4</v>
      </c>
      <c r="R174" s="1623" t="b">
        <f>IF(AND(F174&gt;=P174,F174&lt;=Q174),TRUE,FALSE)</f>
        <v>1</v>
      </c>
      <c r="S174" s="1622"/>
      <c r="T174" s="1615"/>
      <c r="U174" s="1623"/>
      <c r="V174" s="931"/>
      <c r="W174" s="1403"/>
      <c r="X174" s="1404">
        <v>4</v>
      </c>
      <c r="Y174" s="1405"/>
      <c r="Z174" s="1408">
        <v>2</v>
      </c>
      <c r="AA174" s="1405"/>
      <c r="AB174" s="1416">
        <v>11</v>
      </c>
      <c r="AD174" s="960" t="s">
        <v>945</v>
      </c>
      <c r="AE174" s="961"/>
      <c r="AF174" s="960"/>
      <c r="AG174" s="961"/>
      <c r="AH174" s="960"/>
      <c r="AI174" s="961"/>
      <c r="AK174" s="10"/>
      <c r="AL174" s="10"/>
      <c r="AM174" s="10"/>
      <c r="AN174" s="975">
        <f>IF($K174=TRUE,H174,0)</f>
        <v>8</v>
      </c>
      <c r="AO174" s="975">
        <f>IF($R174=TRUE,H174,0)</f>
        <v>8</v>
      </c>
      <c r="AP174" s="975"/>
      <c r="AQ174" s="1806">
        <f>IF(I174=11,0,G174*I174)</f>
        <v>8</v>
      </c>
      <c r="AR174" s="1806">
        <f>IF(J174=11,0,G174*J174)</f>
        <v>20</v>
      </c>
      <c r="AS174" s="1806">
        <f>IF(P174=11,0,G174*P174)</f>
        <v>4</v>
      </c>
      <c r="AT174" s="1806">
        <f>IF(Q174=11,0,G174*Q174)</f>
        <v>8</v>
      </c>
      <c r="AU174" s="1806"/>
      <c r="AV174" s="1806"/>
      <c r="BD174" s="816"/>
      <c r="BE174" s="110"/>
      <c r="BF174" s="477"/>
      <c r="BG174" s="113"/>
      <c r="BH174" s="481"/>
      <c r="BI174" s="113"/>
      <c r="BJ174" s="482"/>
      <c r="BK174" s="478"/>
    </row>
    <row r="175" spans="2:63" ht="60" customHeight="1" thickBot="1" x14ac:dyDescent="0.25">
      <c r="B175" s="2030" t="str">
        <f>'Action-Réaction finale'!Q29</f>
        <v>H: Rôle actif, Réponse au CC, r</v>
      </c>
      <c r="C175" s="313" t="str">
        <f>'Action-Réaction finale'!O29</f>
        <v>E26</v>
      </c>
      <c r="D175" s="26" t="str">
        <f>Test_Bible!B310</f>
        <v>Le comportement ou l'attitude de votre enfant change en présence de l’autre parent.</v>
      </c>
      <c r="E175" s="62" t="s">
        <v>403</v>
      </c>
      <c r="F175" s="790">
        <f>Test_Bible!P310</f>
        <v>4</v>
      </c>
      <c r="G175" s="789">
        <f>Test_Bible!D310</f>
        <v>2</v>
      </c>
      <c r="H175" s="790">
        <f>F175*G175</f>
        <v>8</v>
      </c>
      <c r="I175" s="1622">
        <v>4</v>
      </c>
      <c r="J175" s="1615">
        <f>$J$18</f>
        <v>10</v>
      </c>
      <c r="K175" s="45" t="b">
        <f>IF(AND(F175&gt;=I175,F175&lt;=J175),TRUE,FALSE)</f>
        <v>1</v>
      </c>
      <c r="L175" s="45"/>
      <c r="M175" s="45"/>
      <c r="N175" s="45"/>
      <c r="O175" s="1623"/>
      <c r="P175" s="1622">
        <v>2</v>
      </c>
      <c r="Q175" s="1615">
        <v>7</v>
      </c>
      <c r="R175" s="1623" t="b">
        <f>IF(AND(F175&gt;=P175,F175&lt;=Q175),TRUE,FALSE)</f>
        <v>1</v>
      </c>
      <c r="S175" s="1647"/>
      <c r="T175" s="1648"/>
      <c r="U175" s="1623"/>
      <c r="V175" s="931"/>
      <c r="W175" s="1406" t="s">
        <v>943</v>
      </c>
      <c r="X175" s="1411">
        <v>7</v>
      </c>
      <c r="Y175" s="1412"/>
      <c r="Z175" s="1413">
        <v>4</v>
      </c>
      <c r="AA175" s="1412"/>
      <c r="AB175" s="1421">
        <v>11</v>
      </c>
      <c r="AD175" s="960"/>
      <c r="AE175" s="961"/>
      <c r="AF175" s="960"/>
      <c r="AG175" s="961"/>
      <c r="AH175" s="960"/>
      <c r="AI175" s="961"/>
      <c r="AK175" s="10"/>
      <c r="AL175" s="10"/>
      <c r="AM175" s="10"/>
      <c r="AN175" s="975">
        <f>IF($K175=TRUE,H175,0)</f>
        <v>8</v>
      </c>
      <c r="AO175" s="975">
        <f>IF($R175=TRUE,H175,0)</f>
        <v>8</v>
      </c>
      <c r="AP175" s="975"/>
      <c r="AQ175" s="1806">
        <f>IF(I175=11,0,G175*I175)</f>
        <v>8</v>
      </c>
      <c r="AR175" s="1806">
        <f>IF(J175=11,0,G175*J175)</f>
        <v>20</v>
      </c>
      <c r="AS175" s="1806">
        <f>IF(P175=11,0,G175*P175)</f>
        <v>4</v>
      </c>
      <c r="AT175" s="1806">
        <f>IF(Q175=11,0,G175*Q175)</f>
        <v>14</v>
      </c>
      <c r="AU175" s="1806"/>
      <c r="AV175" s="1806"/>
      <c r="BD175" s="816"/>
      <c r="BE175" s="110"/>
      <c r="BF175" s="477"/>
      <c r="BG175" s="113"/>
      <c r="BH175" s="481"/>
      <c r="BI175" s="113"/>
      <c r="BJ175" s="482"/>
      <c r="BK175" s="478"/>
    </row>
    <row r="176" spans="2:63" ht="32" customHeight="1" thickBot="1" x14ac:dyDescent="0.25">
      <c r="B176" s="2030"/>
      <c r="C176" s="809" t="s">
        <v>747</v>
      </c>
      <c r="D176" s="810" t="str">
        <f>_xlfn.XLOOKUP(H176,H174:H175,D174:D175)</f>
        <v>Votre enfant va vers vous lors d'événements culturels ou sportifs lorsqu'il ou elle est en compagnie (sous la supervision) de l'autre parent ?</v>
      </c>
      <c r="E176" s="810" t="str">
        <f>_xlfn.XLOOKUP(H176,H174:H175,E174:E175)</f>
        <v>vous salue lorsqu'il vous croise à l'école</v>
      </c>
      <c r="F176" s="811"/>
      <c r="G176" s="811"/>
      <c r="H176" s="811">
        <f>IF(AND(K174=TRUE,K175=FALSE),H174,IF(AND(K174=FALSE,K175=TRUE),H175,MAX(H174,H175)))</f>
        <v>8</v>
      </c>
      <c r="I176" s="1628"/>
      <c r="J176" s="812"/>
      <c r="K176" s="813" t="b">
        <f>IF(AND(K174=FALSE,K175=FALSE),FALSE,TRUE)</f>
        <v>1</v>
      </c>
      <c r="L176" s="1611"/>
      <c r="M176" s="1611"/>
      <c r="N176" s="1611"/>
      <c r="O176" s="1629"/>
      <c r="P176" s="1628"/>
      <c r="Q176" s="812"/>
      <c r="R176" s="813" t="b">
        <f>IF(AND(R174=FALSE,R175=FALSE),FALSE,TRUE)</f>
        <v>1</v>
      </c>
      <c r="S176" s="1628"/>
      <c r="T176" s="812"/>
      <c r="U176" s="813"/>
      <c r="V176" s="931"/>
      <c r="W176" s="931"/>
      <c r="X176" s="1394"/>
      <c r="Z176" s="1398"/>
      <c r="AB176" s="1402"/>
      <c r="AD176" s="960" t="str">
        <f>IF(K176=TRUE,"V","F")</f>
        <v>V</v>
      </c>
      <c r="AE176" s="961"/>
      <c r="AF176" s="960" t="str">
        <f>IF(R176=TRUE,"V","F")</f>
        <v>V</v>
      </c>
      <c r="AG176" s="961"/>
      <c r="AH176" s="960"/>
      <c r="AI176" s="961"/>
      <c r="AJ176" t="str">
        <f>IF(AND(AG176=1,AG177=0),"contexte différent de l'AP!!","Contexte AP,CSS en cause")</f>
        <v>Contexte AP,CSS en cause</v>
      </c>
      <c r="AK176" s="10"/>
      <c r="AL176" s="10"/>
      <c r="AM176" s="10"/>
      <c r="AN176" s="2102">
        <f>IF(AND($K174=TRUE,$K175=FALSE),AN174,IF(AND($K174=FALSE,$K175=TRUE),AN175,IF(AND($K174=TRUE,$K175=TRUE),MAX(AN174,AN175),0)))</f>
        <v>8</v>
      </c>
      <c r="AO176" s="2102">
        <f>IF(AND($R174=TRUE,$R175=FALSE),AO174,IF(AND($R174=FALSE,$R175=TRUE),AO175,IF(AND($R174=TRUE,$R175=TRUE),MAX(AO174,AO175),0)))</f>
        <v>8</v>
      </c>
      <c r="AP176" s="2102"/>
      <c r="AQ176" s="2102">
        <f>IF(AND($K174=TRUE,$K175=FALSE),AQ174,IF(AND($K174=FALSE,$K175=TRUE),AQ175,IF(AND($K174=TRUE,$K175=TRUE),MAX(AQ174,AQ175),0)))</f>
        <v>8</v>
      </c>
      <c r="AR176" s="2102">
        <f>IF(AND($K174=TRUE,$K175=FALSE),AR174,IF(AND($K174=FALSE,$K175=TRUE),AR175,IF(AND($K174=TRUE,$K175=TRUE),MAX(AR174,AR175),0)))</f>
        <v>20</v>
      </c>
      <c r="AS176" s="2102">
        <f t="shared" ref="AS176" si="146">IF(AND($R174=TRUE,$R175=FALSE),AS174,IF(AND($R174=FALSE,$R175=TRUE),AS175,IF(AND($R174=TRUE,$R175=TRUE),MAX(AS174,AS175),0)))</f>
        <v>4</v>
      </c>
      <c r="AT176" s="2102">
        <f t="shared" ref="AT176" si="147">IF(AND($R174=TRUE,$R175=FALSE),AT174,IF(AND($R174=FALSE,$R175=TRUE),AT175,IF(AND($R174=TRUE,$R175=TRUE),MAX(AT174,AT175),0)))</f>
        <v>14</v>
      </c>
      <c r="AU176" s="2102"/>
      <c r="AV176" s="2102"/>
      <c r="BD176" s="816"/>
      <c r="BE176" s="110"/>
      <c r="BF176" s="477"/>
      <c r="BG176" s="113"/>
      <c r="BH176" s="481"/>
      <c r="BI176" s="113"/>
      <c r="BJ176" s="482"/>
      <c r="BK176" s="478"/>
    </row>
    <row r="177" spans="2:63" ht="32" customHeight="1" x14ac:dyDescent="0.2">
      <c r="B177" s="2030"/>
      <c r="D177" s="421" t="s">
        <v>310</v>
      </c>
      <c r="E177" s="785"/>
      <c r="F177" s="474" t="s">
        <v>398</v>
      </c>
      <c r="G177" s="47"/>
      <c r="H177" s="47">
        <f>IF(AND(K173=TRUE,K176=FALSE),H173,IF(AND(K173=FALSE,K176=TRUE),H176,IF(AND(K173=TRUE,K176=TRUE),H173+H176,MAX(H173,H176))))</f>
        <v>22</v>
      </c>
      <c r="I177" s="1630"/>
      <c r="J177" s="475"/>
      <c r="K177" s="1613"/>
      <c r="L177" s="1614" t="str">
        <f>IF(AND(K176=TRUE,K173=TRUE),E176,"")</f>
        <v>vous salue lorsqu'il vous croise à l'école</v>
      </c>
      <c r="M177" s="1614" t="str">
        <f>IF(AND(K173=TRUE,K176=FALSE),"Bien que le parent "&amp;E173&amp;" l'enfant ne semble pas s'ingérer","")</f>
        <v/>
      </c>
      <c r="N177" s="1614" t="str">
        <f>IF(AND(K173=FALSE,K176=TRUE),E176&amp;" sans signe de la participation du parent favorisé et|ou nouveau conjoint.e","")</f>
        <v/>
      </c>
      <c r="O177" s="1631" t="str">
        <f>IF(AND(K173=FALSE,K176=FALSE),"aucun comportement significatif de cette nature","")</f>
        <v/>
      </c>
      <c r="P177" s="1630"/>
      <c r="Q177" s="475"/>
      <c r="R177" s="1639"/>
      <c r="S177" s="1630"/>
      <c r="T177" s="475"/>
      <c r="U177" s="1639"/>
      <c r="V177" s="170"/>
      <c r="W177" s="170"/>
      <c r="X177" s="1394"/>
      <c r="Z177" s="1398"/>
      <c r="AB177" s="1402"/>
      <c r="AD177" s="962"/>
      <c r="AE177" s="963">
        <f>IF(AND(AD173="V",AD176="V"),2,IF(OR(AD173="V",AD176="V"),1,0))</f>
        <v>2</v>
      </c>
      <c r="AF177" s="962"/>
      <c r="AG177" s="963">
        <f>IF(OR(AF173="V",AF176="V"),1,0)</f>
        <v>1</v>
      </c>
      <c r="AH177" s="962"/>
      <c r="AI177" s="963"/>
      <c r="AK177" s="10"/>
      <c r="AL177" s="10"/>
      <c r="AM177" s="10"/>
      <c r="AN177" s="2097">
        <f>IF(AND($AD173="V",$AD176="F"),AN173,IF(AND($AD173="F",$AD176="V"),AN176,IF(AND($AD173="V",$AD176="V"),AN173+AN176,0)))</f>
        <v>22</v>
      </c>
      <c r="AO177" s="2097">
        <f>IF(AND($AF173="V",$AF176="F"),AO173,IF(AND($AF173="F",$AF176="V"),AO176,IF(AND($AF173="V",$AF176="V"),AO173+AO176,0)))</f>
        <v>22</v>
      </c>
      <c r="AP177" s="2097"/>
      <c r="AQ177" s="2097">
        <f>IF(AND($AD173="V",$AD176="F"),AQ173,IF(AND($AD173="F",$AD176="V"),AQ176,IF(AND($AD173="V",$AD176="V"),AQ173+AQ176,0)))</f>
        <v>22</v>
      </c>
      <c r="AR177" s="2097">
        <f>IF(AND($AD173="V",$AD176="F"),AR173,IF(AND($AD173="F",$AD176="V"),AR176,IF(AND($AD173="V",$AD176="V"),AR173+AR176,0)))</f>
        <v>40</v>
      </c>
      <c r="AS177" s="2097">
        <f>IF(AND($AF173="V",$AF176="F"),AS173,IF(AND($AF173="F",$AF176="V"),AS176,IF(AND($AF173="V",$AF176="V"),AS173+AS176,0)))</f>
        <v>10</v>
      </c>
      <c r="AT177" s="2097">
        <f>IF(AND($AF173="V",$AF176="F"),AT173,IF(AND($AF173="F",$AF176="V"),AT176,IF(AND($AF173="V",$AF176="V"),AT173+AT176,0)))</f>
        <v>34</v>
      </c>
      <c r="AU177" s="2097"/>
      <c r="AV177" s="2097"/>
      <c r="BD177" s="816"/>
      <c r="BE177" s="110"/>
      <c r="BF177" s="477"/>
      <c r="BG177" s="113"/>
      <c r="BH177" s="481"/>
      <c r="BI177" s="113"/>
      <c r="BJ177" s="482"/>
      <c r="BK177" s="478"/>
    </row>
    <row r="178" spans="2:63" ht="32" customHeight="1" x14ac:dyDescent="0.2">
      <c r="B178" s="2030"/>
      <c r="C178" t="s">
        <v>243</v>
      </c>
      <c r="I178" s="146"/>
      <c r="L178" s="46"/>
      <c r="M178" s="46"/>
      <c r="N178" s="46"/>
      <c r="O178" s="1652"/>
      <c r="P178" s="146"/>
      <c r="R178" s="326"/>
      <c r="S178" s="146"/>
      <c r="U178" s="326"/>
      <c r="V178" s="46"/>
      <c r="X178" s="1394"/>
      <c r="Z178" s="1398"/>
      <c r="AB178" s="1402"/>
      <c r="AD178" s="960"/>
      <c r="AE178" s="961"/>
      <c r="AF178" s="960"/>
      <c r="AG178" s="961"/>
      <c r="AH178" s="960"/>
      <c r="AI178" s="961"/>
      <c r="AK178" s="10"/>
      <c r="AL178" s="10"/>
      <c r="AM178" s="10"/>
      <c r="AN178" s="975"/>
      <c r="AO178" s="975"/>
      <c r="AP178" s="975"/>
      <c r="AQ178" s="1806"/>
      <c r="AR178" s="1806"/>
      <c r="AS178" s="1806"/>
      <c r="AT178" s="1806"/>
      <c r="AU178" s="1806"/>
      <c r="AV178" s="1806"/>
      <c r="BD178" s="816"/>
      <c r="BE178" s="110"/>
      <c r="BF178" s="477"/>
      <c r="BG178" s="113"/>
      <c r="BH178" s="481"/>
      <c r="BI178" s="113"/>
      <c r="BJ178" s="482"/>
      <c r="BK178" s="478"/>
    </row>
    <row r="179" spans="2:63" ht="32" customHeight="1" x14ac:dyDescent="0.2">
      <c r="B179" s="2030" t="str">
        <f>'Action-Réaction finale'!U28</f>
        <v>C: Chantage affectif, loyauté, manipulation</v>
      </c>
      <c r="C179" s="964" t="str">
        <f>'Action-Réaction finale'!S28</f>
        <v>PCR03</v>
      </c>
      <c r="D179" s="965" t="str">
        <f>Test_Bible!B124</f>
        <v xml:space="preserve">Vous saluez ou allez vers l'autre parent lors de changements de garde, à l'école ou lors d'événements culturels ou sportifs. </v>
      </c>
      <c r="E179" s="965" t="s">
        <v>1912</v>
      </c>
      <c r="F179" s="973">
        <f>'Modèle Miroir_divergence'!G106</f>
        <v>0</v>
      </c>
      <c r="G179" s="973">
        <f>Test_Bible!D124</f>
        <v>1</v>
      </c>
      <c r="H179" s="973">
        <f>F179*G179</f>
        <v>0</v>
      </c>
      <c r="I179" s="1622">
        <v>4</v>
      </c>
      <c r="J179" s="1615">
        <v>10</v>
      </c>
      <c r="K179" s="45" t="b">
        <f>IF(AND(F179&gt;=I179,F179&lt;=J179),TRUE,FALSE)</f>
        <v>0</v>
      </c>
      <c r="L179" s="32"/>
      <c r="M179" s="32"/>
      <c r="N179" s="32"/>
      <c r="O179" s="1632"/>
      <c r="P179" s="1647">
        <v>11</v>
      </c>
      <c r="Q179" s="1648">
        <v>11</v>
      </c>
      <c r="R179" s="1623" t="b">
        <f>IF(AND(F179&gt;=P179,F179&lt;=Q179),TRUE,FALSE)</f>
        <v>0</v>
      </c>
      <c r="S179" s="1622">
        <v>4</v>
      </c>
      <c r="T179" s="1615">
        <v>10</v>
      </c>
      <c r="U179" s="1623" t="b">
        <f>IF(AND(F179&gt;=S179,F179&lt;=T179),TRUE,FALSE)</f>
        <v>0</v>
      </c>
      <c r="V179" s="46"/>
      <c r="W179" s="1428"/>
      <c r="X179" s="1404">
        <v>4</v>
      </c>
      <c r="Y179" s="1405"/>
      <c r="Z179" s="1408"/>
      <c r="AA179" s="1405"/>
      <c r="AB179" s="1415">
        <v>4</v>
      </c>
      <c r="AD179" s="960"/>
      <c r="AE179" s="961"/>
      <c r="AF179" s="960"/>
      <c r="AG179" s="961"/>
      <c r="AH179" s="960"/>
      <c r="AI179" s="961"/>
      <c r="AK179" s="10"/>
      <c r="AL179" s="10"/>
      <c r="AM179" s="10"/>
      <c r="AN179" s="975">
        <f>IF($K179=TRUE,H179,0)</f>
        <v>0</v>
      </c>
      <c r="AO179" s="975">
        <f>IF($R179=TRUE,H179,0)</f>
        <v>0</v>
      </c>
      <c r="AP179" s="975">
        <f>IF($U179=TRUE,H179,0)</f>
        <v>0</v>
      </c>
      <c r="AQ179" s="1806">
        <f>IF(I179=11,0,G179*I179)</f>
        <v>4</v>
      </c>
      <c r="AR179" s="1806">
        <f>IF(J179=11,0,G179*J179)</f>
        <v>10</v>
      </c>
      <c r="AS179" s="1806">
        <f>IF(P179=11,0,G179*P179)</f>
        <v>0</v>
      </c>
      <c r="AT179" s="1806">
        <f>IF(Q179=11,0,G179*Q179)</f>
        <v>0</v>
      </c>
      <c r="AU179" s="1806">
        <f>IF(S179=11,0,S179*G179)</f>
        <v>4</v>
      </c>
      <c r="AV179" s="1806">
        <f>IF(T179=11,0,T179*G179)</f>
        <v>10</v>
      </c>
      <c r="BD179" s="816"/>
      <c r="BE179" s="110"/>
      <c r="BF179" s="477"/>
      <c r="BG179" s="113"/>
      <c r="BH179" s="481"/>
      <c r="BI179" s="113"/>
      <c r="BJ179" s="482"/>
      <c r="BK179" s="478"/>
    </row>
    <row r="180" spans="2:63" ht="32" customHeight="1" thickBot="1" x14ac:dyDescent="0.25">
      <c r="B180" s="2030"/>
      <c r="C180" s="964"/>
      <c r="D180" s="972"/>
      <c r="E180" s="965"/>
      <c r="F180" s="973"/>
      <c r="G180" s="973"/>
      <c r="H180" s="973">
        <f>F180*G180</f>
        <v>0</v>
      </c>
      <c r="I180" s="1647">
        <v>11</v>
      </c>
      <c r="J180" s="1648">
        <v>11</v>
      </c>
      <c r="K180" s="45" t="b">
        <f>IF(AND(F180&gt;=I180,F180&lt;=J180),TRUE,FALSE)</f>
        <v>0</v>
      </c>
      <c r="L180" s="32"/>
      <c r="M180" s="32"/>
      <c r="N180" s="32"/>
      <c r="O180" s="1632"/>
      <c r="P180" s="1647">
        <v>11</v>
      </c>
      <c r="Q180" s="1648">
        <v>11</v>
      </c>
      <c r="R180" s="1623" t="b">
        <f>IF(AND(F180&gt;=P180,F180&lt;=Q180),TRUE,FALSE)</f>
        <v>0</v>
      </c>
      <c r="S180" s="1647">
        <v>11</v>
      </c>
      <c r="T180" s="1648">
        <v>11</v>
      </c>
      <c r="U180" s="1623" t="b">
        <f>IF(AND(F180&gt;=S180,F180&lt;=T180),TRUE,FALSE)</f>
        <v>0</v>
      </c>
      <c r="W180" s="1429"/>
      <c r="X180" s="1425">
        <v>11</v>
      </c>
      <c r="Y180" s="1426"/>
      <c r="Z180" s="1427">
        <v>11</v>
      </c>
      <c r="AA180" s="1426"/>
      <c r="AB180" s="1421">
        <v>11</v>
      </c>
      <c r="AD180" s="960"/>
      <c r="AE180" s="961"/>
      <c r="AF180" s="960"/>
      <c r="AG180" s="961"/>
      <c r="AH180" s="960"/>
      <c r="AI180" s="961"/>
      <c r="AK180" s="10"/>
      <c r="AL180" s="10"/>
      <c r="AM180" s="10"/>
      <c r="AN180" s="975">
        <f>IF($K180=TRUE,H180,0)</f>
        <v>0</v>
      </c>
      <c r="AO180" s="975">
        <f>IF($R180=TRUE,H180,0)</f>
        <v>0</v>
      </c>
      <c r="AP180" s="975">
        <f>IF($U180=TRUE,H180,0)</f>
        <v>0</v>
      </c>
      <c r="AQ180" s="1806">
        <f>IF(I180=11,0,G180*I180)</f>
        <v>0</v>
      </c>
      <c r="AR180" s="1806">
        <f>IF(J180=11,0,G180*J180)</f>
        <v>0</v>
      </c>
      <c r="AS180" s="1806">
        <f>IF(P180=11,0,G180*P180)</f>
        <v>0</v>
      </c>
      <c r="AT180" s="1806">
        <f>IF(Q180=11,0,G180*Q180)</f>
        <v>0</v>
      </c>
      <c r="AU180" s="1806">
        <f>IF(S180=11,0,S180*G180)</f>
        <v>0</v>
      </c>
      <c r="AV180" s="1806">
        <f>IF(T180=11,0,T180*G180)</f>
        <v>0</v>
      </c>
      <c r="BD180" s="816"/>
      <c r="BE180" s="110"/>
      <c r="BF180" s="477"/>
      <c r="BG180" s="113"/>
      <c r="BH180" s="481"/>
      <c r="BI180" s="113"/>
      <c r="BJ180" s="482"/>
      <c r="BK180" s="478"/>
    </row>
    <row r="181" spans="2:63" ht="32" customHeight="1" thickBot="1" x14ac:dyDescent="0.35">
      <c r="D181" s="16"/>
      <c r="E181" s="16"/>
      <c r="F181" s="89"/>
      <c r="G181" s="473"/>
      <c r="H181" s="47">
        <f>IF(AND(K179=TRUE,K180=FALSE),H179,IF(AND(K179=FALSE,K180=TRUE),H180,MAX(H179,H180)))</f>
        <v>0</v>
      </c>
      <c r="I181" s="1644"/>
      <c r="J181" s="1645"/>
      <c r="K181" s="1651" t="b">
        <f>IF(AND(K179=FALSE,K180=FALSE),FALSE,TRUE)</f>
        <v>0</v>
      </c>
      <c r="L181" s="1633"/>
      <c r="M181" s="1634"/>
      <c r="N181" s="1634"/>
      <c r="O181" s="1635"/>
      <c r="P181" s="1644"/>
      <c r="Q181" s="1645"/>
      <c r="R181" s="1651" t="b">
        <f>IF(AND(R179=FALSE,R180=FALSE),FALSE,TRUE)</f>
        <v>0</v>
      </c>
      <c r="S181" s="1656"/>
      <c r="T181" s="1657"/>
      <c r="U181" s="1658" t="b">
        <f>IF(AND(U179=FALSE,U180=FALSE),FALSE,TRUE)</f>
        <v>0</v>
      </c>
      <c r="V181" s="170"/>
      <c r="AD181" s="1564" t="str">
        <f>IF(K181=TRUE,"V","F")</f>
        <v>F</v>
      </c>
      <c r="AE181" s="1565"/>
      <c r="AF181" s="1564" t="str">
        <f>IF(R181=TRUE,"V","F")</f>
        <v>F</v>
      </c>
      <c r="AG181" s="1565"/>
      <c r="AH181" s="1564" t="str">
        <f>IF(U181=TRUE,"V","F")</f>
        <v>F</v>
      </c>
      <c r="AI181" s="1565"/>
      <c r="AK181" s="10"/>
      <c r="AL181" s="10"/>
      <c r="AM181" s="10"/>
      <c r="AN181" s="2102">
        <f>IF(AND($K179=TRUE,$K180=FALSE),AN179,IF(AND($K179=FALSE,$K180=TRUE),AN180,MAX(AN179,AN180)))</f>
        <v>0</v>
      </c>
      <c r="AO181" s="2102">
        <f>IF(AND($R179=TRUE,$R180=FALSE),AO179,IF(AND($R179=FALSE,$R180=TRUE),AO180,MAX(AO179,AO180)))</f>
        <v>0</v>
      </c>
      <c r="AP181" s="2102">
        <f>IF(AND($U179=TRUE,$U180=FALSE),AP179,IF(AND($U179=FALSE,$U180=TRUE),AP180,MAX(AP179,AP180)))</f>
        <v>0</v>
      </c>
      <c r="AQ181" s="2102">
        <f>IF(AND($K179=TRUE,$K180=FALSE),AQ179,IF(AND($K179=FALSE,$K180=TRUE),AQ180,MAX(AQ179,AQ180)))</f>
        <v>4</v>
      </c>
      <c r="AR181" s="2102">
        <f>IF(AND($K179=TRUE,$K180=FALSE),AR179,IF(AND($K179=FALSE,$K180=TRUE),AR180,MAX(AR179,AR180)))</f>
        <v>10</v>
      </c>
      <c r="AS181" s="2102">
        <f>IF(AND($R179=TRUE,$R180=FALSE),AS179,IF(AND($R179=FALSE,$R180=TRUE),AS180,MAX(AS179,AS180)))</f>
        <v>0</v>
      </c>
      <c r="AT181" s="2102">
        <f>IF(AND($R179=TRUE,$R180=FALSE),AT179,IF(AND($R179=FALSE,$R180=TRUE),AT180,MAX(AT179,AT180)))</f>
        <v>0</v>
      </c>
      <c r="AU181" s="2102">
        <f>IF(AND($U179=TRUE,$U180=FALSE),AU179,IF(AND($U179=FALSE,$U180=TRUE),AU180,MAX(AU179,AU180)))</f>
        <v>4</v>
      </c>
      <c r="AV181" s="2102">
        <f>IF(AND($U179=TRUE,$U180=FALSE),AV179,IF(AND($U179=FALSE,$U180=TRUE),AV180,MAX(AV179,AV180)))</f>
        <v>10</v>
      </c>
      <c r="BD181" s="816"/>
      <c r="BE181" s="110"/>
      <c r="BF181" s="477"/>
      <c r="BG181" s="113"/>
      <c r="BH181" s="481"/>
      <c r="BI181" s="113"/>
      <c r="BJ181" s="482"/>
      <c r="BK181" s="478"/>
    </row>
    <row r="182" spans="2:63" ht="32" customHeight="1" thickBot="1" x14ac:dyDescent="0.35">
      <c r="D182" s="16" t="s">
        <v>1396</v>
      </c>
      <c r="E182" s="16"/>
      <c r="F182" s="89"/>
      <c r="G182" s="473"/>
      <c r="H182" s="473"/>
      <c r="I182" s="8"/>
      <c r="J182" s="8"/>
      <c r="K182" s="80"/>
      <c r="L182" s="170"/>
      <c r="M182" s="170"/>
      <c r="N182" s="170"/>
      <c r="O182" s="170"/>
      <c r="P182" s="170"/>
      <c r="Q182" s="170"/>
      <c r="R182" s="170"/>
      <c r="S182" s="170"/>
      <c r="T182" s="170"/>
      <c r="U182" s="170"/>
      <c r="V182" s="170"/>
      <c r="AD182" s="1649"/>
      <c r="AE182" s="1650">
        <f>IF(AND(AD181="V",AD173="V"),AE177-1,AE177)</f>
        <v>2</v>
      </c>
      <c r="AF182" s="1649"/>
      <c r="AG182" s="1650">
        <f>IF(OR(AF173="V",AF176="V",AF181="V"),1,0)</f>
        <v>1</v>
      </c>
      <c r="AH182" s="1649"/>
      <c r="AI182" s="1650">
        <f>IF(AH173="V",1,IF(AH181="V",1,0))</f>
        <v>1</v>
      </c>
      <c r="AK182" s="10">
        <v>1</v>
      </c>
      <c r="AL182" s="10">
        <v>1</v>
      </c>
      <c r="AM182" s="10">
        <v>1</v>
      </c>
      <c r="AN182" s="2101">
        <f>IF($AD181="F",AN177,AN177+AN181)</f>
        <v>22</v>
      </c>
      <c r="AO182" s="2101">
        <f>IF($AF181="F",AO177,AO177+AO181)</f>
        <v>22</v>
      </c>
      <c r="AP182" s="2101">
        <f>IF(AND($AH173="V",$AH181="F"),AP173,IF(AND($AH173="F",$AH181="V"),AP181,IF(AND($AH173="V",$AH181="V"),AP173+AP181,0)))</f>
        <v>7</v>
      </c>
      <c r="AQ182" s="2101">
        <f>IF($AD181="F",AQ177,AQ177+AQ181)</f>
        <v>22</v>
      </c>
      <c r="AR182" s="2101">
        <f t="shared" ref="AR182" si="148">IF($AD181="F",AR177,AR177+AR181)</f>
        <v>40</v>
      </c>
      <c r="AS182" s="2101">
        <f t="shared" ref="AS182" si="149">IF($AF181="F",AS177,AS177+AS181)</f>
        <v>10</v>
      </c>
      <c r="AT182" s="2101">
        <f t="shared" ref="AT182" si="150">IF($AF181="F",AT177,AT177+AT181)</f>
        <v>34</v>
      </c>
      <c r="AU182" s="2101">
        <f t="shared" ref="AU182" si="151">IF(AND($AH173="V",$AH181="F"),AU173,IF(AND($AH173="F",$AH181="V"),AU181,IF(AND($AH173="V",$AH181="V"),AU173+AU181,0)))</f>
        <v>4</v>
      </c>
      <c r="AV182" s="2101">
        <f t="shared" ref="AV182" si="152">IF(AND($AH173="V",$AH181="F"),AV173,IF(AND($AH173="F",$AH181="V"),AV181,IF(AND($AH173="V",$AH181="V"),AV173+AV181,0)))</f>
        <v>7</v>
      </c>
      <c r="BD182" s="816"/>
      <c r="BE182" s="110"/>
      <c r="BF182" s="477"/>
      <c r="BG182" s="113"/>
      <c r="BH182" s="481"/>
      <c r="BI182" s="113"/>
      <c r="BJ182" s="482"/>
      <c r="BK182" s="478"/>
    </row>
    <row r="183" spans="2:63" ht="32" customHeight="1" x14ac:dyDescent="0.3">
      <c r="D183" s="16" t="s">
        <v>1397</v>
      </c>
      <c r="E183" s="16"/>
      <c r="F183" s="89"/>
      <c r="G183" s="473"/>
      <c r="H183" s="473"/>
      <c r="I183" s="2270" t="s">
        <v>1395</v>
      </c>
      <c r="J183" s="2271"/>
      <c r="K183" s="2272"/>
      <c r="L183" s="2268"/>
      <c r="M183" s="2268"/>
      <c r="N183" s="2268"/>
      <c r="O183" s="1619"/>
      <c r="P183" s="2273" t="s">
        <v>1394</v>
      </c>
      <c r="Q183" s="2274"/>
      <c r="R183" s="2275"/>
      <c r="S183" s="1678" t="s">
        <v>1393</v>
      </c>
      <c r="T183" s="1618"/>
      <c r="U183" s="1619"/>
      <c r="V183" s="170"/>
      <c r="AD183" s="1668"/>
      <c r="AE183" s="1669"/>
      <c r="AF183" s="1409"/>
      <c r="AG183" s="1409"/>
      <c r="AH183" s="1409"/>
      <c r="AI183" s="1409"/>
      <c r="AK183" s="10"/>
      <c r="AL183" s="10"/>
      <c r="AM183" s="10"/>
      <c r="BD183" s="816"/>
      <c r="BE183" s="110"/>
      <c r="BF183" s="477"/>
      <c r="BG183" s="113"/>
      <c r="BH183" s="481"/>
      <c r="BI183" s="113"/>
      <c r="BJ183" s="482"/>
      <c r="BK183" s="478"/>
    </row>
    <row r="184" spans="2:63" ht="32" customHeight="1" x14ac:dyDescent="0.3">
      <c r="B184" s="2029">
        <v>9</v>
      </c>
      <c r="D184" s="476" t="str">
        <f>'Action-Réaction finale'!F31</f>
        <v>Dénigre l'autre</v>
      </c>
      <c r="E184" s="107"/>
      <c r="F184" s="65"/>
      <c r="G184" s="18"/>
      <c r="H184" s="18"/>
      <c r="I184" s="2255" t="s">
        <v>734</v>
      </c>
      <c r="J184" s="2256"/>
      <c r="K184" s="2256"/>
      <c r="L184" s="2257" t="s">
        <v>1378</v>
      </c>
      <c r="M184" s="2257"/>
      <c r="N184" s="2257"/>
      <c r="O184" s="2258"/>
      <c r="P184" s="2259" t="s">
        <v>733</v>
      </c>
      <c r="Q184" s="2260"/>
      <c r="R184" s="2261"/>
      <c r="S184" s="2262" t="s">
        <v>735</v>
      </c>
      <c r="T184" s="2263"/>
      <c r="U184" s="2264"/>
      <c r="V184" s="15"/>
      <c r="W184" s="15"/>
      <c r="AD184" s="956"/>
      <c r="AE184" s="956"/>
      <c r="AF184" s="956"/>
      <c r="AG184" s="956"/>
      <c r="AH184" s="956"/>
      <c r="AI184" s="957"/>
      <c r="AK184" s="10"/>
      <c r="AL184" s="10"/>
      <c r="AM184" s="10"/>
      <c r="AN184" s="1659" t="s">
        <v>734</v>
      </c>
      <c r="AO184" s="1659" t="s">
        <v>733</v>
      </c>
      <c r="AP184" s="1659" t="s">
        <v>735</v>
      </c>
      <c r="AQ184" s="2254" t="s">
        <v>734</v>
      </c>
      <c r="AR184" s="2254"/>
      <c r="AS184" s="2254" t="s">
        <v>733</v>
      </c>
      <c r="AT184" s="2254"/>
      <c r="AU184" s="2254" t="s">
        <v>735</v>
      </c>
      <c r="AV184" s="2254"/>
      <c r="BD184" s="816"/>
      <c r="BE184" s="110"/>
      <c r="BF184" s="477"/>
      <c r="BG184" s="113"/>
      <c r="BH184" s="481"/>
      <c r="BI184" s="113"/>
      <c r="BJ184" s="482"/>
      <c r="BK184" s="478"/>
    </row>
    <row r="185" spans="2:63" ht="32" customHeight="1" x14ac:dyDescent="0.2">
      <c r="B185" s="2030"/>
      <c r="D185" s="102" t="s">
        <v>998</v>
      </c>
      <c r="E185" s="983" t="s">
        <v>997</v>
      </c>
      <c r="F185" s="32" t="s">
        <v>748</v>
      </c>
      <c r="G185" s="32" t="s">
        <v>749</v>
      </c>
      <c r="H185" s="32" t="s">
        <v>750</v>
      </c>
      <c r="I185" s="1620" t="s">
        <v>306</v>
      </c>
      <c r="J185" s="43" t="s">
        <v>307</v>
      </c>
      <c r="K185" s="43" t="s">
        <v>308</v>
      </c>
      <c r="L185" s="43" t="s">
        <v>413</v>
      </c>
      <c r="M185" s="43" t="s">
        <v>388</v>
      </c>
      <c r="N185" s="43" t="s">
        <v>389</v>
      </c>
      <c r="O185" s="1621" t="s">
        <v>390</v>
      </c>
      <c r="P185" s="1620" t="s">
        <v>306</v>
      </c>
      <c r="Q185" s="43" t="s">
        <v>307</v>
      </c>
      <c r="R185" s="1621" t="s">
        <v>308</v>
      </c>
      <c r="S185" s="1620" t="s">
        <v>306</v>
      </c>
      <c r="T185" s="43" t="s">
        <v>307</v>
      </c>
      <c r="U185" s="1621" t="s">
        <v>308</v>
      </c>
      <c r="V185" s="818"/>
      <c r="W185" s="955" t="s">
        <v>928</v>
      </c>
      <c r="X185" s="1391" t="s">
        <v>734</v>
      </c>
      <c r="Y185" s="955" t="s">
        <v>928</v>
      </c>
      <c r="Z185" s="1395" t="s">
        <v>733</v>
      </c>
      <c r="AA185" s="955"/>
      <c r="AB185" s="1399" t="s">
        <v>735</v>
      </c>
      <c r="AD185" s="970" t="s">
        <v>734</v>
      </c>
      <c r="AE185" s="971" t="s">
        <v>946</v>
      </c>
      <c r="AF185" s="970" t="s">
        <v>733</v>
      </c>
      <c r="AG185" s="971" t="s">
        <v>947</v>
      </c>
      <c r="AH185" s="970" t="s">
        <v>735</v>
      </c>
      <c r="AI185" s="971" t="s">
        <v>948</v>
      </c>
      <c r="AK185" s="10"/>
      <c r="AL185" s="10"/>
      <c r="AM185" s="10"/>
      <c r="AN185" s="10"/>
      <c r="AO185" s="10"/>
      <c r="AP185" s="10"/>
      <c r="AQ185" s="1806" t="s">
        <v>1322</v>
      </c>
      <c r="AR185" s="1806" t="s">
        <v>1323</v>
      </c>
      <c r="AS185" s="1806" t="s">
        <v>1322</v>
      </c>
      <c r="AT185" s="1806" t="s">
        <v>1323</v>
      </c>
      <c r="AU185" s="1806" t="s">
        <v>1322</v>
      </c>
      <c r="AV185" s="1806" t="s">
        <v>1323</v>
      </c>
      <c r="BD185" s="816"/>
      <c r="BE185" s="110"/>
      <c r="BF185" s="477"/>
      <c r="BG185" s="113"/>
      <c r="BH185" s="481"/>
      <c r="BI185" s="113"/>
      <c r="BJ185" s="482"/>
      <c r="BK185" s="478"/>
    </row>
    <row r="186" spans="2:63" ht="32" customHeight="1" x14ac:dyDescent="0.2">
      <c r="B186" s="1847" t="str">
        <f>'Action-Réaction finale'!I31</f>
        <v>D: Dénigrement</v>
      </c>
      <c r="C186" s="414" t="str">
        <f>'Action-Réaction finale'!G31</f>
        <v>PFA13</v>
      </c>
      <c r="D186" s="26" t="str">
        <f>Test_Bible!B186</f>
        <v>L’autre parent vous dénigre en la présence de votre enfant.</v>
      </c>
      <c r="E186" s="101" t="s">
        <v>768</v>
      </c>
      <c r="F186" s="790">
        <f>Test_Bible!P186</f>
        <v>7</v>
      </c>
      <c r="G186" s="789">
        <f>Test_Bible!D186</f>
        <v>1</v>
      </c>
      <c r="H186" s="790">
        <f>F186*G186</f>
        <v>7</v>
      </c>
      <c r="I186" s="1622">
        <v>4</v>
      </c>
      <c r="J186" s="1615">
        <v>10</v>
      </c>
      <c r="K186" s="45" t="b">
        <f>IF(AND(F186&gt;=I186,F186&lt;=J186),TRUE,FALSE)</f>
        <v>1</v>
      </c>
      <c r="L186" s="45"/>
      <c r="M186" s="45"/>
      <c r="N186" s="45"/>
      <c r="O186" s="1623"/>
      <c r="P186" s="1622">
        <v>1</v>
      </c>
      <c r="Q186" s="1615">
        <v>10</v>
      </c>
      <c r="R186" s="1623" t="b">
        <f>IF(AND(F186&gt;=P186,F186&lt;=Q186),TRUE,FALSE)</f>
        <v>1</v>
      </c>
      <c r="S186" s="1622">
        <v>2</v>
      </c>
      <c r="T186" s="1615">
        <v>7</v>
      </c>
      <c r="U186" s="1623" t="b">
        <f>IF(AND(F186&gt;=S186,F186&lt;=T186),TRUE,FALSE)</f>
        <v>1</v>
      </c>
      <c r="V186" s="931"/>
      <c r="W186" s="1403"/>
      <c r="X186" s="1404">
        <v>4</v>
      </c>
      <c r="Y186" s="1405"/>
      <c r="Z186" s="1408">
        <v>2</v>
      </c>
      <c r="AA186" s="1405"/>
      <c r="AB186" s="1415">
        <v>2</v>
      </c>
      <c r="AD186" s="958"/>
      <c r="AE186" s="959"/>
      <c r="AF186" s="958"/>
      <c r="AG186" s="959"/>
      <c r="AH186" s="958"/>
      <c r="AI186" s="959"/>
      <c r="AK186" s="10"/>
      <c r="AL186" s="10"/>
      <c r="AM186" s="10"/>
      <c r="AN186" s="975">
        <f>IF($K186=TRUE,H186,0)</f>
        <v>7</v>
      </c>
      <c r="AO186" s="975">
        <f>IF($R186=TRUE,H186,0)</f>
        <v>7</v>
      </c>
      <c r="AP186" s="975">
        <f>IF($U186=TRUE,H186,0)</f>
        <v>7</v>
      </c>
      <c r="AQ186" s="1806">
        <f>IF(I186=11,0,G186*I186)</f>
        <v>4</v>
      </c>
      <c r="AR186" s="1806">
        <f>IF(J186=11,0,G186*J186)</f>
        <v>10</v>
      </c>
      <c r="AS186" s="1806">
        <f>IF(P186=11,0,G186*P186)</f>
        <v>1</v>
      </c>
      <c r="AT186" s="1806">
        <f>IF(Q186=11,0,G186*Q186)</f>
        <v>10</v>
      </c>
      <c r="AU186" s="1806">
        <f>IF(S186=11,0,S186*G186)</f>
        <v>2</v>
      </c>
      <c r="AV186" s="1806">
        <f>IF(T186=11,0,T186*G186)</f>
        <v>7</v>
      </c>
      <c r="BD186" s="816"/>
      <c r="BE186" s="110"/>
      <c r="BF186" s="477"/>
      <c r="BG186" s="113"/>
      <c r="BH186" s="481"/>
      <c r="BI186" s="113"/>
      <c r="BJ186" s="482"/>
      <c r="BK186" s="478"/>
    </row>
    <row r="187" spans="2:63" ht="32" customHeight="1" x14ac:dyDescent="0.2">
      <c r="B187" s="2032"/>
      <c r="C187" s="414" t="s">
        <v>293</v>
      </c>
      <c r="D187" s="26"/>
      <c r="E187" s="101"/>
      <c r="F187" s="790"/>
      <c r="G187" s="789"/>
      <c r="H187" s="790">
        <f>F187*G187</f>
        <v>0</v>
      </c>
      <c r="I187" s="1647">
        <v>11</v>
      </c>
      <c r="J187" s="1648">
        <v>11</v>
      </c>
      <c r="K187" s="45" t="b">
        <f>IF(AND(F187&gt;=I187,F187&lt;=J187),TRUE,FALSE)</f>
        <v>0</v>
      </c>
      <c r="L187" s="45"/>
      <c r="M187" s="45"/>
      <c r="N187" s="45"/>
      <c r="O187" s="1623"/>
      <c r="P187" s="1647">
        <v>11</v>
      </c>
      <c r="Q187" s="1648">
        <v>11</v>
      </c>
      <c r="R187" s="1623" t="b">
        <f>IF(AND(F187&gt;=P187,F187&lt;=Q187),TRUE,FALSE)</f>
        <v>0</v>
      </c>
      <c r="S187" s="1647">
        <v>11</v>
      </c>
      <c r="T187" s="1648">
        <v>11</v>
      </c>
      <c r="U187" s="1623" t="b">
        <f>IF(AND(F187&gt;=S187,F187&lt;=T187),TRUE,FALSE)</f>
        <v>0</v>
      </c>
      <c r="V187" s="931"/>
      <c r="W187" s="1406" t="s">
        <v>943</v>
      </c>
      <c r="X187" s="1425">
        <v>11</v>
      </c>
      <c r="Y187" s="1426"/>
      <c r="Z187" s="1427">
        <v>11</v>
      </c>
      <c r="AA187" s="1426"/>
      <c r="AB187" s="1421">
        <v>11</v>
      </c>
      <c r="AD187" s="960"/>
      <c r="AE187" s="961"/>
      <c r="AF187" s="960"/>
      <c r="AG187" s="961"/>
      <c r="AH187" s="960"/>
      <c r="AI187" s="961"/>
      <c r="AK187" s="10"/>
      <c r="AL187" s="10"/>
      <c r="AM187" s="10"/>
      <c r="AN187" s="975">
        <f>IF($K187=TRUE,H187,0)</f>
        <v>0</v>
      </c>
      <c r="AO187" s="975">
        <f>IF($R187=TRUE,H187,0)</f>
        <v>0</v>
      </c>
      <c r="AP187" s="975">
        <f>IF($U187=TRUE,H187,0)</f>
        <v>0</v>
      </c>
      <c r="AQ187" s="1806">
        <f>IF(I187=11,0,G187*I187)</f>
        <v>0</v>
      </c>
      <c r="AR187" s="1806">
        <f>IF(J187=11,0,G187*J187)</f>
        <v>0</v>
      </c>
      <c r="AS187" s="1806">
        <f>IF(P187=11,0,G187*P187)</f>
        <v>0</v>
      </c>
      <c r="AT187" s="1806">
        <f>IF(Q187=11,0,G187*Q187)</f>
        <v>0</v>
      </c>
      <c r="AU187" s="1806">
        <f>IF(S187=11,0,S187*G187)</f>
        <v>0</v>
      </c>
      <c r="AV187" s="1806">
        <f>IF(T187=11,0,T187*G187)</f>
        <v>0</v>
      </c>
      <c r="BD187" s="816"/>
      <c r="BE187" s="110"/>
      <c r="BF187" s="477"/>
      <c r="BG187" s="113"/>
      <c r="BH187" s="481"/>
      <c r="BI187" s="113"/>
      <c r="BJ187" s="482"/>
      <c r="BK187" s="478"/>
    </row>
    <row r="188" spans="2:63" ht="32" customHeight="1" x14ac:dyDescent="0.2">
      <c r="B188" s="1847"/>
      <c r="C188" s="792" t="s">
        <v>745</v>
      </c>
      <c r="D188" s="793" t="str">
        <f>_xlfn.XLOOKUP(H188,H186:H187,D186:D187)</f>
        <v>L’autre parent vous dénigre en la présence de votre enfant.</v>
      </c>
      <c r="E188" s="794" t="str">
        <f>_xlfn.XLOOKUP(H188,H186:H187,E186:E187)</f>
        <v>dénigre en la présence de l'enfant</v>
      </c>
      <c r="F188" s="795"/>
      <c r="G188" s="795"/>
      <c r="H188" s="795">
        <f>IF(AND(K186=TRUE,K187=FALSE),H186,IF(AND(K186=FALSE,K187=TRUE),H187,MAX(H186,H187)))</f>
        <v>7</v>
      </c>
      <c r="I188" s="1624"/>
      <c r="J188" s="796"/>
      <c r="K188" s="797" t="b">
        <f>IF(AND(K186=FALSE,K187=FALSE),FALSE,TRUE)</f>
        <v>1</v>
      </c>
      <c r="L188" s="45"/>
      <c r="M188" s="45"/>
      <c r="N188" s="45"/>
      <c r="O188" s="1623"/>
      <c r="P188" s="1624"/>
      <c r="Q188" s="796"/>
      <c r="R188" s="1637" t="b">
        <f>IF(AND(R186=FALSE,R187=FALSE),FALSE,TRUE)</f>
        <v>1</v>
      </c>
      <c r="S188" s="1624"/>
      <c r="T188" s="796"/>
      <c r="U188" s="1637" t="b">
        <f>IF(AND(U186=FALSE,U187=FALSE),FALSE,TRUE)</f>
        <v>1</v>
      </c>
      <c r="V188" s="931"/>
      <c r="W188" s="931" t="s">
        <v>943</v>
      </c>
      <c r="X188" s="1392"/>
      <c r="Y188" s="8"/>
      <c r="Z188" s="1397"/>
      <c r="AA188" s="8"/>
      <c r="AB188" s="1400"/>
      <c r="AD188" s="960"/>
      <c r="AE188" s="961"/>
      <c r="AF188" s="960"/>
      <c r="AG188" s="961"/>
      <c r="AH188" s="960"/>
      <c r="AI188" s="961"/>
      <c r="AK188" s="10"/>
      <c r="AL188" s="10"/>
      <c r="AM188" s="10"/>
      <c r="AN188" s="2100">
        <f>IF($K188=TRUE,MAX(AN186:AN187),0)</f>
        <v>7</v>
      </c>
      <c r="AO188" s="2100">
        <f>IF($R188=TRUE,MAX(AO186:AO187),0)</f>
        <v>7</v>
      </c>
      <c r="AP188" s="2100">
        <f>IF($U188=TRUE,MAX(AP186:AP187),0)</f>
        <v>7</v>
      </c>
      <c r="AQ188" s="2099">
        <f>MAX(AQ186:AQ187)</f>
        <v>4</v>
      </c>
      <c r="AR188" s="2099">
        <f t="shared" ref="AR188" si="153">MAX(AR186:AR187)</f>
        <v>10</v>
      </c>
      <c r="AS188" s="2099">
        <f t="shared" ref="AS188" si="154">MAX(AS186:AS187)</f>
        <v>1</v>
      </c>
      <c r="AT188" s="2099">
        <f t="shared" ref="AT188" si="155">MAX(AT186:AT187)</f>
        <v>10</v>
      </c>
      <c r="AU188" s="2099">
        <f t="shared" ref="AU188" si="156">MAX(AU186:AU187)</f>
        <v>2</v>
      </c>
      <c r="AV188" s="2099">
        <f t="shared" ref="AV188" si="157">MAX(AV186:AV187)</f>
        <v>7</v>
      </c>
      <c r="BD188" s="816"/>
      <c r="BE188" s="110"/>
      <c r="BF188" s="477"/>
      <c r="BG188" s="113"/>
      <c r="BH188" s="481"/>
      <c r="BI188" s="113"/>
      <c r="BJ188" s="482"/>
      <c r="BK188" s="478"/>
    </row>
    <row r="189" spans="2:63" ht="48" customHeight="1" x14ac:dyDescent="0.2">
      <c r="B189" s="2030" t="str">
        <f>'Action-Réaction finale'!M31</f>
        <v>D: Dénigrement</v>
      </c>
      <c r="C189" s="52" t="str">
        <f>'Action-Réaction finale'!K31</f>
        <v>NC04a1</v>
      </c>
      <c r="D189" s="26" t="str">
        <f>Test_Bible!B414</f>
        <v>Le nouveau ou nouvelle conjoint·e dénigre vos compétences parentales par texto, courriel ou autres?</v>
      </c>
      <c r="E189" s="101" t="s">
        <v>1915</v>
      </c>
      <c r="F189" s="790">
        <f>Test_Bible!P414</f>
        <v>4</v>
      </c>
      <c r="G189" s="789">
        <f>Test_Bible!D414</f>
        <v>3</v>
      </c>
      <c r="H189" s="790">
        <f>F189*G189</f>
        <v>12</v>
      </c>
      <c r="I189" s="1622">
        <v>4</v>
      </c>
      <c r="J189" s="1615">
        <v>10</v>
      </c>
      <c r="K189" s="45" t="b">
        <f>IF(AND(F189&gt;=I189,F189&lt;=J189),TRUE,FALSE)</f>
        <v>1</v>
      </c>
      <c r="L189" s="45"/>
      <c r="M189" s="45"/>
      <c r="N189" s="45"/>
      <c r="O189" s="1623"/>
      <c r="P189" s="1622">
        <v>2</v>
      </c>
      <c r="Q189" s="1615">
        <v>10</v>
      </c>
      <c r="R189" s="1623" t="b">
        <f>IF(AND(F189&gt;=P189,F189&lt;=Q189),TRUE,FALSE)</f>
        <v>1</v>
      </c>
      <c r="S189" s="1622">
        <v>4</v>
      </c>
      <c r="T189" s="1615">
        <v>10</v>
      </c>
      <c r="U189" s="1623" t="b">
        <f>IF(AND(F189&gt;=S189,F189&lt;=T189),TRUE,FALSE)</f>
        <v>1</v>
      </c>
      <c r="V189" s="931"/>
      <c r="W189" s="1403"/>
      <c r="X189" s="1404">
        <v>2</v>
      </c>
      <c r="Y189" s="1405"/>
      <c r="Z189" s="1408">
        <v>4</v>
      </c>
      <c r="AA189" s="1405"/>
      <c r="AB189" s="1415">
        <v>4</v>
      </c>
      <c r="AD189" s="960"/>
      <c r="AE189" s="961"/>
      <c r="AF189" s="960"/>
      <c r="AG189" s="961"/>
      <c r="AH189" s="960"/>
      <c r="AI189" s="961"/>
      <c r="AK189" s="10"/>
      <c r="AL189" s="10"/>
      <c r="AM189" s="10"/>
      <c r="AN189" s="975">
        <f>IF(K189=TRUE,H189,0)</f>
        <v>12</v>
      </c>
      <c r="AO189" s="975">
        <f>IF(R189=TRUE,H189,0)</f>
        <v>12</v>
      </c>
      <c r="AP189" s="975">
        <f>IF(U189=TRUE,H189,0)</f>
        <v>12</v>
      </c>
      <c r="AQ189" s="1806">
        <f>IF(I189=11,0,G189*I189)</f>
        <v>12</v>
      </c>
      <c r="AR189" s="1806">
        <f>IF(J189=11,0,G189*J189)</f>
        <v>30</v>
      </c>
      <c r="AS189" s="1806">
        <f>IF(P189=11,0,G189*P189)</f>
        <v>6</v>
      </c>
      <c r="AT189" s="1806">
        <f>IF(Q189=11,0,G189*Q189)</f>
        <v>30</v>
      </c>
      <c r="AU189" s="1806">
        <f>IF(S189=11,0,S189*G189)</f>
        <v>12</v>
      </c>
      <c r="AV189" s="1806">
        <f>IF(T189=11,0,T189*G189)</f>
        <v>30</v>
      </c>
      <c r="BD189" s="816"/>
      <c r="BE189" s="110"/>
      <c r="BF189" s="477"/>
      <c r="BG189" s="113"/>
      <c r="BH189" s="481"/>
      <c r="BI189" s="113"/>
      <c r="BJ189" s="482"/>
      <c r="BK189" s="478"/>
    </row>
    <row r="190" spans="2:63" ht="48" customHeight="1" x14ac:dyDescent="0.2">
      <c r="B190" s="2030" t="str">
        <f>'Action-Réaction finale'!M32</f>
        <v>D: Dénigrement</v>
      </c>
      <c r="C190" s="52" t="str">
        <f>'Action-Réaction finale'!K32</f>
        <v>NC04a</v>
      </c>
      <c r="D190" s="26" t="str">
        <f>Test_Bible!B415</f>
        <v>Arrive-t-il que le nouveau ou nouvelle conjoint·e vous critique ou dénigre vos compétences parentales devant votre enfant ?</v>
      </c>
      <c r="E190" s="101" t="s">
        <v>1914</v>
      </c>
      <c r="F190" s="790">
        <f>Test_Bible!P415</f>
        <v>2</v>
      </c>
      <c r="G190" s="789">
        <f>Test_Bible!D415</f>
        <v>3</v>
      </c>
      <c r="H190" s="35">
        <f>F190*G190</f>
        <v>6</v>
      </c>
      <c r="I190" s="1622">
        <v>4</v>
      </c>
      <c r="J190" s="1615">
        <v>10</v>
      </c>
      <c r="K190" s="45" t="b">
        <f>IF(AND(F190&gt;=I190,F190&lt;=J190),TRUE,FALSE)</f>
        <v>0</v>
      </c>
      <c r="L190" s="45"/>
      <c r="M190" s="45"/>
      <c r="N190" s="45"/>
      <c r="O190" s="1623"/>
      <c r="P190" s="1647">
        <v>11</v>
      </c>
      <c r="Q190" s="1648">
        <v>11</v>
      </c>
      <c r="R190" s="1623" t="b">
        <f>IF(AND(F190&gt;=P190,F190&lt;=Q190),TRUE,FALSE)</f>
        <v>0</v>
      </c>
      <c r="S190" s="1622">
        <v>2</v>
      </c>
      <c r="T190" s="1615">
        <v>10</v>
      </c>
      <c r="U190" s="1623" t="b">
        <f>IF(AND(F190&gt;=S190,F190&lt;=T190),TRUE,FALSE)</f>
        <v>1</v>
      </c>
      <c r="V190" s="931"/>
      <c r="W190" s="1406" t="s">
        <v>943</v>
      </c>
      <c r="X190" s="1411">
        <v>4</v>
      </c>
      <c r="Y190" s="1412"/>
      <c r="Z190" s="1427">
        <v>11</v>
      </c>
      <c r="AA190" s="1412"/>
      <c r="AB190" s="1414">
        <v>2</v>
      </c>
      <c r="AD190" s="960"/>
      <c r="AE190" s="961"/>
      <c r="AF190" s="960"/>
      <c r="AG190" s="961"/>
      <c r="AH190" s="960"/>
      <c r="AI190" s="961"/>
      <c r="AK190" s="10"/>
      <c r="AL190" s="10"/>
      <c r="AM190" s="10"/>
      <c r="AN190" s="975">
        <f>IF(K190=TRUE,H190,0)</f>
        <v>0</v>
      </c>
      <c r="AO190" s="975">
        <f>IF(R190=TRUE,H190,0)</f>
        <v>0</v>
      </c>
      <c r="AP190" s="975">
        <f>IF(U190=TRUE,H190,0)</f>
        <v>6</v>
      </c>
      <c r="AQ190" s="1806">
        <f>IF(I190=11,0,G190*I190)</f>
        <v>12</v>
      </c>
      <c r="AR190" s="1806">
        <f>IF(J190=11,0,G190*J190)</f>
        <v>30</v>
      </c>
      <c r="AS190" s="1806">
        <f>IF(P190=11,0,G190*P190)</f>
        <v>0</v>
      </c>
      <c r="AT190" s="1806">
        <f>IF(Q190=11,0,G190*Q190)</f>
        <v>0</v>
      </c>
      <c r="AU190" s="1806">
        <f>IF(S190=11,0,S190*G190)</f>
        <v>6</v>
      </c>
      <c r="AV190" s="1806">
        <f>IF(T190=11,0,T190*G190)</f>
        <v>30</v>
      </c>
      <c r="BC190" s="7"/>
      <c r="BD190" s="816"/>
      <c r="BE190" s="110"/>
      <c r="BF190" s="477"/>
      <c r="BG190" s="113"/>
      <c r="BH190" s="481"/>
      <c r="BI190" s="113"/>
      <c r="BJ190" s="482"/>
      <c r="BK190" s="478"/>
    </row>
    <row r="191" spans="2:63" ht="32" customHeight="1" thickBot="1" x14ac:dyDescent="0.25">
      <c r="B191" s="2030"/>
      <c r="C191" s="798" t="s">
        <v>746</v>
      </c>
      <c r="D191" s="799" t="str">
        <f>_xlfn.XLOOKUP(H191,H189:H190,D189:D190)</f>
        <v>Le nouveau ou nouvelle conjoint·e dénigre vos compétences parentales par texto, courriel ou autres?</v>
      </c>
      <c r="E191" s="800" t="str">
        <f>_xlfn.XLOOKUP(H191,H189:H190,E189:E190)</f>
        <v>dénigre vos compétences parentales devant l'enfant</v>
      </c>
      <c r="F191" s="801"/>
      <c r="G191" s="801"/>
      <c r="H191" s="795">
        <f>IF(AND(K189=TRUE,K190=FALSE),H189,IF(AND(K189=FALSE,K190=TRUE),H190,MAX(H189,H190)))</f>
        <v>12</v>
      </c>
      <c r="I191" s="1625"/>
      <c r="J191" s="802"/>
      <c r="K191" s="803" t="b">
        <f>IF(AND(K189=FALSE,K190=FALSE),FALSE,TRUE)</f>
        <v>1</v>
      </c>
      <c r="L191" s="45"/>
      <c r="M191" s="45"/>
      <c r="N191" s="45"/>
      <c r="O191" s="1623"/>
      <c r="P191" s="1625"/>
      <c r="Q191" s="802"/>
      <c r="R191" s="1638" t="b">
        <f>IF(AND(R189=FALSE,R190=FALSE),FALSE,TRUE)</f>
        <v>1</v>
      </c>
      <c r="S191" s="1625"/>
      <c r="T191" s="802"/>
      <c r="U191" s="1638" t="b">
        <f>IF(AND(U189=FALSE,U190=FALSE),FALSE,TRUE)</f>
        <v>1</v>
      </c>
      <c r="V191" s="931"/>
      <c r="W191" s="931"/>
      <c r="X191" s="1392"/>
      <c r="Y191" s="8"/>
      <c r="Z191" s="1397"/>
      <c r="AA191" s="8"/>
      <c r="AB191" s="1400"/>
      <c r="AD191" s="960"/>
      <c r="AE191" s="961"/>
      <c r="AF191" s="960"/>
      <c r="AG191" s="961"/>
      <c r="AH191" s="960"/>
      <c r="AI191" s="961"/>
      <c r="AK191" s="10"/>
      <c r="AL191" s="10"/>
      <c r="AM191" s="10"/>
      <c r="AN191" s="2100">
        <f>IF($K191=TRUE,MAX(AN189:AN190),0)</f>
        <v>12</v>
      </c>
      <c r="AO191" s="2100">
        <f>IF($R191=TRUE,MAX(AO189:AO190),0)</f>
        <v>12</v>
      </c>
      <c r="AP191" s="2100">
        <f>IF($U191=TRUE,MAX(AP189:AP190),0)</f>
        <v>12</v>
      </c>
      <c r="AQ191" s="2099">
        <f>MAX(AQ189:AQ190)</f>
        <v>12</v>
      </c>
      <c r="AR191" s="2099">
        <f t="shared" ref="AR191" si="158">MAX(AR189:AR190)</f>
        <v>30</v>
      </c>
      <c r="AS191" s="2099">
        <f t="shared" ref="AS191" si="159">MAX(AS189:AS190)</f>
        <v>6</v>
      </c>
      <c r="AT191" s="2099">
        <f t="shared" ref="AT191" si="160">MAX(AT189:AT190)</f>
        <v>30</v>
      </c>
      <c r="AU191" s="2099">
        <f t="shared" ref="AU191" si="161">MAX(AU189:AU190)</f>
        <v>12</v>
      </c>
      <c r="AV191" s="2099">
        <f t="shared" ref="AV191" si="162">MAX(AV189:AV190)</f>
        <v>30</v>
      </c>
      <c r="BC191" s="7"/>
      <c r="BD191" s="816"/>
      <c r="BE191" s="110"/>
      <c r="BF191" s="477"/>
      <c r="BG191" s="113"/>
      <c r="BH191" s="481"/>
      <c r="BI191" s="113"/>
      <c r="BJ191" s="482"/>
      <c r="BK191" s="478"/>
    </row>
    <row r="192" spans="2:63" ht="32" customHeight="1" thickBot="1" x14ac:dyDescent="0.25">
      <c r="B192" s="2030"/>
      <c r="C192" s="804" t="s">
        <v>754</v>
      </c>
      <c r="D192" s="805"/>
      <c r="E192" s="805" t="str">
        <f>IF(H192=H188,E188,E191)</f>
        <v>dénigre vos compétences parentales devant l'enfant</v>
      </c>
      <c r="F192" s="806"/>
      <c r="G192" s="806"/>
      <c r="H192" s="806">
        <f>IF(AND(K188=TRUE,K191=FALSE),H188,IF(AND(K188=FALSE,K191=TRUE),H191,IF(AND(K188=TRUE,K191=TRUE),H188+H191,MAX(H188,H191))))</f>
        <v>19</v>
      </c>
      <c r="I192" s="1626"/>
      <c r="J192" s="807"/>
      <c r="K192" s="808" t="b">
        <f>IF(AND(K188=FALSE,K191=FALSE),FALSE,TRUE)</f>
        <v>1</v>
      </c>
      <c r="L192" s="1610"/>
      <c r="M192" s="1610"/>
      <c r="N192" s="1610"/>
      <c r="O192" s="1627"/>
      <c r="P192" s="1626"/>
      <c r="Q192" s="807"/>
      <c r="R192" s="808" t="b">
        <f>IF(AND(R188=FALSE,R191=FALSE),FALSE,TRUE)</f>
        <v>1</v>
      </c>
      <c r="S192" s="1626"/>
      <c r="T192" s="807"/>
      <c r="U192" s="808" t="b">
        <f>IF(AND(U188=FALSE,U191=FALSE),FALSE,TRUE)</f>
        <v>1</v>
      </c>
      <c r="V192" s="931"/>
      <c r="W192" s="931" t="s">
        <v>942</v>
      </c>
      <c r="X192" s="1392"/>
      <c r="Y192" s="8"/>
      <c r="Z192" s="1397"/>
      <c r="AA192" s="8"/>
      <c r="AB192" s="1400"/>
      <c r="AD192" s="960" t="str">
        <f>IF(K192=TRUE,"V","F")</f>
        <v>V</v>
      </c>
      <c r="AE192" s="961"/>
      <c r="AF192" s="960" t="str">
        <f>IF(R192=TRUE,"V","F")</f>
        <v>V</v>
      </c>
      <c r="AG192" s="961"/>
      <c r="AH192" s="960" t="str">
        <f>IF(U192=TRUE,"V","F")</f>
        <v>V</v>
      </c>
      <c r="AI192" s="961"/>
      <c r="AJ192" t="str">
        <f>IF(OR(AD192="V",AF192="V"),IF(H191&gt;H188,"Le NC contribue plus que le coparent","Le coparent joue un plus grand rôle que le NC"),"pas de contexte significatif de la part du coparent et NC")</f>
        <v>Le NC contribue plus que le coparent</v>
      </c>
      <c r="AK192" s="10"/>
      <c r="AL192" s="10"/>
      <c r="AM192" s="10"/>
      <c r="AN192" s="631">
        <f>IF(AND($K188=TRUE,$K191=FALSE),AN188,IF(AND($K188=FALSE,$K191=TRUE),AN191,IF(AND($K188=TRUE,$K191=TRUE),AN188+AN191,0)))</f>
        <v>19</v>
      </c>
      <c r="AO192" s="631">
        <f>IF(AND($R188=TRUE,$R191=FALSE),AO188,IF(AND($R188=FALSE,$R191=TRUE),AO191,IF(AND($R188=TRUE,$R191=TRUE),AO188+AO191,0)))</f>
        <v>19</v>
      </c>
      <c r="AP192" s="631">
        <f>IF(AND($U188=TRUE,$U191=FALSE),AP188,IF(AND($U188=FALSE,$U191=TRUE),AP191,IF(AND($U188=TRUE,$U191=TRUE),AP188+AP191,0)))</f>
        <v>19</v>
      </c>
      <c r="AQ192" s="631">
        <f>IF(AND($K188=TRUE,$K191=FALSE),AQ188,IF(AND($K188=FALSE,$K191=TRUE),AQ191,IF(AND($K188=TRUE,$K191=TRUE),AQ188+AQ191,MAX(AQ188,AQ191))))</f>
        <v>16</v>
      </c>
      <c r="AR192" s="631">
        <f>IF(AND($K188=TRUE,$K191=FALSE),AR188,IF(AND($K188=FALSE,$K191=TRUE),AR191,IF(AND($K188=TRUE,$K191=TRUE),AR188+AR191,MAX(AR188,AR191))))</f>
        <v>40</v>
      </c>
      <c r="AS192" s="631">
        <f t="shared" ref="AS192" si="163">IF(AND($R188=TRUE,$R191=FALSE),AS188,IF(AND($R188=FALSE,$R191=TRUE),AS191,IF(AND($R188=TRUE,$R191=TRUE),AS188+AS191,MAX(AS188,AS191))))</f>
        <v>7</v>
      </c>
      <c r="AT192" s="631">
        <f t="shared" ref="AT192" si="164">IF(AND($R188=TRUE,$R191=FALSE),AT188,IF(AND($R188=FALSE,$R191=TRUE),AT191,IF(AND($R188=TRUE,$R191=TRUE),AT188+AT191,MAX(AT188,AT191))))</f>
        <v>40</v>
      </c>
      <c r="AU192" s="631">
        <f t="shared" ref="AU192" si="165">IF(AND($U188=TRUE,$U191=FALSE),AU188,IF(AND($U188=FALSE,$U191=TRUE),AU191,IF(AND($U188=TRUE,$U191=TRUE),AU188+AU191,MAX(AU188,AU191))))</f>
        <v>14</v>
      </c>
      <c r="AV192" s="631">
        <f t="shared" ref="AV192" si="166">IF(AND($U188=TRUE,$U191=FALSE),AV188,IF(AND($U188=FALSE,$U191=TRUE),AV191,IF(AND($U188=TRUE,$U191=TRUE),AV188+AV191,MAX(AV188,AV191))))</f>
        <v>37</v>
      </c>
      <c r="BC192" s="7"/>
      <c r="BD192" s="816"/>
      <c r="BE192" s="110"/>
      <c r="BF192" s="477"/>
      <c r="BG192" s="113"/>
      <c r="BH192" s="481"/>
      <c r="BI192" s="113"/>
      <c r="BJ192" s="482"/>
      <c r="BK192" s="478"/>
    </row>
    <row r="193" spans="2:63" ht="37" customHeight="1" x14ac:dyDescent="0.2">
      <c r="B193" s="2030" t="str">
        <f>'Action-Réaction finale'!Q31</f>
        <v>D: Dénigrement</v>
      </c>
      <c r="C193" s="313" t="str">
        <f>'Action-Réaction finale'!O31</f>
        <v>E12</v>
      </c>
      <c r="D193" s="26" t="str">
        <f>Test_Bible!B311</f>
        <v xml:space="preserve">Est-il déjà arrivé que votre enfant dénigre vos compétences parentales devant l’autre parent ? </v>
      </c>
      <c r="E193" s="101" t="s">
        <v>769</v>
      </c>
      <c r="F193" s="790">
        <f>Test_Bible!P311</f>
        <v>0</v>
      </c>
      <c r="G193" s="789">
        <f>Test_Bible!D311</f>
        <v>3</v>
      </c>
      <c r="H193" s="790">
        <f>F193*G193</f>
        <v>0</v>
      </c>
      <c r="I193" s="1622">
        <v>2</v>
      </c>
      <c r="J193" s="1615">
        <f>$J$18</f>
        <v>10</v>
      </c>
      <c r="K193" s="45" t="b">
        <f>IF(AND(F193&gt;=I193,F193&lt;=J193),TRUE,FALSE)</f>
        <v>0</v>
      </c>
      <c r="L193" s="45"/>
      <c r="M193" s="45"/>
      <c r="N193" s="45"/>
      <c r="O193" s="1623"/>
      <c r="P193" s="1622">
        <v>1</v>
      </c>
      <c r="Q193" s="1615">
        <v>4</v>
      </c>
      <c r="R193" s="1623" t="b">
        <f>IF(AND(F193&gt;=P193,F193&lt;=Q193),TRUE,FALSE)</f>
        <v>0</v>
      </c>
      <c r="S193" s="1622"/>
      <c r="T193" s="1615"/>
      <c r="U193" s="1623"/>
      <c r="V193" s="931"/>
      <c r="W193" s="1403"/>
      <c r="X193" s="1404">
        <v>4</v>
      </c>
      <c r="Y193" s="1405"/>
      <c r="Z193" s="1408">
        <v>2</v>
      </c>
      <c r="AA193" s="1405"/>
      <c r="AB193" s="1416">
        <v>11</v>
      </c>
      <c r="AD193" s="960" t="s">
        <v>945</v>
      </c>
      <c r="AE193" s="961"/>
      <c r="AF193" s="960"/>
      <c r="AG193" s="961"/>
      <c r="AH193" s="960"/>
      <c r="AI193" s="961"/>
      <c r="AK193" s="10"/>
      <c r="AL193" s="10"/>
      <c r="AM193" s="10"/>
      <c r="AN193" s="975">
        <f>IF($K193=TRUE,H193,0)</f>
        <v>0</v>
      </c>
      <c r="AO193" s="975">
        <f>IF($R193=TRUE,H193,0)</f>
        <v>0</v>
      </c>
      <c r="AP193" s="975"/>
      <c r="AQ193" s="1806">
        <f>IF(I193=11,0,G193*I193)</f>
        <v>6</v>
      </c>
      <c r="AR193" s="1806">
        <f>IF(J193=11,0,G193*J193)</f>
        <v>30</v>
      </c>
      <c r="AS193" s="1806">
        <f>IF(P193=11,0,G193*P193)</f>
        <v>3</v>
      </c>
      <c r="AT193" s="1806">
        <f>IF(Q193=11,0,G193*Q193)</f>
        <v>12</v>
      </c>
      <c r="AU193" s="1806"/>
      <c r="AV193" s="1806"/>
      <c r="BC193" s="7"/>
      <c r="BD193" s="816"/>
      <c r="BE193" s="110"/>
      <c r="BF193" s="477"/>
      <c r="BG193" s="113"/>
      <c r="BH193" s="481"/>
      <c r="BI193" s="113"/>
      <c r="BJ193" s="482"/>
      <c r="BK193" s="478"/>
    </row>
    <row r="194" spans="2:63" ht="32" customHeight="1" thickBot="1" x14ac:dyDescent="0.25">
      <c r="B194" s="2030"/>
      <c r="C194" s="313" t="s">
        <v>309</v>
      </c>
      <c r="D194" s="26"/>
      <c r="E194" s="101"/>
      <c r="F194" s="790"/>
      <c r="G194" s="789"/>
      <c r="H194" s="790">
        <f>F194*G194</f>
        <v>0</v>
      </c>
      <c r="I194" s="1647">
        <v>11</v>
      </c>
      <c r="J194" s="1648">
        <v>11</v>
      </c>
      <c r="K194" s="45" t="b">
        <f>IF(AND(F194&gt;=I194,F194&lt;=J194),TRUE,FALSE)</f>
        <v>0</v>
      </c>
      <c r="L194" s="45"/>
      <c r="M194" s="45"/>
      <c r="N194" s="45"/>
      <c r="O194" s="1623"/>
      <c r="P194" s="1647">
        <v>11</v>
      </c>
      <c r="Q194" s="1648">
        <v>11</v>
      </c>
      <c r="R194" s="1623" t="b">
        <f>IF(AND(F194&gt;=P194,F194&lt;=Q194),TRUE,FALSE)</f>
        <v>0</v>
      </c>
      <c r="S194" s="1647"/>
      <c r="T194" s="1648"/>
      <c r="U194" s="1623"/>
      <c r="V194" s="931"/>
      <c r="W194" s="1406" t="s">
        <v>943</v>
      </c>
      <c r="X194" s="1425">
        <v>11</v>
      </c>
      <c r="Y194" s="1426"/>
      <c r="Z194" s="1427">
        <v>11</v>
      </c>
      <c r="AA194" s="1426"/>
      <c r="AB194" s="1421">
        <v>11</v>
      </c>
      <c r="AD194" s="960"/>
      <c r="AE194" s="961"/>
      <c r="AF194" s="960"/>
      <c r="AG194" s="961"/>
      <c r="AH194" s="960"/>
      <c r="AI194" s="961"/>
      <c r="AK194" s="10"/>
      <c r="AL194" s="10"/>
      <c r="AM194" s="10"/>
      <c r="AN194" s="975">
        <f>IF($K194=TRUE,H194,0)</f>
        <v>0</v>
      </c>
      <c r="AO194" s="975">
        <f>IF($R194=TRUE,H194,0)</f>
        <v>0</v>
      </c>
      <c r="AP194" s="975"/>
      <c r="AQ194" s="1806">
        <f>IF(I194=11,0,G194*I194)</f>
        <v>0</v>
      </c>
      <c r="AR194" s="1806">
        <f>IF(J194=11,0,G194*J194)</f>
        <v>0</v>
      </c>
      <c r="AS194" s="1806">
        <f>IF(P194=11,0,G194*P194)</f>
        <v>0</v>
      </c>
      <c r="AT194" s="1806">
        <f>IF(Q194=11,0,G194*Q194)</f>
        <v>0</v>
      </c>
      <c r="AU194" s="1806"/>
      <c r="AV194" s="1806"/>
      <c r="BC194" s="7"/>
      <c r="BD194" s="816"/>
      <c r="BE194" s="110"/>
      <c r="BF194" s="477"/>
      <c r="BG194" s="113"/>
      <c r="BH194" s="481"/>
      <c r="BI194" s="113"/>
      <c r="BJ194" s="482"/>
      <c r="BK194" s="478"/>
    </row>
    <row r="195" spans="2:63" ht="32" customHeight="1" thickBot="1" x14ac:dyDescent="0.25">
      <c r="B195" s="2030"/>
      <c r="C195" s="809" t="s">
        <v>747</v>
      </c>
      <c r="D195" s="810" t="str">
        <f>_xlfn.XLOOKUP(H195,H193:H194,D193:D194)</f>
        <v xml:space="preserve">Est-il déjà arrivé que votre enfant dénigre vos compétences parentales devant l’autre parent ? </v>
      </c>
      <c r="E195" s="810" t="str">
        <f>_xlfn.XLOOKUP(H195,H193:H194,E193:E194)</f>
        <v>dénigre vos compétences parentales devant l'autre parent</v>
      </c>
      <c r="F195" s="811"/>
      <c r="G195" s="811"/>
      <c r="H195" s="811">
        <f>IF(AND(K193=TRUE,K194=FALSE),H193,IF(AND(K193=FALSE,K194=TRUE),H194,MAX(H193,H194)))</f>
        <v>0</v>
      </c>
      <c r="I195" s="1628"/>
      <c r="J195" s="812"/>
      <c r="K195" s="813" t="b">
        <f>IF(AND(K193=FALSE,K194=FALSE),FALSE,TRUE)</f>
        <v>0</v>
      </c>
      <c r="L195" s="1611"/>
      <c r="M195" s="1611"/>
      <c r="N195" s="1611"/>
      <c r="O195" s="1629"/>
      <c r="P195" s="1628"/>
      <c r="Q195" s="812"/>
      <c r="R195" s="813" t="b">
        <f>IF(AND(R193=FALSE,R194=FALSE),FALSE,TRUE)</f>
        <v>0</v>
      </c>
      <c r="S195" s="1628"/>
      <c r="T195" s="812"/>
      <c r="U195" s="813"/>
      <c r="V195" s="931"/>
      <c r="W195" s="931"/>
      <c r="X195" s="1394"/>
      <c r="Z195" s="1398"/>
      <c r="AB195" s="1402"/>
      <c r="AD195" s="960" t="str">
        <f>IF(K195=TRUE,"V","F")</f>
        <v>F</v>
      </c>
      <c r="AE195" s="961"/>
      <c r="AF195" s="960" t="str">
        <f>IF(R195=TRUE,"V","F")</f>
        <v>F</v>
      </c>
      <c r="AG195" s="961"/>
      <c r="AH195" s="960"/>
      <c r="AI195" s="961"/>
      <c r="AK195" s="10"/>
      <c r="AL195" s="10"/>
      <c r="AM195" s="10"/>
      <c r="AN195" s="2102">
        <f>IF(AND($K193=TRUE,$K194=FALSE),AN193,IF(AND($K193=FALSE,$K194=TRUE),AN194,IF(AND($K193=TRUE,$K194=TRUE),MAX(AN193,AN194),0)))</f>
        <v>0</v>
      </c>
      <c r="AO195" s="2102">
        <f>IF(AND($R193=TRUE,$R194=FALSE),AO193,IF(AND($R193=FALSE,$R194=TRUE),AO194,IF(AND($R193=TRUE,$R194=TRUE),MAX(AO193,AO194),0)))</f>
        <v>0</v>
      </c>
      <c r="AP195" s="2102"/>
      <c r="AQ195" s="2102">
        <f>IF(AND($K193=TRUE,$K194=FALSE),AQ193,IF(AND($K193=FALSE,$K194=TRUE),AQ194,IF(AND($K193=TRUE,$K194=TRUE),MAX(AQ193,AQ194),0)))</f>
        <v>0</v>
      </c>
      <c r="AR195" s="2102">
        <f>IF(AND($K193=TRUE,$K194=FALSE),AR193,IF(AND($K193=FALSE,$K194=TRUE),AR194,IF(AND($K193=TRUE,$K194=TRUE),MAX(AR193,AR194),0)))</f>
        <v>0</v>
      </c>
      <c r="AS195" s="2102">
        <f t="shared" ref="AS195" si="167">IF(AND($R193=TRUE,$R194=FALSE),AS193,IF(AND($R193=FALSE,$R194=TRUE),AS194,IF(AND($R193=TRUE,$R194=TRUE),MAX(AS193,AS194),0)))</f>
        <v>0</v>
      </c>
      <c r="AT195" s="2102">
        <f t="shared" ref="AT195" si="168">IF(AND($R193=TRUE,$R194=FALSE),AT193,IF(AND($R193=FALSE,$R194=TRUE),AT194,IF(AND($R193=TRUE,$R194=TRUE),MAX(AT193,AT194),0)))</f>
        <v>0</v>
      </c>
      <c r="AU195" s="2102"/>
      <c r="AV195" s="2102"/>
      <c r="BD195" s="816"/>
      <c r="BE195" s="110"/>
      <c r="BF195" s="477"/>
      <c r="BG195" s="113"/>
      <c r="BH195" s="481"/>
      <c r="BI195" s="113"/>
      <c r="BJ195" s="482"/>
      <c r="BK195" s="478"/>
    </row>
    <row r="196" spans="2:63" ht="32" customHeight="1" x14ac:dyDescent="0.2">
      <c r="B196" s="2030"/>
      <c r="D196" s="421" t="s">
        <v>310</v>
      </c>
      <c r="E196" s="785"/>
      <c r="F196" s="474" t="s">
        <v>398</v>
      </c>
      <c r="G196" s="47"/>
      <c r="H196" s="47">
        <f>IF(AND(K192=TRUE,K195=FALSE),H192,IF(AND(K192=FALSE,K195=TRUE),H195,IF(AND(K192=TRUE,K195=TRUE),H192+H195,MAX(H192,H195))))</f>
        <v>19</v>
      </c>
      <c r="I196" s="1630"/>
      <c r="J196" s="475"/>
      <c r="K196" s="1613"/>
      <c r="L196" s="1614" t="str">
        <f>IF(AND(K195=TRUE,K192=TRUE),E195,"")</f>
        <v/>
      </c>
      <c r="M196" s="1614" t="str">
        <f>IF(AND(K192=TRUE,K195=FALSE),"Bien que le parent "&amp;E192&amp;" l'enfant ne semble pas s'ingérer","")</f>
        <v>Bien que le parent dénigre vos compétences parentales devant l'enfant l'enfant ne semble pas s'ingérer</v>
      </c>
      <c r="N196" s="1614" t="str">
        <f>IF(AND(K192=FALSE,K195=TRUE),E195&amp;" sans signe de la participation du parent favorisé et|ou nouveau conjoint.e","")</f>
        <v/>
      </c>
      <c r="O196" s="1631" t="str">
        <f>IF(AND(K192=FALSE,K195=FALSE),"aucun comportement significatif de cette nature","")</f>
        <v/>
      </c>
      <c r="P196" s="1630"/>
      <c r="Q196" s="475"/>
      <c r="R196" s="1639"/>
      <c r="S196" s="1630"/>
      <c r="T196" s="475"/>
      <c r="U196" s="1639"/>
      <c r="V196" s="170"/>
      <c r="W196" s="170"/>
      <c r="X196" s="1394"/>
      <c r="Z196" s="1398"/>
      <c r="AB196" s="1402"/>
      <c r="AD196" s="962"/>
      <c r="AE196" s="963">
        <f>IF(AND(AD192="V",AD195="V"),2,IF(OR(AD192="V",AD195="V"),1,0))</f>
        <v>1</v>
      </c>
      <c r="AF196" s="962"/>
      <c r="AG196" s="963">
        <f>IF(OR(AF192="V",AF195="V"),1,0)</f>
        <v>1</v>
      </c>
      <c r="AH196" s="962"/>
      <c r="AI196" s="963"/>
      <c r="AK196" s="10"/>
      <c r="AL196" s="10"/>
      <c r="AM196" s="10"/>
      <c r="AN196" s="2097">
        <f>IF(AND($AD192="V",$AD195="F"),AN192,IF(AND($AD192="F",$AD195="V"),AN195,IF(AND($AD192="V",$AD195="V"),AN192+AN195,0)))</f>
        <v>19</v>
      </c>
      <c r="AO196" s="2097">
        <f>IF(AND($AF192="V",$AF195="F"),AO192,IF(AND($AF192="F",$AF195="V"),AO195,IF(AND($AF192="V",$AF195="V"),AO192+AO195,0)))</f>
        <v>19</v>
      </c>
      <c r="AP196" s="2097"/>
      <c r="AQ196" s="2097">
        <f>IF(AND($AD192="V",$AD195="F"),AQ192,IF(AND($AD192="F",$AD195="V"),AQ195,IF(AND($AD192="V",$AD195="V"),AQ192+AQ195,0)))</f>
        <v>16</v>
      </c>
      <c r="AR196" s="2097">
        <f>IF(AND($AD192="V",$AD195="F"),AR192,IF(AND($AD192="F",$AD195="V"),AR195,IF(AND($AD192="V",$AD195="V"),AR192+AR195,0)))</f>
        <v>40</v>
      </c>
      <c r="AS196" s="2097">
        <f>IF(AND($AF192="V",$AF195="F"),AS192,IF(AND($AF192="F",$AF195="V"),AS195,IF(AND($AF192="V",$AF195="V"),AS192+AS195,0)))</f>
        <v>7</v>
      </c>
      <c r="AT196" s="2097">
        <f>IF(AND($AF192="V",$AF195="F"),AT192,IF(AND($AF192="F",$AF195="V"),AT195,IF(AND($AF192="V",$AF195="V"),AT192+AT195,0)))</f>
        <v>40</v>
      </c>
      <c r="AU196" s="2097"/>
      <c r="AV196" s="2097"/>
      <c r="BD196" s="816"/>
      <c r="BE196" s="110"/>
      <c r="BF196" s="477"/>
      <c r="BG196" s="113"/>
      <c r="BH196" s="481"/>
      <c r="BI196" s="113"/>
      <c r="BJ196" s="482"/>
      <c r="BK196" s="478"/>
    </row>
    <row r="197" spans="2:63" ht="32" customHeight="1" x14ac:dyDescent="0.2">
      <c r="B197" s="2030"/>
      <c r="C197" t="s">
        <v>243</v>
      </c>
      <c r="I197" s="146"/>
      <c r="L197" s="46"/>
      <c r="M197" s="46"/>
      <c r="N197" s="46"/>
      <c r="O197" s="1652"/>
      <c r="P197" s="146"/>
      <c r="R197" s="326"/>
      <c r="S197" s="146"/>
      <c r="U197" s="326"/>
      <c r="V197" s="46"/>
      <c r="X197" s="1394"/>
      <c r="Z197" s="1398"/>
      <c r="AB197" s="1402"/>
      <c r="AD197" s="960"/>
      <c r="AE197" s="961"/>
      <c r="AF197" s="960"/>
      <c r="AG197" s="961"/>
      <c r="AH197" s="960"/>
      <c r="AI197" s="961"/>
      <c r="AK197" s="10"/>
      <c r="AL197" s="10"/>
      <c r="AM197" s="10"/>
      <c r="AN197" s="975"/>
      <c r="AO197" s="975"/>
      <c r="AP197" s="975"/>
      <c r="AQ197" s="1806"/>
      <c r="AR197" s="1806"/>
      <c r="AS197" s="1806"/>
      <c r="AT197" s="1806"/>
      <c r="AU197" s="1806"/>
      <c r="AV197" s="1806"/>
      <c r="BD197" s="816"/>
      <c r="BE197" s="110"/>
      <c r="BF197" s="477"/>
      <c r="BG197" s="113"/>
      <c r="BH197" s="481"/>
      <c r="BI197" s="113"/>
      <c r="BJ197" s="482"/>
      <c r="BK197" s="478"/>
    </row>
    <row r="198" spans="2:63" ht="32" customHeight="1" x14ac:dyDescent="0.2">
      <c r="B198" s="2030" t="str">
        <f>'Action-Réaction finale'!U31</f>
        <v>D: Dénigrement</v>
      </c>
      <c r="C198" s="964" t="str">
        <f>'Action-Réaction finale'!S31</f>
        <v>PCR07</v>
      </c>
      <c r="D198" s="965" t="str">
        <f>Test_Bible!B134</f>
        <v>Il vous arrive de faire des reproches à l'autre parent devant votre enfant.</v>
      </c>
      <c r="E198" s="965"/>
      <c r="F198" s="973">
        <f>Test_Bible!P134</f>
        <v>2</v>
      </c>
      <c r="G198" s="973">
        <f>Test_Bible!D134</f>
        <v>2</v>
      </c>
      <c r="H198" s="973">
        <f>F198*G198</f>
        <v>4</v>
      </c>
      <c r="I198" s="1622">
        <v>4</v>
      </c>
      <c r="J198" s="1615">
        <v>10</v>
      </c>
      <c r="K198" s="45" t="b">
        <f>IF(AND(F198&gt;=I198,F198&lt;=J198),TRUE,FALSE)</f>
        <v>0</v>
      </c>
      <c r="L198" s="32"/>
      <c r="M198" s="32"/>
      <c r="N198" s="32"/>
      <c r="O198" s="1632"/>
      <c r="P198" s="1647">
        <v>11</v>
      </c>
      <c r="Q198" s="1648">
        <v>11</v>
      </c>
      <c r="R198" s="1623" t="b">
        <f>IF(AND(F198&gt;=P198,F198&lt;=Q198),TRUE,FALSE)</f>
        <v>0</v>
      </c>
      <c r="S198" s="1622">
        <v>2</v>
      </c>
      <c r="T198" s="1615">
        <v>10</v>
      </c>
      <c r="U198" s="1623" t="b">
        <f>IF(AND(F198&gt;=S198,F198&lt;=T198),TRUE,FALSE)</f>
        <v>1</v>
      </c>
      <c r="V198" s="46"/>
      <c r="W198" s="1428"/>
      <c r="X198" s="1404">
        <v>4</v>
      </c>
      <c r="Y198" s="1405"/>
      <c r="Z198" s="1408"/>
      <c r="AA198" s="1405"/>
      <c r="AB198" s="1415">
        <v>4</v>
      </c>
      <c r="AD198" s="960"/>
      <c r="AE198" s="961"/>
      <c r="AF198" s="960"/>
      <c r="AG198" s="961"/>
      <c r="AH198" s="960"/>
      <c r="AI198" s="961"/>
      <c r="AK198" s="10"/>
      <c r="AL198" s="10"/>
      <c r="AM198" s="10"/>
      <c r="AN198" s="975">
        <f>IF($K198=TRUE,H198,0)</f>
        <v>0</v>
      </c>
      <c r="AO198" s="975">
        <f>IF($R198=TRUE,H198,0)</f>
        <v>0</v>
      </c>
      <c r="AP198" s="975">
        <f>IF($U198=TRUE,H198,0)</f>
        <v>4</v>
      </c>
      <c r="AQ198" s="1806">
        <f>IF(I198=11,0,G198*I198)</f>
        <v>8</v>
      </c>
      <c r="AR198" s="1806">
        <f>IF(J198=11,0,G198*J198)</f>
        <v>20</v>
      </c>
      <c r="AS198" s="1806">
        <f>IF(P198=11,0,G198*P198)</f>
        <v>0</v>
      </c>
      <c r="AT198" s="1806">
        <f>IF(Q198=11,0,G198*Q198)</f>
        <v>0</v>
      </c>
      <c r="AU198" s="1806">
        <f>IF(S198=11,0,S198*G198)</f>
        <v>4</v>
      </c>
      <c r="AV198" s="1806">
        <f>IF(T198=11,0,T198*G198)</f>
        <v>20</v>
      </c>
      <c r="BD198" s="816"/>
      <c r="BE198" s="110"/>
      <c r="BF198" s="477"/>
      <c r="BG198" s="113"/>
      <c r="BH198" s="481"/>
      <c r="BI198" s="113"/>
      <c r="BJ198" s="482"/>
      <c r="BK198" s="478"/>
    </row>
    <row r="199" spans="2:63" ht="32" customHeight="1" thickBot="1" x14ac:dyDescent="0.25">
      <c r="B199" s="2030"/>
      <c r="C199" s="964"/>
      <c r="D199" s="972"/>
      <c r="E199" s="965"/>
      <c r="F199" s="973"/>
      <c r="G199" s="973"/>
      <c r="H199" s="973">
        <f>F199*G199</f>
        <v>0</v>
      </c>
      <c r="I199" s="1647">
        <v>11</v>
      </c>
      <c r="J199" s="1648">
        <v>11</v>
      </c>
      <c r="K199" s="45" t="b">
        <f>IF(AND(F199&gt;=I199,F199&lt;=J199),TRUE,FALSE)</f>
        <v>0</v>
      </c>
      <c r="L199" s="32"/>
      <c r="M199" s="32"/>
      <c r="N199" s="32"/>
      <c r="O199" s="1632"/>
      <c r="P199" s="1647">
        <v>11</v>
      </c>
      <c r="Q199" s="1648">
        <v>11</v>
      </c>
      <c r="R199" s="1623" t="b">
        <f>IF(AND(F199&gt;=P199,F199&lt;=Q199),TRUE,FALSE)</f>
        <v>0</v>
      </c>
      <c r="S199" s="1647">
        <v>11</v>
      </c>
      <c r="T199" s="1648">
        <v>11</v>
      </c>
      <c r="U199" s="1623" t="b">
        <f>IF(AND(F199&gt;=S199,F199&lt;=T199),TRUE,FALSE)</f>
        <v>0</v>
      </c>
      <c r="W199" s="1429"/>
      <c r="X199" s="1425">
        <v>11</v>
      </c>
      <c r="Y199" s="1426"/>
      <c r="Z199" s="1427">
        <v>11</v>
      </c>
      <c r="AA199" s="1426"/>
      <c r="AB199" s="1421">
        <v>11</v>
      </c>
      <c r="AD199" s="960"/>
      <c r="AE199" s="961"/>
      <c r="AF199" s="960"/>
      <c r="AG199" s="961"/>
      <c r="AH199" s="960"/>
      <c r="AI199" s="961"/>
      <c r="AK199" s="10"/>
      <c r="AL199" s="10"/>
      <c r="AM199" s="10"/>
      <c r="AN199" s="975">
        <f>IF($K199=TRUE,H199,0)</f>
        <v>0</v>
      </c>
      <c r="AO199" s="975">
        <f>IF($R199=TRUE,H199,0)</f>
        <v>0</v>
      </c>
      <c r="AP199" s="975">
        <f>IF($U199=TRUE,H199,0)</f>
        <v>0</v>
      </c>
      <c r="AQ199" s="1806">
        <f>IF(I199=11,0,G199*I199)</f>
        <v>0</v>
      </c>
      <c r="AR199" s="1806">
        <f>IF(J199=11,0,G199*J199)</f>
        <v>0</v>
      </c>
      <c r="AS199" s="1806">
        <f>IF(P199=11,0,G199*P199)</f>
        <v>0</v>
      </c>
      <c r="AT199" s="1806">
        <f>IF(Q199=11,0,G199*Q199)</f>
        <v>0</v>
      </c>
      <c r="AU199" s="1806">
        <f>IF(S199=11,0,S199*G199)</f>
        <v>0</v>
      </c>
      <c r="AV199" s="1806">
        <f>IF(T199=11,0,T199*G199)</f>
        <v>0</v>
      </c>
      <c r="BD199" s="816"/>
      <c r="BE199" s="110"/>
      <c r="BF199" s="477"/>
      <c r="BG199" s="113"/>
      <c r="BH199" s="481"/>
      <c r="BI199" s="113"/>
      <c r="BJ199" s="482"/>
      <c r="BK199" s="478"/>
    </row>
    <row r="200" spans="2:63" ht="32" customHeight="1" thickBot="1" x14ac:dyDescent="0.35">
      <c r="D200" s="16"/>
      <c r="E200" s="16"/>
      <c r="F200" s="89"/>
      <c r="G200" s="473"/>
      <c r="H200" s="47">
        <f>IF(AND(K198=TRUE,K199=FALSE),H198,IF(AND(K198=FALSE,K199=TRUE),H199,MAX(H198,H199)))</f>
        <v>4</v>
      </c>
      <c r="I200" s="1644"/>
      <c r="J200" s="1645"/>
      <c r="K200" s="1651" t="b">
        <f>IF(AND(K198=FALSE,K199=FALSE),FALSE,TRUE)</f>
        <v>0</v>
      </c>
      <c r="L200" s="1633"/>
      <c r="M200" s="1634"/>
      <c r="N200" s="1634"/>
      <c r="O200" s="1635"/>
      <c r="P200" s="1644"/>
      <c r="Q200" s="1645"/>
      <c r="R200" s="1651" t="b">
        <f>IF(AND(R198=FALSE,R199=FALSE),FALSE,TRUE)</f>
        <v>0</v>
      </c>
      <c r="S200" s="1656"/>
      <c r="T200" s="1657"/>
      <c r="U200" s="1658" t="b">
        <f>IF(AND(U198=FALSE,U199=FALSE),FALSE,TRUE)</f>
        <v>1</v>
      </c>
      <c r="V200" s="933"/>
      <c r="AD200" s="1564" t="str">
        <f>IF(K200=TRUE,"V","F")</f>
        <v>F</v>
      </c>
      <c r="AE200" s="1565"/>
      <c r="AF200" s="1564" t="str">
        <f>IF(R200=TRUE,"V","F")</f>
        <v>F</v>
      </c>
      <c r="AG200" s="1565"/>
      <c r="AH200" s="1564" t="str">
        <f>IF(U200=TRUE,"V","F")</f>
        <v>V</v>
      </c>
      <c r="AI200" s="1565"/>
      <c r="AK200" s="10"/>
      <c r="AL200" s="10"/>
      <c r="AM200" s="10"/>
      <c r="AN200" s="2102">
        <f>IF(AND($K198=TRUE,$K199=FALSE),AN198,IF(AND($K198=FALSE,$K199=TRUE),AN199,MAX(AN198,AN199)))</f>
        <v>0</v>
      </c>
      <c r="AO200" s="2102">
        <f>IF(AND($R198=TRUE,$R199=FALSE),AO198,IF(AND($R198=FALSE,$R199=TRUE),AO199,MAX(AO198,AO199)))</f>
        <v>0</v>
      </c>
      <c r="AP200" s="2102">
        <f>IF(AND($U198=TRUE,$U199=FALSE),AP198,IF(AND($U198=FALSE,$U199=TRUE),AP199,MAX(AP198,AP199)))</f>
        <v>4</v>
      </c>
      <c r="AQ200" s="2102">
        <f>IF(AND($K198=TRUE,$K199=FALSE),AQ198,IF(AND($K198=FALSE,$K199=TRUE),AQ199,MAX(AQ198,AQ199)))</f>
        <v>8</v>
      </c>
      <c r="AR200" s="2102">
        <f>IF(AND($K198=TRUE,$K199=FALSE),AR198,IF(AND($K198=FALSE,$K199=TRUE),AR199,MAX(AR198,AR199)))</f>
        <v>20</v>
      </c>
      <c r="AS200" s="2102">
        <f>IF(AND($R198=TRUE,$R199=FALSE),AS198,IF(AND($R198=FALSE,$R199=TRUE),AS199,MAX(AS198,AS199)))</f>
        <v>0</v>
      </c>
      <c r="AT200" s="2102">
        <f>IF(AND($R198=TRUE,$R199=FALSE),AT198,IF(AND($R198=FALSE,$R199=TRUE),AT199,MAX(AT198,AT199)))</f>
        <v>0</v>
      </c>
      <c r="AU200" s="2102">
        <f>IF(AND($U198=TRUE,$U199=FALSE),AU198,IF(AND($U198=FALSE,$U199=TRUE),AU199,MAX(AU198,AU199)))</f>
        <v>4</v>
      </c>
      <c r="AV200" s="2102">
        <f>IF(AND($U198=TRUE,$U199=FALSE),AV198,IF(AND($U198=FALSE,$U199=TRUE),AV199,MAX(AV198,AV199)))</f>
        <v>20</v>
      </c>
      <c r="BD200" s="816"/>
      <c r="BE200" s="110"/>
      <c r="BF200" s="477"/>
      <c r="BG200" s="113"/>
      <c r="BH200" s="481"/>
      <c r="BI200" s="113"/>
      <c r="BJ200" s="482"/>
      <c r="BK200" s="478"/>
    </row>
    <row r="201" spans="2:63" ht="32" customHeight="1" thickBot="1" x14ac:dyDescent="0.35">
      <c r="D201" s="16"/>
      <c r="E201" s="16"/>
      <c r="F201" s="89"/>
      <c r="G201" s="473"/>
      <c r="H201" s="473"/>
      <c r="I201" s="8"/>
      <c r="J201" s="8"/>
      <c r="K201" s="932"/>
      <c r="L201" s="933"/>
      <c r="M201" s="933"/>
      <c r="N201" s="933"/>
      <c r="O201" s="933"/>
      <c r="P201" s="933"/>
      <c r="Q201" s="933"/>
      <c r="R201" s="933"/>
      <c r="S201" s="933"/>
      <c r="T201" s="933"/>
      <c r="U201" s="933"/>
      <c r="V201" s="933"/>
      <c r="AD201" s="1649"/>
      <c r="AE201" s="1650">
        <f>IF(AND(AD200="V",AD192="V"),AE196-1,AE196)</f>
        <v>1</v>
      </c>
      <c r="AF201" s="1649"/>
      <c r="AG201" s="1650">
        <f>IF(OR(AF192="V",AF195="V",AF200="V"),1,0)</f>
        <v>1</v>
      </c>
      <c r="AH201" s="1649"/>
      <c r="AI201" s="1650">
        <f>IF(AH192="V",1,IF(AH200="V",1,0))</f>
        <v>1</v>
      </c>
      <c r="AK201" s="10">
        <v>1</v>
      </c>
      <c r="AL201" s="10">
        <v>1</v>
      </c>
      <c r="AM201" s="10">
        <v>1</v>
      </c>
      <c r="AN201" s="2101">
        <f>IF($AD200="F",AN196,AN196+AN200)</f>
        <v>19</v>
      </c>
      <c r="AO201" s="2101">
        <f>IF($AF200="F",AO196,AO196+AO200)</f>
        <v>19</v>
      </c>
      <c r="AP201" s="2101">
        <f>IF(AND($AH192="V",$AH200="F"),AP192,IF(AND($AH192="F",$AH200="V"),AP200,IF(AND($AH192="V",$AH200="V"),AP192+AP200,0)))</f>
        <v>23</v>
      </c>
      <c r="AQ201" s="2101">
        <f>IF($AD200="F",AQ196,AQ196+AQ200)</f>
        <v>16</v>
      </c>
      <c r="AR201" s="2101">
        <f t="shared" ref="AR201" si="169">IF($AD200="F",AR196,AR196+AR200)</f>
        <v>40</v>
      </c>
      <c r="AS201" s="2101">
        <f t="shared" ref="AS201" si="170">IF($AF200="F",AS196,AS196+AS200)</f>
        <v>7</v>
      </c>
      <c r="AT201" s="2101">
        <f t="shared" ref="AT201" si="171">IF($AF200="F",AT196,AT196+AT200)</f>
        <v>40</v>
      </c>
      <c r="AU201" s="2101">
        <f t="shared" ref="AU201" si="172">IF(AND($AH192="V",$AH200="F"),AU192,IF(AND($AH192="F",$AH200="V"),AU200,IF(AND($AH192="V",$AH200="V"),AU192+AU200,0)))</f>
        <v>18</v>
      </c>
      <c r="AV201" s="2101">
        <f t="shared" ref="AV201" si="173">IF(AND($AH192="V",$AH200="F"),AV192,IF(AND($AH192="F",$AH200="V"),AV200,IF(AND($AH192="V",$AH200="V"),AV192+AV200,0)))</f>
        <v>57</v>
      </c>
      <c r="BD201" s="816"/>
      <c r="BE201" s="110"/>
      <c r="BF201" s="477"/>
      <c r="BG201" s="113"/>
      <c r="BH201" s="481"/>
      <c r="BI201" s="113"/>
      <c r="BJ201" s="482"/>
      <c r="BK201" s="478"/>
    </row>
    <row r="202" spans="2:63" ht="32" customHeight="1" x14ac:dyDescent="0.3">
      <c r="D202" s="16"/>
      <c r="E202" s="16"/>
      <c r="F202" s="89"/>
      <c r="G202" s="473"/>
      <c r="H202" s="473"/>
      <c r="I202" s="1616"/>
      <c r="J202" s="1617"/>
      <c r="K202" s="1618"/>
      <c r="L202" s="2268"/>
      <c r="M202" s="2268"/>
      <c r="N202" s="2268"/>
      <c r="O202" s="1619"/>
      <c r="P202" s="1636"/>
      <c r="Q202" s="1618"/>
      <c r="R202" s="1619"/>
      <c r="S202" s="1636"/>
      <c r="T202" s="1618"/>
      <c r="U202" s="1619"/>
      <c r="V202" s="170"/>
      <c r="W202" s="170"/>
      <c r="AD202" s="1668"/>
      <c r="AE202" s="1669"/>
      <c r="AF202" s="1409"/>
      <c r="AG202" s="1409"/>
      <c r="AH202" s="1409"/>
      <c r="AI202" s="1409"/>
      <c r="AK202" s="10"/>
      <c r="AL202" s="10"/>
      <c r="AM202" s="10"/>
      <c r="BD202" s="816"/>
      <c r="BE202" s="110"/>
      <c r="BF202" s="477"/>
      <c r="BG202" s="113"/>
      <c r="BH202" s="481"/>
      <c r="BI202" s="113"/>
      <c r="BJ202" s="482"/>
      <c r="BK202" s="478"/>
    </row>
    <row r="203" spans="2:63" ht="32" customHeight="1" x14ac:dyDescent="0.3">
      <c r="B203" s="2029">
        <v>10</v>
      </c>
      <c r="D203" s="476" t="str">
        <f>'Action-Réaction finale'!F34</f>
        <v>Dénigre la nouvelle famille</v>
      </c>
      <c r="E203" s="107"/>
      <c r="F203" s="65"/>
      <c r="G203" s="18"/>
      <c r="H203" s="18"/>
      <c r="I203" s="2255" t="s">
        <v>734</v>
      </c>
      <c r="J203" s="2256"/>
      <c r="K203" s="2256"/>
      <c r="L203" s="2257" t="s">
        <v>1378</v>
      </c>
      <c r="M203" s="2257"/>
      <c r="N203" s="2257"/>
      <c r="O203" s="2258"/>
      <c r="P203" s="2259" t="s">
        <v>733</v>
      </c>
      <c r="Q203" s="2260"/>
      <c r="R203" s="2261"/>
      <c r="S203" s="2262" t="s">
        <v>735</v>
      </c>
      <c r="T203" s="2263"/>
      <c r="U203" s="2264"/>
      <c r="V203" s="15"/>
      <c r="W203" s="15"/>
      <c r="AD203" s="956"/>
      <c r="AE203" s="956"/>
      <c r="AF203" s="956"/>
      <c r="AG203" s="956"/>
      <c r="AH203" s="956"/>
      <c r="AI203" s="957"/>
      <c r="AK203" s="10"/>
      <c r="AL203" s="10"/>
      <c r="AM203" s="10"/>
      <c r="AN203" s="1659" t="s">
        <v>734</v>
      </c>
      <c r="AO203" s="1659" t="s">
        <v>733</v>
      </c>
      <c r="AP203" s="1659" t="s">
        <v>735</v>
      </c>
      <c r="AQ203" s="2254" t="s">
        <v>734</v>
      </c>
      <c r="AR203" s="2254"/>
      <c r="AS203" s="2254" t="s">
        <v>733</v>
      </c>
      <c r="AT203" s="2254"/>
      <c r="AU203" s="2254" t="s">
        <v>735</v>
      </c>
      <c r="AV203" s="2254"/>
      <c r="BD203" s="816"/>
      <c r="BE203" s="110"/>
      <c r="BF203" s="477"/>
      <c r="BG203" s="113"/>
      <c r="BH203" s="481"/>
      <c r="BI203" s="113"/>
      <c r="BJ203" s="482"/>
      <c r="BK203" s="478"/>
    </row>
    <row r="204" spans="2:63" ht="32" customHeight="1" x14ac:dyDescent="0.2">
      <c r="B204" s="2030"/>
      <c r="D204" s="102" t="s">
        <v>998</v>
      </c>
      <c r="E204" s="983" t="s">
        <v>997</v>
      </c>
      <c r="F204" s="32" t="s">
        <v>748</v>
      </c>
      <c r="G204" s="32" t="s">
        <v>749</v>
      </c>
      <c r="H204" s="32" t="s">
        <v>750</v>
      </c>
      <c r="I204" s="1620" t="s">
        <v>306</v>
      </c>
      <c r="J204" s="43" t="s">
        <v>307</v>
      </c>
      <c r="K204" s="43" t="s">
        <v>308</v>
      </c>
      <c r="L204" s="43" t="s">
        <v>413</v>
      </c>
      <c r="M204" s="43" t="s">
        <v>388</v>
      </c>
      <c r="N204" s="43" t="s">
        <v>389</v>
      </c>
      <c r="O204" s="1621" t="s">
        <v>390</v>
      </c>
      <c r="P204" s="1620" t="s">
        <v>306</v>
      </c>
      <c r="Q204" s="43" t="s">
        <v>307</v>
      </c>
      <c r="R204" s="1621" t="s">
        <v>308</v>
      </c>
      <c r="S204" s="1620" t="s">
        <v>306</v>
      </c>
      <c r="T204" s="43" t="s">
        <v>307</v>
      </c>
      <c r="U204" s="1621" t="s">
        <v>308</v>
      </c>
      <c r="V204" s="818"/>
      <c r="W204" s="955" t="s">
        <v>928</v>
      </c>
      <c r="X204" s="1391" t="s">
        <v>734</v>
      </c>
      <c r="Y204" s="955" t="s">
        <v>928</v>
      </c>
      <c r="Z204" s="1395" t="s">
        <v>733</v>
      </c>
      <c r="AA204" s="955"/>
      <c r="AB204" s="1399" t="s">
        <v>735</v>
      </c>
      <c r="AD204" s="970" t="s">
        <v>734</v>
      </c>
      <c r="AE204" s="971" t="s">
        <v>946</v>
      </c>
      <c r="AF204" s="970" t="s">
        <v>733</v>
      </c>
      <c r="AG204" s="971" t="s">
        <v>947</v>
      </c>
      <c r="AH204" s="970" t="s">
        <v>735</v>
      </c>
      <c r="AI204" s="971" t="s">
        <v>948</v>
      </c>
      <c r="AK204" s="10"/>
      <c r="AL204" s="10"/>
      <c r="AM204" s="10"/>
      <c r="AN204" s="10"/>
      <c r="AO204" s="10"/>
      <c r="AP204" s="10"/>
      <c r="AQ204" s="1806" t="s">
        <v>1322</v>
      </c>
      <c r="AR204" s="1806" t="s">
        <v>1323</v>
      </c>
      <c r="AS204" s="1806" t="s">
        <v>1322</v>
      </c>
      <c r="AT204" s="1806" t="s">
        <v>1323</v>
      </c>
      <c r="AU204" s="1806" t="s">
        <v>1322</v>
      </c>
      <c r="AV204" s="1806" t="s">
        <v>1323</v>
      </c>
      <c r="BD204" s="816"/>
      <c r="BE204" s="110"/>
      <c r="BF204" s="477"/>
      <c r="BG204" s="113"/>
      <c r="BH204" s="481"/>
      <c r="BI204" s="113"/>
      <c r="BJ204" s="482"/>
      <c r="BK204" s="478"/>
    </row>
    <row r="205" spans="2:63" ht="32" customHeight="1" x14ac:dyDescent="0.2">
      <c r="B205" s="1847" t="str">
        <f>'Action-Réaction finale'!I34</f>
        <v>D: Dénigrement</v>
      </c>
      <c r="C205" s="414" t="str">
        <f>'Action-Réaction finale'!G34</f>
        <v>PFA14</v>
      </c>
      <c r="D205" s="26" t="str">
        <f>Test_Bible!B190</f>
        <v>L’autre parent dénigre votre nouvelle famille devant votre enfant. (dénigrement de votre nouveau ou nouvelle conjoint·e ou enfant né·e d’une nouvelle union)</v>
      </c>
      <c r="E205" s="101" t="s">
        <v>770</v>
      </c>
      <c r="F205" s="790">
        <f>Test_Bible!P190</f>
        <v>7</v>
      </c>
      <c r="G205" s="789">
        <f>Test_Bible!D190</f>
        <v>1</v>
      </c>
      <c r="H205" s="790">
        <f>F205*G205</f>
        <v>7</v>
      </c>
      <c r="I205" s="1622">
        <v>4</v>
      </c>
      <c r="J205" s="1615">
        <v>10</v>
      </c>
      <c r="K205" s="45" t="b">
        <f>IF(AND(F205&gt;=I205,F205&lt;=J205),TRUE,FALSE)</f>
        <v>1</v>
      </c>
      <c r="L205" s="45"/>
      <c r="M205" s="45"/>
      <c r="N205" s="45"/>
      <c r="O205" s="1623"/>
      <c r="P205" s="1622">
        <v>1</v>
      </c>
      <c r="Q205" s="1615">
        <v>7</v>
      </c>
      <c r="R205" s="1623" t="b">
        <f>IF(AND(F205&gt;=P205,F205&lt;=Q205),TRUE,FALSE)</f>
        <v>1</v>
      </c>
      <c r="S205" s="1622">
        <v>2</v>
      </c>
      <c r="T205" s="1615">
        <v>7</v>
      </c>
      <c r="U205" s="1623" t="b">
        <f>IF(AND(F205&gt;=S205,F205&lt;=T205),TRUE,FALSE)</f>
        <v>1</v>
      </c>
      <c r="V205" s="931"/>
      <c r="W205" s="1403"/>
      <c r="X205" s="1404">
        <v>4</v>
      </c>
      <c r="Y205" s="1405"/>
      <c r="Z205" s="1408">
        <v>2</v>
      </c>
      <c r="AA205" s="1405"/>
      <c r="AB205" s="1415">
        <v>2</v>
      </c>
      <c r="AD205" s="958"/>
      <c r="AE205" s="959"/>
      <c r="AF205" s="958"/>
      <c r="AG205" s="959"/>
      <c r="AH205" s="958"/>
      <c r="AI205" s="959"/>
      <c r="AK205" s="10"/>
      <c r="AL205" s="10"/>
      <c r="AM205" s="10"/>
      <c r="AN205" s="975">
        <f>IF($K205=TRUE,H205,0)</f>
        <v>7</v>
      </c>
      <c r="AO205" s="975">
        <f>IF($R205=TRUE,H205,0)</f>
        <v>7</v>
      </c>
      <c r="AP205" s="975">
        <f>IF($U205=TRUE,H205,0)</f>
        <v>7</v>
      </c>
      <c r="AQ205" s="1806">
        <f>IF(I205=11,0,G205*I205)</f>
        <v>4</v>
      </c>
      <c r="AR205" s="1806">
        <f>IF(J205=11,0,G205*J205)</f>
        <v>10</v>
      </c>
      <c r="AS205" s="1806">
        <f>IF(P205=11,0,G205*P205)</f>
        <v>1</v>
      </c>
      <c r="AT205" s="1806">
        <f>IF(Q205=11,0,G205*Q205)</f>
        <v>7</v>
      </c>
      <c r="AU205" s="1806">
        <f>IF(S205=11,0,S205*G205)</f>
        <v>2</v>
      </c>
      <c r="AV205" s="1806">
        <f>IF(T205=11,0,T205*G205)</f>
        <v>7</v>
      </c>
      <c r="BD205" s="816"/>
      <c r="BE205" s="110"/>
      <c r="BF205" s="477"/>
      <c r="BG205" s="113"/>
      <c r="BH205" s="481"/>
      <c r="BI205" s="113"/>
      <c r="BJ205" s="482"/>
      <c r="BK205" s="478"/>
    </row>
    <row r="206" spans="2:63" ht="32" customHeight="1" x14ac:dyDescent="0.2">
      <c r="B206" s="1847" t="str">
        <f>'Action-Réaction finale'!I35</f>
        <v>H: Rôle actif, Réponse au CC, r</v>
      </c>
      <c r="C206" s="414" t="str">
        <f>'Action-Réaction finale'!G35</f>
        <v>PFA33</v>
      </c>
      <c r="D206" s="26" t="str">
        <f>Test_Bible!B247</f>
        <v>L'autre parent encourage ou entretient un discours dénigrant ou haineux à l’égard de votre nouveau ou nouvelle conjoint·e.</v>
      </c>
      <c r="E206" s="101" t="s">
        <v>771</v>
      </c>
      <c r="F206" s="790">
        <f>Test_Bible!P247</f>
        <v>4</v>
      </c>
      <c r="G206" s="789">
        <f>Test_Bible!D247</f>
        <v>2</v>
      </c>
      <c r="H206" s="790">
        <f>F206*G206</f>
        <v>8</v>
      </c>
      <c r="I206" s="1622">
        <v>4</v>
      </c>
      <c r="J206" s="1615">
        <v>10</v>
      </c>
      <c r="K206" s="45" t="b">
        <f>IF(AND(F206&gt;=I206,F206&lt;=J206),TRUE,FALSE)</f>
        <v>1</v>
      </c>
      <c r="L206" s="45"/>
      <c r="M206" s="45"/>
      <c r="N206" s="45"/>
      <c r="O206" s="1623"/>
      <c r="P206" s="1622">
        <v>1</v>
      </c>
      <c r="Q206" s="1615">
        <v>7</v>
      </c>
      <c r="R206" s="1623" t="b">
        <f>IF(AND(F206&gt;=P206,F206&lt;=Q206),TRUE,FALSE)</f>
        <v>1</v>
      </c>
      <c r="S206" s="1622">
        <v>2</v>
      </c>
      <c r="T206" s="1615">
        <v>7</v>
      </c>
      <c r="U206" s="1623" t="b">
        <f>IF(AND(F206&gt;=S206,F206&lt;=T206),TRUE,FALSE)</f>
        <v>1</v>
      </c>
      <c r="V206" s="931"/>
      <c r="W206" s="1406" t="s">
        <v>943</v>
      </c>
      <c r="X206" s="1411">
        <v>4</v>
      </c>
      <c r="Y206" s="1412"/>
      <c r="Z206" s="1413">
        <v>2</v>
      </c>
      <c r="AA206" s="1412"/>
      <c r="AB206" s="1414">
        <v>2</v>
      </c>
      <c r="AD206" s="960"/>
      <c r="AE206" s="961"/>
      <c r="AF206" s="960"/>
      <c r="AG206" s="961"/>
      <c r="AH206" s="960"/>
      <c r="AI206" s="961"/>
      <c r="AK206" s="10"/>
      <c r="AL206" s="10"/>
      <c r="AM206" s="10"/>
      <c r="AN206" s="975">
        <f>IF($K206=TRUE,H206,0)</f>
        <v>8</v>
      </c>
      <c r="AO206" s="975">
        <f>IF($R206=TRUE,H206,0)</f>
        <v>8</v>
      </c>
      <c r="AP206" s="975">
        <f>IF($U206=TRUE,H206,0)</f>
        <v>8</v>
      </c>
      <c r="AQ206" s="1806">
        <f>IF(I206=11,0,G206*I206)</f>
        <v>8</v>
      </c>
      <c r="AR206" s="1806">
        <f>IF(J206=11,0,G206*J206)</f>
        <v>20</v>
      </c>
      <c r="AS206" s="1806">
        <f>IF(P206=11,0,G206*P206)</f>
        <v>2</v>
      </c>
      <c r="AT206" s="1806">
        <f>IF(Q206=11,0,G206*Q206)</f>
        <v>14</v>
      </c>
      <c r="AU206" s="1806">
        <f>IF(S206=11,0,S206*G206)</f>
        <v>4</v>
      </c>
      <c r="AV206" s="1806">
        <f>IF(T206=11,0,T206*G206)</f>
        <v>14</v>
      </c>
      <c r="BD206" s="816"/>
      <c r="BE206" s="110"/>
      <c r="BF206" s="477"/>
      <c r="BG206" s="113"/>
      <c r="BH206" s="481"/>
      <c r="BI206" s="113"/>
      <c r="BJ206" s="482"/>
      <c r="BK206" s="478"/>
    </row>
    <row r="207" spans="2:63" ht="32" customHeight="1" x14ac:dyDescent="0.2">
      <c r="B207" s="1847"/>
      <c r="C207" s="792" t="s">
        <v>745</v>
      </c>
      <c r="D207" s="793" t="str">
        <f>_xlfn.XLOOKUP(H207,H205:H206,D205:D206)</f>
        <v>L'autre parent encourage ou entretient un discours dénigrant ou haineux à l’égard de votre nouveau ou nouvelle conjoint·e.</v>
      </c>
      <c r="E207" s="794" t="str">
        <f>_xlfn.XLOOKUP(H207,H205:H206,E205:E206)</f>
        <v>entretient un discours haineux à l'égard de votre nouveau conjoint.e</v>
      </c>
      <c r="F207" s="795"/>
      <c r="G207" s="795"/>
      <c r="H207" s="795">
        <f>IF(AND(K205=TRUE,K206=FALSE),H205,IF(AND(K205=FALSE,K206=TRUE),H206,MAX(H205,H206)))</f>
        <v>8</v>
      </c>
      <c r="I207" s="1624"/>
      <c r="J207" s="796"/>
      <c r="K207" s="797" t="b">
        <f>IF(AND(K205=FALSE,K206=FALSE),FALSE,TRUE)</f>
        <v>1</v>
      </c>
      <c r="L207" s="45"/>
      <c r="M207" s="45"/>
      <c r="N207" s="45"/>
      <c r="O207" s="1623"/>
      <c r="P207" s="1624"/>
      <c r="Q207" s="796"/>
      <c r="R207" s="1637" t="b">
        <f>IF(AND(R205=FALSE,R206=FALSE),FALSE,TRUE)</f>
        <v>1</v>
      </c>
      <c r="S207" s="1624"/>
      <c r="T207" s="796"/>
      <c r="U207" s="1637" t="b">
        <f>IF(AND(U205=FALSE,U206=FALSE),FALSE,TRUE)</f>
        <v>1</v>
      </c>
      <c r="V207" s="931"/>
      <c r="W207" s="931" t="s">
        <v>943</v>
      </c>
      <c r="X207" s="1392"/>
      <c r="Y207" s="8"/>
      <c r="Z207" s="1397"/>
      <c r="AA207" s="8"/>
      <c r="AB207" s="1400"/>
      <c r="AD207" s="960"/>
      <c r="AE207" s="961"/>
      <c r="AF207" s="960"/>
      <c r="AG207" s="961"/>
      <c r="AH207" s="960"/>
      <c r="AI207" s="961"/>
      <c r="AK207" s="10"/>
      <c r="AL207" s="10"/>
      <c r="AM207" s="10"/>
      <c r="AN207" s="2100">
        <f>IF($K207=TRUE,MAX(AN205:AN206),0)</f>
        <v>8</v>
      </c>
      <c r="AO207" s="2100">
        <f>IF($R207=TRUE,MAX(AO205:AO206),0)</f>
        <v>8</v>
      </c>
      <c r="AP207" s="2100">
        <f>IF($U207=TRUE,MAX(AP205:AP206),0)</f>
        <v>8</v>
      </c>
      <c r="AQ207" s="2099">
        <f>MAX(AQ205:AQ206)</f>
        <v>8</v>
      </c>
      <c r="AR207" s="2099">
        <f t="shared" ref="AR207" si="174">MAX(AR205:AR206)</f>
        <v>20</v>
      </c>
      <c r="AS207" s="2099">
        <f t="shared" ref="AS207" si="175">MAX(AS205:AS206)</f>
        <v>2</v>
      </c>
      <c r="AT207" s="2099">
        <f t="shared" ref="AT207" si="176">MAX(AT205:AT206)</f>
        <v>14</v>
      </c>
      <c r="AU207" s="2099">
        <f t="shared" ref="AU207" si="177">MAX(AU205:AU206)</f>
        <v>4</v>
      </c>
      <c r="AV207" s="2099">
        <f t="shared" ref="AV207" si="178">MAX(AV205:AV206)</f>
        <v>14</v>
      </c>
      <c r="BD207" s="816"/>
      <c r="BE207" s="110"/>
      <c r="BF207" s="477"/>
      <c r="BG207" s="113"/>
      <c r="BH207" s="481"/>
      <c r="BI207" s="113"/>
      <c r="BJ207" s="482"/>
      <c r="BK207" s="478"/>
    </row>
    <row r="208" spans="2:63" ht="55" customHeight="1" x14ac:dyDescent="0.2">
      <c r="B208" s="2030" t="str">
        <f>'Action-Réaction finale'!M34</f>
        <v>D: Dénigrement</v>
      </c>
      <c r="C208" s="52" t="str">
        <f>'Action-Réaction finale'!K34</f>
        <v>NC04b</v>
      </c>
      <c r="D208" s="26" t="str">
        <f>Test_Bible!B416</f>
        <v xml:space="preserve">Arrive-t-il que le nouveau ou nouvelle conjoint·e dénigre votre famille devant votre enfant ? </v>
      </c>
      <c r="E208" s="101" t="s">
        <v>794</v>
      </c>
      <c r="F208" s="790">
        <f>Test_Bible!P416</f>
        <v>2</v>
      </c>
      <c r="G208" s="789">
        <f>Test_Bible!D416</f>
        <v>3</v>
      </c>
      <c r="H208" s="790">
        <f>F208*G208</f>
        <v>6</v>
      </c>
      <c r="I208" s="1622">
        <v>4</v>
      </c>
      <c r="J208" s="1615">
        <v>10</v>
      </c>
      <c r="K208" s="45" t="b">
        <f>IF(AND(F208&gt;=I208,F208&lt;=J208),TRUE,FALSE)</f>
        <v>0</v>
      </c>
      <c r="L208" s="45"/>
      <c r="M208" s="45"/>
      <c r="N208" s="45"/>
      <c r="O208" s="1623"/>
      <c r="P208" s="1622">
        <v>2</v>
      </c>
      <c r="Q208" s="1615">
        <v>10</v>
      </c>
      <c r="R208" s="1623" t="b">
        <f>IF(AND(F208&gt;=P208,F208&lt;=Q208),TRUE,FALSE)</f>
        <v>1</v>
      </c>
      <c r="S208" s="1622">
        <v>4</v>
      </c>
      <c r="T208" s="1615">
        <v>10</v>
      </c>
      <c r="U208" s="1623" t="b">
        <f>IF(AND(F208&gt;=S208,F208&lt;=T208),TRUE,FALSE)</f>
        <v>0</v>
      </c>
      <c r="V208" s="931"/>
      <c r="W208" s="1403"/>
      <c r="X208" s="1404">
        <v>4</v>
      </c>
      <c r="Y208" s="1405"/>
      <c r="Z208" s="1408">
        <v>4</v>
      </c>
      <c r="AA208" s="1405"/>
      <c r="AB208" s="1415">
        <v>2</v>
      </c>
      <c r="AD208" s="960"/>
      <c r="AE208" s="961"/>
      <c r="AF208" s="960"/>
      <c r="AG208" s="961"/>
      <c r="AH208" s="960"/>
      <c r="AI208" s="961"/>
      <c r="AK208" s="10"/>
      <c r="AL208" s="10"/>
      <c r="AM208" s="10"/>
      <c r="AN208" s="975">
        <f>IF(K208=TRUE,H208,0)</f>
        <v>0</v>
      </c>
      <c r="AO208" s="975">
        <f>IF(R208=TRUE,H208,0)</f>
        <v>6</v>
      </c>
      <c r="AP208" s="975">
        <f>IF(U208=TRUE,H208,0)</f>
        <v>0</v>
      </c>
      <c r="AQ208" s="1806">
        <f>IF(I208=11,0,G208*I208)</f>
        <v>12</v>
      </c>
      <c r="AR208" s="1806">
        <f>IF(J208=11,0,G208*J208)</f>
        <v>30</v>
      </c>
      <c r="AS208" s="1806">
        <f>IF(P208=11,0,G208*P208)</f>
        <v>6</v>
      </c>
      <c r="AT208" s="1806">
        <f>IF(Q208=11,0,G208*Q208)</f>
        <v>30</v>
      </c>
      <c r="AU208" s="1806">
        <f>IF(S208=11,0,S208*G208)</f>
        <v>12</v>
      </c>
      <c r="AV208" s="1806">
        <f>IF(T208=11,0,T208*G208)</f>
        <v>30</v>
      </c>
      <c r="BD208" s="816"/>
      <c r="BE208" s="110"/>
      <c r="BF208" s="477"/>
      <c r="BG208" s="113"/>
      <c r="BH208" s="481"/>
      <c r="BI208" s="113"/>
      <c r="BJ208" s="482"/>
      <c r="BK208" s="478"/>
    </row>
    <row r="209" spans="2:63" ht="32" customHeight="1" x14ac:dyDescent="0.2">
      <c r="B209" s="2030"/>
      <c r="C209" s="52" t="s">
        <v>247</v>
      </c>
      <c r="D209" s="26"/>
      <c r="E209" s="62"/>
      <c r="F209" s="35"/>
      <c r="G209" s="35"/>
      <c r="H209" s="35">
        <f>F209*G209</f>
        <v>0</v>
      </c>
      <c r="I209" s="1647">
        <v>11</v>
      </c>
      <c r="J209" s="1648">
        <v>11</v>
      </c>
      <c r="K209" s="45" t="b">
        <f>IF(AND(F209&gt;=I209,F209&lt;=J209),TRUE,FALSE)</f>
        <v>0</v>
      </c>
      <c r="L209" s="45"/>
      <c r="M209" s="45"/>
      <c r="N209" s="45"/>
      <c r="O209" s="1623"/>
      <c r="P209" s="1647">
        <v>11</v>
      </c>
      <c r="Q209" s="1648">
        <v>11</v>
      </c>
      <c r="R209" s="1623" t="b">
        <f>IF(AND(F209&gt;=P209,F209&lt;=Q209),TRUE,FALSE)</f>
        <v>0</v>
      </c>
      <c r="S209" s="1647">
        <v>11</v>
      </c>
      <c r="T209" s="1648">
        <v>11</v>
      </c>
      <c r="U209" s="1623" t="b">
        <f>IF(AND(F209&gt;=S209,F209&lt;=T209),TRUE,FALSE)</f>
        <v>0</v>
      </c>
      <c r="V209" s="931"/>
      <c r="W209" s="1406" t="s">
        <v>943</v>
      </c>
      <c r="X209" s="1425">
        <v>11</v>
      </c>
      <c r="Y209" s="1426"/>
      <c r="Z209" s="1427">
        <v>11</v>
      </c>
      <c r="AA209" s="1426"/>
      <c r="AB209" s="1421">
        <v>11</v>
      </c>
      <c r="AD209" s="960"/>
      <c r="AE209" s="961"/>
      <c r="AF209" s="960"/>
      <c r="AG209" s="961"/>
      <c r="AH209" s="960"/>
      <c r="AI209" s="961"/>
      <c r="AK209" s="10"/>
      <c r="AL209" s="10"/>
      <c r="AM209" s="10"/>
      <c r="AN209" s="975">
        <f>IF(K209=TRUE,H209,0)</f>
        <v>0</v>
      </c>
      <c r="AO209" s="975">
        <f>IF(R209=TRUE,H209,0)</f>
        <v>0</v>
      </c>
      <c r="AP209" s="975">
        <f>IF(U209=TRUE,H209,0)</f>
        <v>0</v>
      </c>
      <c r="AQ209" s="1806">
        <f>IF(I209=11,0,G209*I209)</f>
        <v>0</v>
      </c>
      <c r="AR209" s="1806">
        <f>IF(J209=11,0,G209*J209)</f>
        <v>0</v>
      </c>
      <c r="AS209" s="1806">
        <f>IF(P209=11,0,G209*P209)</f>
        <v>0</v>
      </c>
      <c r="AT209" s="1806">
        <f>IF(Q209=11,0,G209*Q209)</f>
        <v>0</v>
      </c>
      <c r="AU209" s="1806">
        <f>IF(S209=11,0,S209*G209)</f>
        <v>0</v>
      </c>
      <c r="AV209" s="1806">
        <f>IF(T209=11,0,T209*G209)</f>
        <v>0</v>
      </c>
      <c r="BC209" s="7"/>
      <c r="BD209" s="816"/>
      <c r="BE209" s="110"/>
      <c r="BF209" s="477"/>
      <c r="BG209" s="113"/>
      <c r="BH209" s="481"/>
      <c r="BI209" s="113"/>
      <c r="BJ209" s="482"/>
      <c r="BK209" s="478"/>
    </row>
    <row r="210" spans="2:63" ht="32" customHeight="1" thickBot="1" x14ac:dyDescent="0.25">
      <c r="B210" s="2030"/>
      <c r="C210" s="798" t="s">
        <v>746</v>
      </c>
      <c r="D210" s="799" t="str">
        <f>_xlfn.XLOOKUP(H210,H208:H209,D208:D209)</f>
        <v xml:space="preserve">Arrive-t-il que le nouveau ou nouvelle conjoint·e dénigre votre famille devant votre enfant ? </v>
      </c>
      <c r="E210" s="800" t="str">
        <f>_xlfn.XLOOKUP(H210,H208:H209,E208:E209)</f>
        <v>Le nouveau conjoint.e dénigre votre nouvelle famille devant l'enfant</v>
      </c>
      <c r="F210" s="801"/>
      <c r="G210" s="801"/>
      <c r="H210" s="795">
        <f>IF(AND(K208=TRUE,K209=FALSE),H208,IF(AND(K208=FALSE,K209=TRUE),H209,MAX(H208,H209)))</f>
        <v>6</v>
      </c>
      <c r="I210" s="1625"/>
      <c r="J210" s="802"/>
      <c r="K210" s="803" t="b">
        <f>IF(AND(K208=FALSE,K209=FALSE),FALSE,TRUE)</f>
        <v>0</v>
      </c>
      <c r="L210" s="45"/>
      <c r="M210" s="45"/>
      <c r="N210" s="45"/>
      <c r="O210" s="1623"/>
      <c r="P210" s="1625"/>
      <c r="Q210" s="802"/>
      <c r="R210" s="1638" t="b">
        <f>IF(AND(R208=FALSE,R209=FALSE),FALSE,TRUE)</f>
        <v>1</v>
      </c>
      <c r="S210" s="1625"/>
      <c r="T210" s="802"/>
      <c r="U210" s="1638" t="b">
        <f>IF(AND(U208=FALSE,U209=FALSE),FALSE,TRUE)</f>
        <v>0</v>
      </c>
      <c r="V210" s="931"/>
      <c r="W210" s="931"/>
      <c r="X210" s="1392"/>
      <c r="Y210" s="8"/>
      <c r="Z210" s="1397"/>
      <c r="AA210" s="8"/>
      <c r="AB210" s="1400"/>
      <c r="AD210" s="960"/>
      <c r="AE210" s="961"/>
      <c r="AF210" s="960"/>
      <c r="AG210" s="961"/>
      <c r="AH210" s="960"/>
      <c r="AI210" s="961"/>
      <c r="AK210" s="10"/>
      <c r="AL210" s="10"/>
      <c r="AM210" s="10"/>
      <c r="AN210" s="2100">
        <f>IF($K210=TRUE,MAX(AN208:AN209),0)</f>
        <v>0</v>
      </c>
      <c r="AO210" s="2100">
        <f>IF($R210=TRUE,MAX(AO208:AO209),0)</f>
        <v>6</v>
      </c>
      <c r="AP210" s="2100">
        <f>IF($U210=TRUE,MAX(AP208:AP209),0)</f>
        <v>0</v>
      </c>
      <c r="AQ210" s="2099">
        <f>MAX(AQ208:AQ209)</f>
        <v>12</v>
      </c>
      <c r="AR210" s="2099">
        <f t="shared" ref="AR210" si="179">MAX(AR208:AR209)</f>
        <v>30</v>
      </c>
      <c r="AS210" s="2099">
        <f t="shared" ref="AS210" si="180">MAX(AS208:AS209)</f>
        <v>6</v>
      </c>
      <c r="AT210" s="2099">
        <f t="shared" ref="AT210" si="181">MAX(AT208:AT209)</f>
        <v>30</v>
      </c>
      <c r="AU210" s="2099">
        <f t="shared" ref="AU210" si="182">MAX(AU208:AU209)</f>
        <v>12</v>
      </c>
      <c r="AV210" s="2099">
        <f t="shared" ref="AV210" si="183">MAX(AV208:AV209)</f>
        <v>30</v>
      </c>
      <c r="BC210" s="7"/>
      <c r="BD210" s="816"/>
      <c r="BE210" s="110"/>
      <c r="BF210" s="477"/>
      <c r="BG210" s="113"/>
      <c r="BH210" s="481"/>
      <c r="BI210" s="113"/>
      <c r="BJ210" s="482"/>
      <c r="BK210" s="478"/>
    </row>
    <row r="211" spans="2:63" ht="32" customHeight="1" thickBot="1" x14ac:dyDescent="0.25">
      <c r="B211" s="2030"/>
      <c r="C211" s="804" t="s">
        <v>754</v>
      </c>
      <c r="D211" s="805"/>
      <c r="E211" s="805" t="str">
        <f>IF(H211=H207,E207,E210)</f>
        <v>entretient un discours haineux à l'égard de votre nouveau conjoint.e</v>
      </c>
      <c r="F211" s="806"/>
      <c r="G211" s="806"/>
      <c r="H211" s="806">
        <f>IF(AND(K207=TRUE,K210=FALSE),H207,IF(AND(K207=FALSE,K210=TRUE),H210,IF(AND(K207=TRUE,K210=TRUE),H207+H210,MAX(H207,H210))))</f>
        <v>8</v>
      </c>
      <c r="I211" s="1626"/>
      <c r="J211" s="807"/>
      <c r="K211" s="808" t="b">
        <f>IF(AND(K207=FALSE,K210=FALSE),FALSE,TRUE)</f>
        <v>1</v>
      </c>
      <c r="L211" s="1610"/>
      <c r="M211" s="1610"/>
      <c r="N211" s="1610"/>
      <c r="O211" s="1627"/>
      <c r="P211" s="1626"/>
      <c r="Q211" s="807"/>
      <c r="R211" s="808" t="b">
        <f>IF(AND(R207=FALSE,R210=FALSE),FALSE,TRUE)</f>
        <v>1</v>
      </c>
      <c r="S211" s="1626"/>
      <c r="T211" s="807"/>
      <c r="U211" s="808" t="b">
        <f>IF(AND(U207=FALSE,U210=FALSE),FALSE,TRUE)</f>
        <v>1</v>
      </c>
      <c r="V211" s="931"/>
      <c r="W211" s="931" t="s">
        <v>942</v>
      </c>
      <c r="X211" s="1392"/>
      <c r="Y211" s="8"/>
      <c r="Z211" s="1397"/>
      <c r="AA211" s="8"/>
      <c r="AB211" s="1400"/>
      <c r="AD211" s="960" t="str">
        <f>IF(K211=TRUE,"V","F")</f>
        <v>V</v>
      </c>
      <c r="AE211" s="961"/>
      <c r="AF211" s="960" t="str">
        <f>IF(R211=TRUE,"V","F")</f>
        <v>V</v>
      </c>
      <c r="AG211" s="961"/>
      <c r="AH211" s="960" t="str">
        <f>IF(U211=TRUE,"V","F")</f>
        <v>V</v>
      </c>
      <c r="AI211" s="961"/>
      <c r="AJ211" t="str">
        <f>IF(OR(AD211="V",AF211="V"),IF(H210&gt;H207,"Le NC contribue plus que le coparent","Le coparent joue un plus grand rôle que le NC"),"pas de contexte significatif de la part du coparent et NC")</f>
        <v>Le coparent joue un plus grand rôle que le NC</v>
      </c>
      <c r="AK211" s="10"/>
      <c r="AL211" s="10"/>
      <c r="AM211" s="10"/>
      <c r="AN211" s="631">
        <f>IF(AND($K207=TRUE,$K210=FALSE),AN207,IF(AND($K207=FALSE,$K210=TRUE),AN210,IF(AND($K207=TRUE,$K210=TRUE),AN207+AN210,0)))</f>
        <v>8</v>
      </c>
      <c r="AO211" s="631">
        <f>IF(AND($R207=TRUE,$R210=FALSE),AO207,IF(AND($R207=FALSE,$R210=TRUE),AO210,IF(AND($R207=TRUE,$R210=TRUE),AO207+AO210,0)))</f>
        <v>14</v>
      </c>
      <c r="AP211" s="631">
        <f>IF(AND($U207=TRUE,$U210=FALSE),AP207,IF(AND($U207=FALSE,$U210=TRUE),AP210,IF(AND($U207=TRUE,$U210=TRUE),AP207+AP210,0)))</f>
        <v>8</v>
      </c>
      <c r="AQ211" s="631">
        <f>IF(AND($K207=TRUE,$K210=FALSE),AQ207,IF(AND($K207=FALSE,$K210=TRUE),AQ210,IF(AND($K207=TRUE,$K210=TRUE),AQ207+AQ210,MAX(AQ207,AQ210))))</f>
        <v>8</v>
      </c>
      <c r="AR211" s="631">
        <f>IF(AND($K207=TRUE,$K210=FALSE),AR207,IF(AND($K207=FALSE,$K210=TRUE),AR210,IF(AND($K207=TRUE,$K210=TRUE),AR207+AR210,MAX(AR207,AR210))))</f>
        <v>20</v>
      </c>
      <c r="AS211" s="631">
        <f t="shared" ref="AS211" si="184">IF(AND($R207=TRUE,$R210=FALSE),AS207,IF(AND($R207=FALSE,$R210=TRUE),AS210,IF(AND($R207=TRUE,$R210=TRUE),AS207+AS210,MAX(AS207,AS210))))</f>
        <v>8</v>
      </c>
      <c r="AT211" s="631">
        <f t="shared" ref="AT211" si="185">IF(AND($R207=TRUE,$R210=FALSE),AT207,IF(AND($R207=FALSE,$R210=TRUE),AT210,IF(AND($R207=TRUE,$R210=TRUE),AT207+AT210,MAX(AT207,AT210))))</f>
        <v>44</v>
      </c>
      <c r="AU211" s="631">
        <f t="shared" ref="AU211" si="186">IF(AND($U207=TRUE,$U210=FALSE),AU207,IF(AND($U207=FALSE,$U210=TRUE),AU210,IF(AND($U207=TRUE,$U210=TRUE),AU207+AU210,MAX(AU207,AU210))))</f>
        <v>4</v>
      </c>
      <c r="AV211" s="631">
        <f t="shared" ref="AV211" si="187">IF(AND($U207=TRUE,$U210=FALSE),AV207,IF(AND($U207=FALSE,$U210=TRUE),AV210,IF(AND($U207=TRUE,$U210=TRUE),AV207+AV210,MAX(AV207,AV210))))</f>
        <v>14</v>
      </c>
      <c r="BC211" s="7"/>
      <c r="BD211" s="816"/>
      <c r="BE211" s="110"/>
      <c r="BF211" s="477"/>
      <c r="BG211" s="113"/>
      <c r="BH211" s="481"/>
      <c r="BI211" s="113"/>
      <c r="BJ211" s="482"/>
      <c r="BK211" s="478"/>
    </row>
    <row r="212" spans="2:63" ht="32" customHeight="1" x14ac:dyDescent="0.2">
      <c r="B212" s="2030" t="str">
        <f>'Action-Réaction finale'!Q34</f>
        <v>D: Dénigrement</v>
      </c>
      <c r="C212" s="313" t="str">
        <f>'Action-Réaction finale'!O34</f>
        <v>E13</v>
      </c>
      <c r="D212" s="26" t="str">
        <f>Test_Bible!B285</f>
        <v>Votre enfant dénigre votre nouvelle famille (nouveau ou nouvelle conjoint·e ou enfant né·e d’une nouvelle union).</v>
      </c>
      <c r="E212" s="101" t="s">
        <v>770</v>
      </c>
      <c r="F212" s="790">
        <f>Test_Bible!P285</f>
        <v>1</v>
      </c>
      <c r="G212" s="789">
        <f>Test_Bible!D285</f>
        <v>2</v>
      </c>
      <c r="H212" s="790">
        <f>F212*G212</f>
        <v>2</v>
      </c>
      <c r="I212" s="1622">
        <v>4</v>
      </c>
      <c r="J212" s="1615">
        <f>$J$18</f>
        <v>10</v>
      </c>
      <c r="K212" s="45" t="b">
        <f>IF(AND(F212&gt;=I212,F212&lt;=J212),TRUE,FALSE)</f>
        <v>0</v>
      </c>
      <c r="L212" s="45"/>
      <c r="M212" s="45"/>
      <c r="N212" s="45"/>
      <c r="O212" s="1623"/>
      <c r="P212" s="1622">
        <v>2</v>
      </c>
      <c r="Q212" s="1615">
        <v>7</v>
      </c>
      <c r="R212" s="1623" t="b">
        <f>IF(AND(F212&gt;=P212,F212&lt;=Q212),TRUE,FALSE)</f>
        <v>0</v>
      </c>
      <c r="S212" s="1622"/>
      <c r="T212" s="1615"/>
      <c r="U212" s="1623"/>
      <c r="V212" s="931"/>
      <c r="W212" s="1403"/>
      <c r="X212" s="1404">
        <v>4</v>
      </c>
      <c r="Y212" s="1405"/>
      <c r="Z212" s="1408">
        <v>2</v>
      </c>
      <c r="AA212" s="1405"/>
      <c r="AB212" s="1416">
        <v>11</v>
      </c>
      <c r="AD212" s="960" t="s">
        <v>945</v>
      </c>
      <c r="AE212" s="961"/>
      <c r="AF212" s="960"/>
      <c r="AG212" s="961"/>
      <c r="AH212" s="960"/>
      <c r="AI212" s="961"/>
      <c r="AK212" s="10"/>
      <c r="AL212" s="10"/>
      <c r="AM212" s="10"/>
      <c r="AN212" s="975">
        <f>IF($K212=TRUE,H212,0)</f>
        <v>0</v>
      </c>
      <c r="AO212" s="975">
        <f>IF($R212=TRUE,H212,0)</f>
        <v>0</v>
      </c>
      <c r="AP212" s="975"/>
      <c r="AQ212" s="1806">
        <f>IF(I212=11,0,G212*I212)</f>
        <v>8</v>
      </c>
      <c r="AR212" s="1806">
        <f>IF(J212=11,0,G212*J212)</f>
        <v>20</v>
      </c>
      <c r="AS212" s="1806">
        <f>IF(P212=11,0,G212*P212)</f>
        <v>4</v>
      </c>
      <c r="AT212" s="1806">
        <f>IF(Q212=11,0,G212*Q212)</f>
        <v>14</v>
      </c>
      <c r="AU212" s="1806"/>
      <c r="AV212" s="1806"/>
      <c r="BC212" s="7"/>
      <c r="BD212" s="816"/>
      <c r="BE212" s="110"/>
      <c r="BF212" s="477"/>
      <c r="BG212" s="113"/>
      <c r="BH212" s="481"/>
      <c r="BI212" s="113"/>
      <c r="BJ212" s="482"/>
      <c r="BK212" s="478"/>
    </row>
    <row r="213" spans="2:63" ht="32" customHeight="1" thickBot="1" x14ac:dyDescent="0.25">
      <c r="B213" s="2030"/>
      <c r="C213" s="313" t="s">
        <v>309</v>
      </c>
      <c r="D213" s="26"/>
      <c r="E213" s="101"/>
      <c r="F213" s="790"/>
      <c r="G213" s="789"/>
      <c r="H213" s="790">
        <f>F213*G213</f>
        <v>0</v>
      </c>
      <c r="I213" s="1647">
        <v>11</v>
      </c>
      <c r="J213" s="1648">
        <v>11</v>
      </c>
      <c r="K213" s="45" t="b">
        <f>IF(AND(F213&gt;=I213,F213&lt;=J213),TRUE,FALSE)</f>
        <v>0</v>
      </c>
      <c r="L213" s="45"/>
      <c r="M213" s="45"/>
      <c r="N213" s="45"/>
      <c r="O213" s="1623"/>
      <c r="P213" s="1647">
        <v>11</v>
      </c>
      <c r="Q213" s="1648">
        <v>11</v>
      </c>
      <c r="R213" s="1623" t="b">
        <f>IF(AND(F213&gt;=P213,F213&lt;=Q213),TRUE,FALSE)</f>
        <v>0</v>
      </c>
      <c r="S213" s="1647"/>
      <c r="T213" s="1648"/>
      <c r="U213" s="1623"/>
      <c r="V213" s="931"/>
      <c r="W213" s="1406" t="s">
        <v>943</v>
      </c>
      <c r="X213" s="1425">
        <v>11</v>
      </c>
      <c r="Y213" s="1426"/>
      <c r="Z213" s="1427">
        <v>11</v>
      </c>
      <c r="AA213" s="1426"/>
      <c r="AB213" s="1421">
        <v>11</v>
      </c>
      <c r="AD213" s="960"/>
      <c r="AE213" s="961"/>
      <c r="AF213" s="960"/>
      <c r="AG213" s="961"/>
      <c r="AH213" s="960"/>
      <c r="AI213" s="961"/>
      <c r="AK213" s="10"/>
      <c r="AL213" s="10"/>
      <c r="AM213" s="10"/>
      <c r="AN213" s="975">
        <f>IF($K213=TRUE,H213,0)</f>
        <v>0</v>
      </c>
      <c r="AO213" s="975">
        <f>IF($R213=TRUE,H213,0)</f>
        <v>0</v>
      </c>
      <c r="AP213" s="975"/>
      <c r="AQ213" s="1806">
        <f>IF(I213=11,0,G213*I213)</f>
        <v>0</v>
      </c>
      <c r="AR213" s="1806">
        <f>IF(J213=11,0,G213*J213)</f>
        <v>0</v>
      </c>
      <c r="AS213" s="1806">
        <f>IF(P213=11,0,G213*P213)</f>
        <v>0</v>
      </c>
      <c r="AT213" s="1806">
        <f>IF(Q213=11,0,G213*Q213)</f>
        <v>0</v>
      </c>
      <c r="AU213" s="1806"/>
      <c r="AV213" s="1806"/>
      <c r="BC213" s="7"/>
      <c r="BD213" s="816"/>
      <c r="BE213" s="110"/>
      <c r="BF213" s="477"/>
      <c r="BG213" s="113"/>
      <c r="BH213" s="481"/>
      <c r="BI213" s="113"/>
      <c r="BJ213" s="482"/>
      <c r="BK213" s="478"/>
    </row>
    <row r="214" spans="2:63" ht="32" customHeight="1" thickBot="1" x14ac:dyDescent="0.25">
      <c r="B214" s="2030"/>
      <c r="C214" s="809" t="s">
        <v>747</v>
      </c>
      <c r="D214" s="810" t="str">
        <f>_xlfn.XLOOKUP(H214,H212:H213,D212:D213)</f>
        <v>Votre enfant dénigre votre nouvelle famille (nouveau ou nouvelle conjoint·e ou enfant né·e d’une nouvelle union).</v>
      </c>
      <c r="E214" s="810" t="str">
        <f>_xlfn.XLOOKUP(H214,H212:H213,E212:E213)</f>
        <v>dénigre votre nouvelle famille devant l'enfant</v>
      </c>
      <c r="F214" s="811"/>
      <c r="G214" s="811"/>
      <c r="H214" s="811">
        <f>IF(AND(K212=TRUE,K213=FALSE),H212,IF(AND(K212=FALSE,K213=TRUE),H213,MAX(H212,H213)))</f>
        <v>2</v>
      </c>
      <c r="I214" s="1628"/>
      <c r="J214" s="812"/>
      <c r="K214" s="813" t="b">
        <f>IF(AND(K212=FALSE,K213=FALSE),FALSE,TRUE)</f>
        <v>0</v>
      </c>
      <c r="L214" s="1611"/>
      <c r="M214" s="1611"/>
      <c r="N214" s="1611"/>
      <c r="O214" s="1629"/>
      <c r="P214" s="1628"/>
      <c r="Q214" s="812"/>
      <c r="R214" s="813" t="b">
        <f>IF(AND(R212=FALSE,R213=FALSE),FALSE,TRUE)</f>
        <v>0</v>
      </c>
      <c r="S214" s="1628"/>
      <c r="T214" s="812"/>
      <c r="U214" s="813"/>
      <c r="V214" s="931"/>
      <c r="W214" s="931"/>
      <c r="X214" s="1394"/>
      <c r="Z214" s="1398"/>
      <c r="AB214" s="1402"/>
      <c r="AD214" s="960" t="str">
        <f>IF(K214=TRUE,"V","F")</f>
        <v>F</v>
      </c>
      <c r="AE214" s="961"/>
      <c r="AF214" s="960" t="str">
        <f>IF(R214=TRUE,"V","F")</f>
        <v>F</v>
      </c>
      <c r="AG214" s="961"/>
      <c r="AH214" s="960"/>
      <c r="AI214" s="961"/>
      <c r="AK214" s="10"/>
      <c r="AL214" s="10"/>
      <c r="AM214" s="10"/>
      <c r="AN214" s="2102">
        <f>IF(AND($K212=TRUE,$K213=FALSE),AN212,IF(AND($K212=FALSE,$K213=TRUE),AN213,IF(AND($K212=TRUE,$K213=TRUE),MAX(AN212,AN213),0)))</f>
        <v>0</v>
      </c>
      <c r="AO214" s="2102">
        <f>IF(AND($R212=TRUE,$R213=FALSE),AO212,IF(AND($R212=FALSE,$R213=TRUE),AO213,IF(AND($R212=TRUE,$R213=TRUE),MAX(AO212,AO213),0)))</f>
        <v>0</v>
      </c>
      <c r="AP214" s="2102"/>
      <c r="AQ214" s="2102">
        <f>IF(AND($K212=TRUE,$K213=FALSE),AQ212,IF(AND($K212=FALSE,$K213=TRUE),AQ213,IF(AND($K212=TRUE,$K213=TRUE),MAX(AQ212,AQ213),0)))</f>
        <v>0</v>
      </c>
      <c r="AR214" s="2102">
        <f>IF(AND($K212=TRUE,$K213=FALSE),AR212,IF(AND($K212=FALSE,$K213=TRUE),AR213,IF(AND($K212=TRUE,$K213=TRUE),MAX(AR212,AR213),0)))</f>
        <v>0</v>
      </c>
      <c r="AS214" s="2102">
        <f t="shared" ref="AS214" si="188">IF(AND($R212=TRUE,$R213=FALSE),AS212,IF(AND($R212=FALSE,$R213=TRUE),AS213,IF(AND($R212=TRUE,$R213=TRUE),MAX(AS212,AS213),0)))</f>
        <v>0</v>
      </c>
      <c r="AT214" s="2102">
        <f t="shared" ref="AT214" si="189">IF(AND($R212=TRUE,$R213=FALSE),AT212,IF(AND($R212=FALSE,$R213=TRUE),AT213,IF(AND($R212=TRUE,$R213=TRUE),MAX(AT212,AT213),0)))</f>
        <v>0</v>
      </c>
      <c r="AU214" s="2102"/>
      <c r="AV214" s="2102"/>
      <c r="BD214" s="816"/>
      <c r="BE214" s="110"/>
      <c r="BF214" s="477"/>
      <c r="BG214" s="113"/>
      <c r="BH214" s="481"/>
      <c r="BI214" s="113"/>
      <c r="BJ214" s="482"/>
      <c r="BK214" s="478"/>
    </row>
    <row r="215" spans="2:63" ht="32" customHeight="1" x14ac:dyDescent="0.2">
      <c r="B215" s="2030"/>
      <c r="D215" s="421" t="s">
        <v>310</v>
      </c>
      <c r="E215" s="785"/>
      <c r="F215" s="474" t="s">
        <v>398</v>
      </c>
      <c r="G215" s="47"/>
      <c r="H215" s="47">
        <f>IF(AND(K211=TRUE,K214=FALSE),H211,IF(AND(K211=FALSE,K214=TRUE),H214,IF(AND(K211=TRUE,K214=TRUE),H211+H214,MAX(H211,H214))))</f>
        <v>8</v>
      </c>
      <c r="I215" s="1630"/>
      <c r="J215" s="475"/>
      <c r="K215" s="1613"/>
      <c r="L215" s="1614" t="str">
        <f>IF(AND(K214=TRUE,K211=TRUE),E214,"")</f>
        <v/>
      </c>
      <c r="M215" s="1614" t="str">
        <f>IF(AND(K211=TRUE,K214=FALSE),"Bien que le parent "&amp;E211&amp;" l'enfant ne semble pas s'ingérer","")</f>
        <v>Bien que le parent entretient un discours haineux à l'égard de votre nouveau conjoint.e l'enfant ne semble pas s'ingérer</v>
      </c>
      <c r="N215" s="1614" t="str">
        <f>IF(AND(K211=FALSE,K214=TRUE),E214&amp;" sans signe de la participation du parent favorisé et|ou nouveau conjoint.e","")</f>
        <v/>
      </c>
      <c r="O215" s="1631" t="str">
        <f>IF(AND(K211=FALSE,K214=FALSE),"aucun comportement significatif de cette nature","")</f>
        <v/>
      </c>
      <c r="P215" s="1630"/>
      <c r="Q215" s="475"/>
      <c r="R215" s="1639"/>
      <c r="S215" s="1630"/>
      <c r="T215" s="475"/>
      <c r="U215" s="1639"/>
      <c r="V215" s="170"/>
      <c r="W215" s="170"/>
      <c r="X215" s="1394"/>
      <c r="Z215" s="1398"/>
      <c r="AB215" s="1402"/>
      <c r="AD215" s="962"/>
      <c r="AE215" s="963">
        <f>IF(AND(AD211="V",AD214="V"),2,IF(OR(AD211="V",AD214="V"),1,0))</f>
        <v>1</v>
      </c>
      <c r="AF215" s="962"/>
      <c r="AG215" s="963">
        <f>IF(OR(AF211="V",AF214="V"),1,0)</f>
        <v>1</v>
      </c>
      <c r="AH215" s="962"/>
      <c r="AI215" s="963"/>
      <c r="AK215" s="10"/>
      <c r="AL215" s="10"/>
      <c r="AM215" s="10"/>
      <c r="AN215" s="2097">
        <f>IF(AND($AD211="V",$AD214="F"),AN211,IF(AND($AD211="F",$AD214="V"),AN214,IF(AND($AD211="V",$AD214="V"),AN211+AN214,0)))</f>
        <v>8</v>
      </c>
      <c r="AO215" s="2097">
        <f>IF(AND($AF211="V",$AF214="F"),AO211,IF(AND($AF211="F",$AF214="V"),AO214,IF(AND($AF211="V",$AF214="V"),AO211+AO214,0)))</f>
        <v>14</v>
      </c>
      <c r="AP215" s="2097"/>
      <c r="AQ215" s="2097">
        <f>IF(AND($AD211="V",$AD214="F"),AQ211,IF(AND($AD211="F",$AD214="V"),AQ214,IF(AND($AD211="V",$AD214="V"),AQ211+AQ214,0)))</f>
        <v>8</v>
      </c>
      <c r="AR215" s="2097">
        <f>IF(AND($AD211="V",$AD214="F"),AR211,IF(AND($AD211="F",$AD214="V"),AR214,IF(AND($AD211="V",$AD214="V"),AR211+AR214,0)))</f>
        <v>20</v>
      </c>
      <c r="AS215" s="2097">
        <f>IF(AND($AF211="V",$AF214="F"),AS211,IF(AND($AF211="F",$AF214="V"),AS214,IF(AND($AF211="V",$AF214="V"),AS211+AS214,0)))</f>
        <v>8</v>
      </c>
      <c r="AT215" s="2097">
        <f>IF(AND($AF211="V",$AF214="F"),AT211,IF(AND($AF211="F",$AF214="V"),AT214,IF(AND($AF211="V",$AF214="V"),AT211+AT214,0)))</f>
        <v>44</v>
      </c>
      <c r="AU215" s="2097"/>
      <c r="AV215" s="2097"/>
      <c r="BD215" s="816"/>
      <c r="BE215" s="110"/>
      <c r="BF215" s="477"/>
      <c r="BG215" s="113"/>
      <c r="BH215" s="481"/>
      <c r="BI215" s="113"/>
      <c r="BJ215" s="482"/>
      <c r="BK215" s="478"/>
    </row>
    <row r="216" spans="2:63" ht="32" customHeight="1" x14ac:dyDescent="0.2">
      <c r="B216" s="2030"/>
      <c r="C216" t="s">
        <v>243</v>
      </c>
      <c r="I216" s="146"/>
      <c r="L216" s="46"/>
      <c r="M216" s="46"/>
      <c r="N216" s="46"/>
      <c r="O216" s="1652"/>
      <c r="P216" s="146"/>
      <c r="R216" s="326"/>
      <c r="S216" s="146"/>
      <c r="U216" s="326"/>
      <c r="V216" s="46"/>
      <c r="X216" s="1394"/>
      <c r="Z216" s="1398"/>
      <c r="AB216" s="1402"/>
      <c r="AD216" s="960"/>
      <c r="AE216" s="961"/>
      <c r="AF216" s="960"/>
      <c r="AG216" s="961"/>
      <c r="AH216" s="960"/>
      <c r="AI216" s="961"/>
      <c r="AK216" s="10"/>
      <c r="AL216" s="10"/>
      <c r="AM216" s="10"/>
      <c r="AN216" s="975"/>
      <c r="AO216" s="975"/>
      <c r="AP216" s="975"/>
      <c r="AQ216" s="1806"/>
      <c r="AR216" s="1806"/>
      <c r="AS216" s="1806"/>
      <c r="AT216" s="1806"/>
      <c r="AU216" s="1806"/>
      <c r="AV216" s="1806"/>
      <c r="BD216" s="816"/>
      <c r="BE216" s="110"/>
      <c r="BF216" s="477"/>
      <c r="BG216" s="113"/>
      <c r="BH216" s="481"/>
      <c r="BI216" s="113"/>
      <c r="BJ216" s="482"/>
      <c r="BK216" s="478"/>
    </row>
    <row r="217" spans="2:63" ht="32" customHeight="1" x14ac:dyDescent="0.2">
      <c r="B217" s="2030"/>
      <c r="C217" s="964"/>
      <c r="D217" s="972"/>
      <c r="E217" s="965"/>
      <c r="F217" s="973"/>
      <c r="G217" s="973"/>
      <c r="H217" s="973">
        <f>F217*G217</f>
        <v>0</v>
      </c>
      <c r="I217" s="1647">
        <v>11</v>
      </c>
      <c r="J217" s="1648">
        <v>11</v>
      </c>
      <c r="K217" s="45" t="b">
        <f>IF(AND(F217&gt;=I217,F217&lt;=J217),TRUE,FALSE)</f>
        <v>0</v>
      </c>
      <c r="L217" s="32"/>
      <c r="M217" s="32"/>
      <c r="N217" s="32"/>
      <c r="O217" s="1632"/>
      <c r="P217" s="1647">
        <v>11</v>
      </c>
      <c r="Q217" s="1648">
        <v>11</v>
      </c>
      <c r="R217" s="1623" t="b">
        <f>IF(AND(F217&gt;=P217,F217&lt;=Q217),TRUE,FALSE)</f>
        <v>0</v>
      </c>
      <c r="S217" s="1647">
        <v>11</v>
      </c>
      <c r="T217" s="1648">
        <v>11</v>
      </c>
      <c r="U217" s="1623" t="b">
        <f>IF(AND(F217&gt;=S217,F217&lt;=T217),TRUE,FALSE)</f>
        <v>0</v>
      </c>
      <c r="V217" s="46"/>
      <c r="W217" s="1428"/>
      <c r="X217" s="1422">
        <v>11</v>
      </c>
      <c r="Y217" s="1423"/>
      <c r="Z217" s="1424">
        <v>11</v>
      </c>
      <c r="AA217" s="1423"/>
      <c r="AB217" s="1416">
        <v>11</v>
      </c>
      <c r="AD217" s="960"/>
      <c r="AE217" s="961"/>
      <c r="AF217" s="960"/>
      <c r="AG217" s="961"/>
      <c r="AH217" s="960"/>
      <c r="AI217" s="961"/>
      <c r="AK217" s="10"/>
      <c r="AL217" s="10"/>
      <c r="AM217" s="10"/>
      <c r="AN217" s="975">
        <f>IF($K217=TRUE,H217,0)</f>
        <v>0</v>
      </c>
      <c r="AO217" s="975">
        <f>IF($R217=TRUE,H217,0)</f>
        <v>0</v>
      </c>
      <c r="AP217" s="975">
        <f>IF($U217=TRUE,H217,0)</f>
        <v>0</v>
      </c>
      <c r="AQ217" s="1806">
        <f>IF(I217=11,0,G217*I217)</f>
        <v>0</v>
      </c>
      <c r="AR217" s="1806">
        <f>IF(J217=11,0,G217*J217)</f>
        <v>0</v>
      </c>
      <c r="AS217" s="1806">
        <f>IF(P217=11,0,G217*P217)</f>
        <v>0</v>
      </c>
      <c r="AT217" s="1806">
        <f>IF(Q217=11,0,G217*Q217)</f>
        <v>0</v>
      </c>
      <c r="AU217" s="1806">
        <f>IF(S217=11,0,S217*G217)</f>
        <v>0</v>
      </c>
      <c r="AV217" s="1806">
        <f>IF(T217=11,0,T217*G217)</f>
        <v>0</v>
      </c>
      <c r="BD217" s="816"/>
      <c r="BE217" s="110"/>
      <c r="BF217" s="477"/>
      <c r="BG217" s="113"/>
      <c r="BH217" s="481"/>
      <c r="BI217" s="113"/>
      <c r="BJ217" s="482"/>
      <c r="BK217" s="478"/>
    </row>
    <row r="218" spans="2:63" ht="32" customHeight="1" thickBot="1" x14ac:dyDescent="0.25">
      <c r="B218" s="2030"/>
      <c r="C218" s="964"/>
      <c r="D218" s="972"/>
      <c r="E218" s="965"/>
      <c r="F218" s="973"/>
      <c r="G218" s="973"/>
      <c r="H218" s="973">
        <f>F218*G218</f>
        <v>0</v>
      </c>
      <c r="I218" s="1647">
        <v>11</v>
      </c>
      <c r="J218" s="1648">
        <v>11</v>
      </c>
      <c r="K218" s="45" t="b">
        <f>IF(AND(F218&gt;=I218,F218&lt;=J218),TRUE,FALSE)</f>
        <v>0</v>
      </c>
      <c r="L218" s="32"/>
      <c r="M218" s="32"/>
      <c r="N218" s="32"/>
      <c r="O218" s="1632"/>
      <c r="P218" s="1647">
        <v>11</v>
      </c>
      <c r="Q218" s="1648">
        <v>11</v>
      </c>
      <c r="R218" s="1623" t="b">
        <f>IF(AND(F218&gt;=P218,F218&lt;=Q218),TRUE,FALSE)</f>
        <v>0</v>
      </c>
      <c r="S218" s="1647">
        <v>11</v>
      </c>
      <c r="T218" s="1648">
        <v>11</v>
      </c>
      <c r="U218" s="1623" t="b">
        <f>IF(AND(F218&gt;=S218,F218&lt;=T218),TRUE,FALSE)</f>
        <v>0</v>
      </c>
      <c r="W218" s="1429"/>
      <c r="X218" s="1425">
        <v>11</v>
      </c>
      <c r="Y218" s="1426"/>
      <c r="Z218" s="1427">
        <v>11</v>
      </c>
      <c r="AA218" s="1426"/>
      <c r="AB218" s="1421">
        <v>11</v>
      </c>
      <c r="AD218" s="960"/>
      <c r="AE218" s="961"/>
      <c r="AF218" s="960"/>
      <c r="AG218" s="961"/>
      <c r="AH218" s="960"/>
      <c r="AI218" s="961"/>
      <c r="AK218" s="10"/>
      <c r="AL218" s="10"/>
      <c r="AM218" s="10"/>
      <c r="AN218" s="975">
        <f>IF($K218=TRUE,H218,0)</f>
        <v>0</v>
      </c>
      <c r="AO218" s="975">
        <f>IF($R218=TRUE,H218,0)</f>
        <v>0</v>
      </c>
      <c r="AP218" s="975">
        <f>IF($U218=TRUE,H218,0)</f>
        <v>0</v>
      </c>
      <c r="AQ218" s="1806">
        <f>IF(I218=11,0,G218*I218)</f>
        <v>0</v>
      </c>
      <c r="AR218" s="1806">
        <f>IF(J218=11,0,G218*J218)</f>
        <v>0</v>
      </c>
      <c r="AS218" s="1806">
        <f>IF(P218=11,0,G218*P218)</f>
        <v>0</v>
      </c>
      <c r="AT218" s="1806">
        <f>IF(Q218=11,0,G218*Q218)</f>
        <v>0</v>
      </c>
      <c r="AU218" s="1806">
        <f>IF(S218=11,0,S218*G218)</f>
        <v>0</v>
      </c>
      <c r="AV218" s="1806">
        <f>IF(T218=11,0,T218*G218)</f>
        <v>0</v>
      </c>
      <c r="BD218" s="816"/>
      <c r="BE218" s="110"/>
      <c r="BF218" s="477"/>
      <c r="BG218" s="113"/>
      <c r="BH218" s="481"/>
      <c r="BI218" s="113"/>
      <c r="BJ218" s="482"/>
      <c r="BK218" s="478"/>
    </row>
    <row r="219" spans="2:63" ht="32" customHeight="1" thickBot="1" x14ac:dyDescent="0.35">
      <c r="C219" s="7"/>
      <c r="D219" s="297"/>
      <c r="E219" s="297"/>
      <c r="F219" s="89"/>
      <c r="G219" s="16"/>
      <c r="H219" s="47">
        <f>IF(AND(K217=TRUE,K218=FALSE),H217,IF(AND(K217=FALSE,K218=TRUE),H218,MAX(H217,H218)))</f>
        <v>0</v>
      </c>
      <c r="I219" s="1644"/>
      <c r="J219" s="1645"/>
      <c r="K219" s="1651" t="b">
        <f>IF(AND(K217=FALSE,K218=FALSE),FALSE,TRUE)</f>
        <v>0</v>
      </c>
      <c r="L219" s="1633"/>
      <c r="M219" s="1634"/>
      <c r="N219" s="1634"/>
      <c r="O219" s="1635"/>
      <c r="P219" s="1644"/>
      <c r="Q219" s="1645"/>
      <c r="R219" s="1651" t="b">
        <f>IF(AND(R217=FALSE,R218=FALSE),FALSE,TRUE)</f>
        <v>0</v>
      </c>
      <c r="S219" s="1656"/>
      <c r="T219" s="1657"/>
      <c r="U219" s="1658" t="b">
        <f>IF(AND(U217=FALSE,U218=FALSE),FALSE,TRUE)</f>
        <v>0</v>
      </c>
      <c r="AD219" s="1564" t="str">
        <f>IF(K219=TRUE,"V","F")</f>
        <v>F</v>
      </c>
      <c r="AE219" s="1565"/>
      <c r="AF219" s="1564" t="str">
        <f>IF(R219=TRUE,"V","F")</f>
        <v>F</v>
      </c>
      <c r="AG219" s="1565"/>
      <c r="AH219" s="1564" t="str">
        <f>IF(U219=TRUE,"V","F")</f>
        <v>F</v>
      </c>
      <c r="AI219" s="1565"/>
      <c r="AK219" s="10"/>
      <c r="AL219" s="10"/>
      <c r="AM219" s="10"/>
      <c r="AN219" s="2102">
        <f>IF(AND($K217=TRUE,$K218=FALSE),AN217,IF(AND($K217=FALSE,$K218=TRUE),AN218,MAX(AN217,AN218)))</f>
        <v>0</v>
      </c>
      <c r="AO219" s="2102">
        <f>IF(AND($R217=TRUE,$R218=FALSE),AO217,IF(AND($R217=FALSE,$R218=TRUE),AO218,MAX(AO217,AO218)))</f>
        <v>0</v>
      </c>
      <c r="AP219" s="2102">
        <f>IF(AND($U217=TRUE,$U218=FALSE),AP217,IF(AND($U217=FALSE,$U218=TRUE),AP218,MAX(AP217,AP218)))</f>
        <v>0</v>
      </c>
      <c r="AQ219" s="2102">
        <f>IF(AND($K217=TRUE,$K218=FALSE),AQ217,IF(AND($K217=FALSE,$K218=TRUE),AQ218,MAX(AQ217,AQ218)))</f>
        <v>0</v>
      </c>
      <c r="AR219" s="2102">
        <f>IF(AND($K217=TRUE,$K218=FALSE),AR217,IF(AND($K217=FALSE,$K218=TRUE),AR218,MAX(AR217,AR218)))</f>
        <v>0</v>
      </c>
      <c r="AS219" s="2102">
        <f>IF(AND($R217=TRUE,$R218=FALSE),AS217,IF(AND($R217=FALSE,$R218=TRUE),AS218,MAX(AS217,AS218)))</f>
        <v>0</v>
      </c>
      <c r="AT219" s="2102">
        <f>IF(AND($R217=TRUE,$R218=FALSE),AT217,IF(AND($R217=FALSE,$R218=TRUE),AT218,MAX(AT217,AT218)))</f>
        <v>0</v>
      </c>
      <c r="AU219" s="2102">
        <f>IF(AND($U217=TRUE,$U218=FALSE),AU217,IF(AND($U217=FALSE,$U218=TRUE),AU218,MAX(AU217,AU218)))</f>
        <v>0</v>
      </c>
      <c r="AV219" s="2102">
        <f>IF(AND($U217=TRUE,$U218=FALSE),AV217,IF(AND($U217=FALSE,$U218=TRUE),AV218,MAX(AV217,AV218)))</f>
        <v>0</v>
      </c>
      <c r="BD219" s="816"/>
      <c r="BE219" s="110"/>
      <c r="BF219" s="477"/>
      <c r="BG219" s="113"/>
      <c r="BH219" s="481"/>
      <c r="BI219" s="113"/>
      <c r="BJ219" s="482"/>
      <c r="BK219" s="478"/>
    </row>
    <row r="220" spans="2:63" ht="32" customHeight="1" thickBot="1" x14ac:dyDescent="0.35">
      <c r="D220" s="16"/>
      <c r="E220" s="16"/>
      <c r="F220" s="89"/>
      <c r="G220" s="473"/>
      <c r="H220" s="473"/>
      <c r="I220" s="8"/>
      <c r="J220" s="8"/>
      <c r="K220" s="932"/>
      <c r="L220" s="933"/>
      <c r="M220" s="933"/>
      <c r="N220" s="933"/>
      <c r="O220" s="933"/>
      <c r="P220" s="933"/>
      <c r="Q220" s="933"/>
      <c r="R220" s="933"/>
      <c r="S220" s="933"/>
      <c r="T220" s="933"/>
      <c r="U220" s="933"/>
      <c r="V220" s="933"/>
      <c r="W220" s="933"/>
      <c r="AD220" s="1649"/>
      <c r="AE220" s="1650">
        <f>IF(AND(AD219="V",AD211="V"),AE215-1,AE215)</f>
        <v>1</v>
      </c>
      <c r="AF220" s="1649"/>
      <c r="AG220" s="1650">
        <f>IF(OR(AF211="V",AF214="V",AF219="V"),1,0)</f>
        <v>1</v>
      </c>
      <c r="AH220" s="1649"/>
      <c r="AI220" s="1650">
        <f>IF(AH211="V",1,IF(AH219="V",1,0))</f>
        <v>1</v>
      </c>
      <c r="AK220" s="10">
        <v>1</v>
      </c>
      <c r="AL220" s="10">
        <v>1</v>
      </c>
      <c r="AM220" s="10">
        <v>1</v>
      </c>
      <c r="AN220" s="2101">
        <f>IF($AD219="F",AN215,AN215+AN219)</f>
        <v>8</v>
      </c>
      <c r="AO220" s="2101">
        <f>IF($AF219="F",AO215,AO215+AO219)</f>
        <v>14</v>
      </c>
      <c r="AP220" s="2101">
        <f>IF(AND($AH211="V",$AH219="F"),AP211,IF(AND($AH211="F",$AH219="V"),AP219,IF(AND($AH211="V",$AH219="V"),AP211+AP219,0)))</f>
        <v>8</v>
      </c>
      <c r="AQ220" s="2101">
        <f>IF($AD219="F",AQ215,AQ215+AQ219)</f>
        <v>8</v>
      </c>
      <c r="AR220" s="2101">
        <f t="shared" ref="AR220" si="190">IF($AD219="F",AR215,AR215+AR219)</f>
        <v>20</v>
      </c>
      <c r="AS220" s="2101">
        <f t="shared" ref="AS220" si="191">IF($AF219="F",AS215,AS215+AS219)</f>
        <v>8</v>
      </c>
      <c r="AT220" s="2101">
        <f t="shared" ref="AT220" si="192">IF($AF219="F",AT215,AT215+AT219)</f>
        <v>44</v>
      </c>
      <c r="AU220" s="2101">
        <f t="shared" ref="AU220" si="193">IF(AND($AH211="V",$AH219="F"),AU211,IF(AND($AH211="F",$AH219="V"),AU219,IF(AND($AH211="V",$AH219="V"),AU211+AU219,0)))</f>
        <v>4</v>
      </c>
      <c r="AV220" s="2101">
        <f t="shared" ref="AV220" si="194">IF(AND($AH211="V",$AH219="F"),AV211,IF(AND($AH211="F",$AH219="V"),AV219,IF(AND($AH211="V",$AH219="V"),AV211+AV219,0)))</f>
        <v>14</v>
      </c>
      <c r="BD220" s="816"/>
      <c r="BE220" s="110"/>
      <c r="BF220" s="477"/>
      <c r="BG220" s="113"/>
      <c r="BH220" s="481"/>
      <c r="BI220" s="113"/>
      <c r="BJ220" s="482"/>
      <c r="BK220" s="478"/>
    </row>
    <row r="221" spans="2:63" ht="32" customHeight="1" x14ac:dyDescent="0.3">
      <c r="D221" s="16"/>
      <c r="E221" s="16"/>
      <c r="F221" s="89"/>
      <c r="G221" s="473"/>
      <c r="H221" s="473"/>
      <c r="I221" s="1616"/>
      <c r="J221" s="1617"/>
      <c r="K221" s="1618"/>
      <c r="L221" s="2268"/>
      <c r="M221" s="2268"/>
      <c r="N221" s="2268"/>
      <c r="O221" s="1619"/>
      <c r="P221" s="1636"/>
      <c r="Q221" s="1618"/>
      <c r="R221" s="1619"/>
      <c r="S221" s="1636"/>
      <c r="T221" s="1618"/>
      <c r="U221" s="1619"/>
      <c r="V221" s="170"/>
      <c r="W221" s="170"/>
      <c r="AD221" s="1668"/>
      <c r="AE221" s="1669"/>
      <c r="AF221" s="1409"/>
      <c r="AG221" s="1409"/>
      <c r="AH221" s="1409"/>
      <c r="AI221" s="1409"/>
      <c r="AK221" s="10"/>
      <c r="AL221" s="10"/>
      <c r="AM221" s="10"/>
      <c r="BD221" s="816"/>
      <c r="BE221" s="110"/>
      <c r="BF221" s="477"/>
      <c r="BG221" s="113"/>
      <c r="BH221" s="481"/>
      <c r="BI221" s="113"/>
      <c r="BJ221" s="482"/>
      <c r="BK221" s="478"/>
    </row>
    <row r="222" spans="2:63" ht="32" customHeight="1" x14ac:dyDescent="0.3">
      <c r="B222" s="2029">
        <v>11</v>
      </c>
      <c r="D222" s="476" t="str">
        <f>'Action-Réaction finale'!F37</f>
        <v>La nouvelle famille est "LA vraie"</v>
      </c>
      <c r="E222" s="107"/>
      <c r="F222" s="65"/>
      <c r="G222" s="18"/>
      <c r="H222" s="18"/>
      <c r="I222" s="2255" t="s">
        <v>734</v>
      </c>
      <c r="J222" s="2256"/>
      <c r="K222" s="2256"/>
      <c r="L222" s="2257" t="s">
        <v>1378</v>
      </c>
      <c r="M222" s="2257"/>
      <c r="N222" s="2257"/>
      <c r="O222" s="2258"/>
      <c r="P222" s="2259" t="s">
        <v>733</v>
      </c>
      <c r="Q222" s="2260"/>
      <c r="R222" s="2261"/>
      <c r="S222" s="2262" t="s">
        <v>735</v>
      </c>
      <c r="T222" s="2263"/>
      <c r="U222" s="2264"/>
      <c r="V222" s="15"/>
      <c r="W222" s="15"/>
      <c r="AD222" s="956"/>
      <c r="AE222" s="956"/>
      <c r="AF222" s="956"/>
      <c r="AG222" s="956"/>
      <c r="AH222" s="956"/>
      <c r="AI222" s="957"/>
      <c r="AK222" s="10"/>
      <c r="AL222" s="10"/>
      <c r="AM222" s="10"/>
      <c r="AN222" s="1659" t="s">
        <v>734</v>
      </c>
      <c r="AO222" s="1659" t="s">
        <v>733</v>
      </c>
      <c r="AP222" s="1659" t="s">
        <v>735</v>
      </c>
      <c r="AQ222" s="2254" t="s">
        <v>734</v>
      </c>
      <c r="AR222" s="2254"/>
      <c r="AS222" s="2254" t="s">
        <v>733</v>
      </c>
      <c r="AT222" s="2254"/>
      <c r="AU222" s="2254" t="s">
        <v>735</v>
      </c>
      <c r="AV222" s="2254"/>
      <c r="BD222" s="816"/>
      <c r="BE222" s="110"/>
      <c r="BF222" s="477"/>
      <c r="BG222" s="113"/>
      <c r="BH222" s="481"/>
      <c r="BI222" s="113"/>
      <c r="BJ222" s="482"/>
      <c r="BK222" s="478"/>
    </row>
    <row r="223" spans="2:63" ht="32" customHeight="1" x14ac:dyDescent="0.3">
      <c r="D223" s="102" t="s">
        <v>998</v>
      </c>
      <c r="E223" s="983" t="s">
        <v>997</v>
      </c>
      <c r="F223" s="32" t="s">
        <v>748</v>
      </c>
      <c r="G223" s="32" t="s">
        <v>749</v>
      </c>
      <c r="H223" s="32" t="s">
        <v>750</v>
      </c>
      <c r="I223" s="1620" t="s">
        <v>306</v>
      </c>
      <c r="J223" s="43" t="s">
        <v>307</v>
      </c>
      <c r="K223" s="43" t="s">
        <v>308</v>
      </c>
      <c r="L223" s="43" t="s">
        <v>413</v>
      </c>
      <c r="M223" s="43" t="s">
        <v>388</v>
      </c>
      <c r="N223" s="43" t="s">
        <v>389</v>
      </c>
      <c r="O223" s="1621" t="s">
        <v>390</v>
      </c>
      <c r="P223" s="1620" t="s">
        <v>306</v>
      </c>
      <c r="Q223" s="43" t="s">
        <v>307</v>
      </c>
      <c r="R223" s="1621" t="s">
        <v>308</v>
      </c>
      <c r="S223" s="1620" t="s">
        <v>306</v>
      </c>
      <c r="T223" s="43" t="s">
        <v>307</v>
      </c>
      <c r="U223" s="1621" t="s">
        <v>308</v>
      </c>
      <c r="V223" s="818"/>
      <c r="W223" s="955" t="s">
        <v>928</v>
      </c>
      <c r="X223" s="1391" t="s">
        <v>734</v>
      </c>
      <c r="Y223" s="955" t="s">
        <v>928</v>
      </c>
      <c r="Z223" s="1395" t="s">
        <v>733</v>
      </c>
      <c r="AA223" s="955"/>
      <c r="AB223" s="1399" t="s">
        <v>735</v>
      </c>
      <c r="AD223" s="970" t="s">
        <v>734</v>
      </c>
      <c r="AE223" s="971" t="s">
        <v>946</v>
      </c>
      <c r="AF223" s="970" t="s">
        <v>733</v>
      </c>
      <c r="AG223" s="971" t="s">
        <v>947</v>
      </c>
      <c r="AH223" s="970" t="s">
        <v>735</v>
      </c>
      <c r="AI223" s="971" t="s">
        <v>948</v>
      </c>
      <c r="AK223" s="10"/>
      <c r="AL223" s="10"/>
      <c r="AM223" s="10"/>
      <c r="AN223" s="10"/>
      <c r="AO223" s="10"/>
      <c r="AP223" s="10"/>
      <c r="AQ223" s="1806" t="s">
        <v>1322</v>
      </c>
      <c r="AR223" s="1806" t="s">
        <v>1323</v>
      </c>
      <c r="AS223" s="1806" t="s">
        <v>1322</v>
      </c>
      <c r="AT223" s="1806" t="s">
        <v>1323</v>
      </c>
      <c r="AU223" s="1806" t="s">
        <v>1322</v>
      </c>
      <c r="AV223" s="1806" t="s">
        <v>1323</v>
      </c>
      <c r="BD223" s="816"/>
      <c r="BE223" s="110"/>
      <c r="BF223" s="477"/>
      <c r="BG223" s="113"/>
      <c r="BH223" s="481"/>
      <c r="BI223" s="113"/>
      <c r="BJ223" s="482"/>
      <c r="BK223" s="478"/>
    </row>
    <row r="224" spans="2:63" ht="38" customHeight="1" x14ac:dyDescent="0.2">
      <c r="B224" s="2030" t="str">
        <f>'Action-Réaction finale'!I37</f>
        <v>D: Dénigrement</v>
      </c>
      <c r="C224" s="414" t="str">
        <f>'Action-Réaction finale'!G37</f>
        <v>PFA15</v>
      </c>
      <c r="D224" s="26" t="str">
        <f>Test_Bible!B191</f>
        <v>L'autre parent laisse entendre qu'il ou elle représente la vraie famille de votre enfant.</v>
      </c>
      <c r="E224" s="101" t="s">
        <v>772</v>
      </c>
      <c r="F224" s="790">
        <f>Test_Bible!P191</f>
        <v>1</v>
      </c>
      <c r="G224" s="789">
        <f>Test_Bible!D191</f>
        <v>2</v>
      </c>
      <c r="H224" s="790">
        <f>F224*G224</f>
        <v>2</v>
      </c>
      <c r="I224" s="1622">
        <v>4</v>
      </c>
      <c r="J224" s="1615">
        <v>10</v>
      </c>
      <c r="K224" s="45" t="b">
        <f>IF(AND(F224&gt;=I224,F224&lt;=J224),TRUE,FALSE)</f>
        <v>0</v>
      </c>
      <c r="L224" s="45"/>
      <c r="M224" s="45"/>
      <c r="N224" s="45"/>
      <c r="O224" s="1623"/>
      <c r="P224" s="1622">
        <v>2</v>
      </c>
      <c r="Q224" s="1615">
        <v>4</v>
      </c>
      <c r="R224" s="1623" t="b">
        <f>IF(AND(F224&gt;=P224,F224&lt;=Q224),TRUE,FALSE)</f>
        <v>0</v>
      </c>
      <c r="S224" s="1622">
        <v>4</v>
      </c>
      <c r="T224" s="1615">
        <v>7</v>
      </c>
      <c r="U224" s="1623" t="b">
        <f>IF(AND(F224&gt;=S224,F224&lt;=T224),TRUE,FALSE)</f>
        <v>0</v>
      </c>
      <c r="V224" s="931"/>
      <c r="W224" s="1403"/>
      <c r="X224" s="1404">
        <v>4</v>
      </c>
      <c r="Y224" s="1405"/>
      <c r="Z224" s="1408">
        <v>2</v>
      </c>
      <c r="AA224" s="1405"/>
      <c r="AB224" s="1415">
        <v>2</v>
      </c>
      <c r="AD224" s="958"/>
      <c r="AE224" s="959"/>
      <c r="AF224" s="958"/>
      <c r="AG224" s="959"/>
      <c r="AH224" s="958"/>
      <c r="AI224" s="959"/>
      <c r="AK224" s="10"/>
      <c r="AL224" s="10"/>
      <c r="AM224" s="10"/>
      <c r="AN224" s="975">
        <f>IF($K224=TRUE,H224,0)</f>
        <v>0</v>
      </c>
      <c r="AO224" s="975">
        <f>IF($R224=TRUE,H224,0)</f>
        <v>0</v>
      </c>
      <c r="AP224" s="975">
        <f>IF($U224=TRUE,H224,0)</f>
        <v>0</v>
      </c>
      <c r="AQ224" s="1806">
        <f>IF(I224=11,0,G224*I224)</f>
        <v>8</v>
      </c>
      <c r="AR224" s="1806">
        <f>IF(J224=11,0,G224*J224)</f>
        <v>20</v>
      </c>
      <c r="AS224" s="1806">
        <f>IF(P224=11,0,G224*P224)</f>
        <v>4</v>
      </c>
      <c r="AT224" s="1806">
        <f>IF(Q224=11,0,G224*Q224)</f>
        <v>8</v>
      </c>
      <c r="AU224" s="1806">
        <f>IF(S224=11,0,S224*G224)</f>
        <v>8</v>
      </c>
      <c r="AV224" s="1806">
        <f>IF(T224=11,0,T224*G224)</f>
        <v>14</v>
      </c>
      <c r="BD224" s="816"/>
      <c r="BE224" s="110"/>
      <c r="BF224" s="477"/>
      <c r="BG224" s="113"/>
      <c r="BH224" s="481"/>
      <c r="BI224" s="113"/>
      <c r="BJ224" s="482"/>
      <c r="BK224" s="478"/>
    </row>
    <row r="225" spans="2:63" ht="32" customHeight="1" x14ac:dyDescent="0.2">
      <c r="B225" s="1847"/>
      <c r="C225" s="414" t="s">
        <v>293</v>
      </c>
      <c r="D225" s="26"/>
      <c r="E225" s="101"/>
      <c r="F225" s="790"/>
      <c r="G225" s="789"/>
      <c r="H225" s="790">
        <f>F225*G225</f>
        <v>0</v>
      </c>
      <c r="I225" s="1647">
        <v>11</v>
      </c>
      <c r="J225" s="1648">
        <v>11</v>
      </c>
      <c r="K225" s="45" t="b">
        <f>IF(AND(F225&gt;=I225,F225&lt;=J225),TRUE,FALSE)</f>
        <v>0</v>
      </c>
      <c r="L225" s="45"/>
      <c r="M225" s="45"/>
      <c r="N225" s="45"/>
      <c r="O225" s="1623"/>
      <c r="P225" s="1647">
        <v>11</v>
      </c>
      <c r="Q225" s="1648">
        <v>11</v>
      </c>
      <c r="R225" s="1623" t="b">
        <f>IF(AND(F225&gt;=P225,F225&lt;=Q225),TRUE,FALSE)</f>
        <v>0</v>
      </c>
      <c r="S225" s="1647">
        <v>11</v>
      </c>
      <c r="T225" s="1648">
        <v>11</v>
      </c>
      <c r="U225" s="1623" t="b">
        <f>IF(AND(F225&gt;=S225,F225&lt;=T225),TRUE,FALSE)</f>
        <v>0</v>
      </c>
      <c r="V225" s="931"/>
      <c r="W225" s="1406" t="s">
        <v>943</v>
      </c>
      <c r="X225" s="1425">
        <v>11</v>
      </c>
      <c r="Y225" s="1426"/>
      <c r="Z225" s="1427">
        <v>11</v>
      </c>
      <c r="AA225" s="1426"/>
      <c r="AB225" s="1421">
        <v>11</v>
      </c>
      <c r="AD225" s="960"/>
      <c r="AE225" s="961"/>
      <c r="AF225" s="960"/>
      <c r="AG225" s="961"/>
      <c r="AH225" s="960"/>
      <c r="AI225" s="961"/>
      <c r="AK225" s="10"/>
      <c r="AL225" s="10"/>
      <c r="AM225" s="10"/>
      <c r="AN225" s="975">
        <f>IF($K225=TRUE,H225,0)</f>
        <v>0</v>
      </c>
      <c r="AO225" s="975">
        <f>IF($R225=TRUE,H225,0)</f>
        <v>0</v>
      </c>
      <c r="AP225" s="975">
        <f>IF($U225=TRUE,H225,0)</f>
        <v>0</v>
      </c>
      <c r="AQ225" s="1806">
        <f>IF(I225=11,0,G225*I225)</f>
        <v>0</v>
      </c>
      <c r="AR225" s="1806">
        <f>IF(J225=11,0,G225*J225)</f>
        <v>0</v>
      </c>
      <c r="AS225" s="1806">
        <f>IF(P225=11,0,G225*P225)</f>
        <v>0</v>
      </c>
      <c r="AT225" s="1806">
        <f>IF(Q225=11,0,G225*Q225)</f>
        <v>0</v>
      </c>
      <c r="AU225" s="1806">
        <f>IF(S225=11,0,S225*G225)</f>
        <v>0</v>
      </c>
      <c r="AV225" s="1806">
        <f>IF(T225=11,0,T225*G225)</f>
        <v>0</v>
      </c>
      <c r="BD225" s="816"/>
      <c r="BE225" s="110"/>
      <c r="BF225" s="477"/>
      <c r="BG225" s="113"/>
      <c r="BH225" s="481"/>
      <c r="BI225" s="113"/>
      <c r="BJ225" s="482"/>
      <c r="BK225" s="478"/>
    </row>
    <row r="226" spans="2:63" ht="32" customHeight="1" x14ac:dyDescent="0.2">
      <c r="B226" s="2032"/>
      <c r="C226" s="792" t="s">
        <v>745</v>
      </c>
      <c r="D226" s="793" t="str">
        <f>_xlfn.XLOOKUP(H226,H224:H225,D224:D225)</f>
        <v>L'autre parent laisse entendre qu'il ou elle représente la vraie famille de votre enfant.</v>
      </c>
      <c r="E226" s="794" t="str">
        <f>_xlfn.XLOOKUP(H226,H224:H225,E224:E225)</f>
        <v>laisse entendre que la vraie famille est celle de l'autre parent</v>
      </c>
      <c r="F226" s="795"/>
      <c r="G226" s="795"/>
      <c r="H226" s="795">
        <f>IF(AND(K224=TRUE,K225=FALSE),H224,IF(AND(K224=FALSE,K225=TRUE),H225,MAX(H224,H225)))</f>
        <v>2</v>
      </c>
      <c r="I226" s="1624"/>
      <c r="J226" s="796"/>
      <c r="K226" s="797" t="b">
        <f>IF(AND(K224=FALSE,K225=FALSE),FALSE,TRUE)</f>
        <v>0</v>
      </c>
      <c r="L226" s="45"/>
      <c r="M226" s="45"/>
      <c r="N226" s="45"/>
      <c r="O226" s="1623"/>
      <c r="P226" s="1624"/>
      <c r="Q226" s="796"/>
      <c r="R226" s="1637" t="b">
        <f>IF(AND(R224=FALSE,R225=FALSE),FALSE,TRUE)</f>
        <v>0</v>
      </c>
      <c r="S226" s="1624"/>
      <c r="T226" s="796"/>
      <c r="U226" s="1637" t="b">
        <f>IF(AND(U224=FALSE,U225=FALSE),FALSE,TRUE)</f>
        <v>0</v>
      </c>
      <c r="V226" s="931"/>
      <c r="W226" s="931" t="s">
        <v>943</v>
      </c>
      <c r="X226" s="1392"/>
      <c r="Y226" s="8"/>
      <c r="Z226" s="1397"/>
      <c r="AA226" s="8"/>
      <c r="AB226" s="1400"/>
      <c r="AD226" s="960"/>
      <c r="AE226" s="961"/>
      <c r="AF226" s="960"/>
      <c r="AG226" s="961"/>
      <c r="AH226" s="960"/>
      <c r="AI226" s="961"/>
      <c r="AK226" s="10"/>
      <c r="AL226" s="10"/>
      <c r="AM226" s="10"/>
      <c r="AN226" s="2100">
        <f>IF($K226=TRUE,MAX(AN224:AN225),0)</f>
        <v>0</v>
      </c>
      <c r="AO226" s="2100">
        <f>IF($R226=TRUE,MAX(AO224:AO225),0)</f>
        <v>0</v>
      </c>
      <c r="AP226" s="2100">
        <f>IF($U226=TRUE,MAX(AP224:AP225),0)</f>
        <v>0</v>
      </c>
      <c r="AQ226" s="2099">
        <f>MAX(AQ224:AQ225)</f>
        <v>8</v>
      </c>
      <c r="AR226" s="2099">
        <f t="shared" ref="AR226" si="195">MAX(AR224:AR225)</f>
        <v>20</v>
      </c>
      <c r="AS226" s="2099">
        <f t="shared" ref="AS226" si="196">MAX(AS224:AS225)</f>
        <v>4</v>
      </c>
      <c r="AT226" s="2099">
        <f t="shared" ref="AT226" si="197">MAX(AT224:AT225)</f>
        <v>8</v>
      </c>
      <c r="AU226" s="2099">
        <f t="shared" ref="AU226" si="198">MAX(AU224:AU225)</f>
        <v>8</v>
      </c>
      <c r="AV226" s="2099">
        <f t="shared" ref="AV226" si="199">MAX(AV224:AV225)</f>
        <v>14</v>
      </c>
      <c r="BD226" s="816"/>
      <c r="BE226" s="110"/>
      <c r="BF226" s="477"/>
      <c r="BG226" s="113"/>
      <c r="BH226" s="481"/>
      <c r="BI226" s="113"/>
      <c r="BJ226" s="482"/>
      <c r="BK226" s="478"/>
    </row>
    <row r="227" spans="2:63" ht="32" customHeight="1" x14ac:dyDescent="0.2">
      <c r="B227" s="1847"/>
      <c r="C227" s="52" t="s">
        <v>247</v>
      </c>
      <c r="D227" s="26"/>
      <c r="E227" s="101"/>
      <c r="F227" s="790"/>
      <c r="G227" s="789"/>
      <c r="H227" s="790">
        <f>F227*G227</f>
        <v>0</v>
      </c>
      <c r="I227" s="1647">
        <v>11</v>
      </c>
      <c r="J227" s="1648">
        <v>11</v>
      </c>
      <c r="K227" s="45" t="b">
        <f>IF(AND(F227&gt;=I227,F227&lt;=J227),TRUE,FALSE)</f>
        <v>0</v>
      </c>
      <c r="L227" s="45"/>
      <c r="M227" s="45"/>
      <c r="N227" s="45"/>
      <c r="O227" s="1623"/>
      <c r="P227" s="1647">
        <v>11</v>
      </c>
      <c r="Q227" s="1648">
        <v>11</v>
      </c>
      <c r="R227" s="1623" t="b">
        <f>IF(AND(F227&gt;=P227,F227&lt;=Q227),TRUE,FALSE)</f>
        <v>0</v>
      </c>
      <c r="S227" s="1647">
        <v>11</v>
      </c>
      <c r="T227" s="1648">
        <v>11</v>
      </c>
      <c r="U227" s="1623" t="b">
        <f>IF(AND(F227&gt;=S227,F227&lt;=T227),TRUE,FALSE)</f>
        <v>0</v>
      </c>
      <c r="V227" s="931"/>
      <c r="W227" s="1403"/>
      <c r="X227" s="1422">
        <v>11</v>
      </c>
      <c r="Y227" s="1423"/>
      <c r="Z227" s="1424">
        <v>11</v>
      </c>
      <c r="AA227" s="1423"/>
      <c r="AB227" s="1416">
        <v>11</v>
      </c>
      <c r="AD227" s="960"/>
      <c r="AE227" s="961"/>
      <c r="AF227" s="960"/>
      <c r="AG227" s="961"/>
      <c r="AH227" s="960"/>
      <c r="AI227" s="961"/>
      <c r="AK227" s="10"/>
      <c r="AL227" s="10"/>
      <c r="AM227" s="10"/>
      <c r="AN227" s="975">
        <f>IF(K227=TRUE,H227,0)</f>
        <v>0</v>
      </c>
      <c r="AO227" s="975">
        <f>IF(R227=TRUE,H227,0)</f>
        <v>0</v>
      </c>
      <c r="AP227" s="975">
        <f>IF(U227=TRUE,H227,0)</f>
        <v>0</v>
      </c>
      <c r="AQ227" s="1806">
        <f>IF(I227=11,0,G227*I227)</f>
        <v>0</v>
      </c>
      <c r="AR227" s="1806">
        <f>IF(J227=11,0,G227*J227)</f>
        <v>0</v>
      </c>
      <c r="AS227" s="1806">
        <f>IF(P227=11,0,G227*P227)</f>
        <v>0</v>
      </c>
      <c r="AT227" s="1806">
        <f>IF(Q227=11,0,G227*Q227)</f>
        <v>0</v>
      </c>
      <c r="AU227" s="1806">
        <f>IF(S227=11,0,S227*G227)</f>
        <v>0</v>
      </c>
      <c r="AV227" s="1806">
        <f>IF(T227=11,0,T227*G227)</f>
        <v>0</v>
      </c>
      <c r="BD227" s="816"/>
      <c r="BE227" s="110"/>
      <c r="BF227" s="477"/>
      <c r="BG227" s="113"/>
      <c r="BH227" s="481"/>
      <c r="BI227" s="113"/>
      <c r="BJ227" s="482"/>
      <c r="BK227" s="478"/>
    </row>
    <row r="228" spans="2:63" ht="32" customHeight="1" x14ac:dyDescent="0.2">
      <c r="B228" s="2030"/>
      <c r="C228" s="52" t="s">
        <v>247</v>
      </c>
      <c r="D228" s="26"/>
      <c r="E228" s="62"/>
      <c r="F228" s="35"/>
      <c r="G228" s="35"/>
      <c r="H228" s="35">
        <f>F228*G228</f>
        <v>0</v>
      </c>
      <c r="I228" s="1647">
        <v>11</v>
      </c>
      <c r="J228" s="1648">
        <v>11</v>
      </c>
      <c r="K228" s="45" t="b">
        <f>IF(AND(F228&gt;=I228,F228&lt;=J228),TRUE,FALSE)</f>
        <v>0</v>
      </c>
      <c r="L228" s="45"/>
      <c r="M228" s="45"/>
      <c r="N228" s="45"/>
      <c r="O228" s="1623"/>
      <c r="P228" s="1647">
        <v>11</v>
      </c>
      <c r="Q228" s="1648">
        <v>11</v>
      </c>
      <c r="R228" s="1623" t="b">
        <f>IF(AND(F228&gt;=P228,F228&lt;=Q228),TRUE,FALSE)</f>
        <v>0</v>
      </c>
      <c r="S228" s="1647">
        <v>11</v>
      </c>
      <c r="T228" s="1648">
        <v>11</v>
      </c>
      <c r="U228" s="1623" t="b">
        <f>IF(AND(F228&gt;=S228,F228&lt;=T228),TRUE,FALSE)</f>
        <v>0</v>
      </c>
      <c r="V228" s="931"/>
      <c r="W228" s="1406" t="s">
        <v>943</v>
      </c>
      <c r="X228" s="1425">
        <v>11</v>
      </c>
      <c r="Y228" s="1426"/>
      <c r="Z228" s="1427">
        <v>11</v>
      </c>
      <c r="AA228" s="1426"/>
      <c r="AB228" s="1421">
        <v>11</v>
      </c>
      <c r="AD228" s="960"/>
      <c r="AE228" s="961"/>
      <c r="AF228" s="960"/>
      <c r="AG228" s="961"/>
      <c r="AH228" s="960"/>
      <c r="AI228" s="961"/>
      <c r="AK228" s="10"/>
      <c r="AL228" s="10"/>
      <c r="AM228" s="10"/>
      <c r="AN228" s="975">
        <f>IF(K228=TRUE,H228,0)</f>
        <v>0</v>
      </c>
      <c r="AO228" s="975">
        <f>IF(R228=TRUE,H228,0)</f>
        <v>0</v>
      </c>
      <c r="AP228" s="975">
        <f>IF(U228=TRUE,H228,0)</f>
        <v>0</v>
      </c>
      <c r="AQ228" s="1806">
        <f>IF(I228=11,0,G228*I228)</f>
        <v>0</v>
      </c>
      <c r="AR228" s="1806">
        <f>IF(J228=11,0,G228*J228)</f>
        <v>0</v>
      </c>
      <c r="AS228" s="1806">
        <f>IF(P228=11,0,G228*P228)</f>
        <v>0</v>
      </c>
      <c r="AT228" s="1806">
        <f>IF(Q228=11,0,G228*Q228)</f>
        <v>0</v>
      </c>
      <c r="AU228" s="1806">
        <f>IF(S228=11,0,S228*G228)</f>
        <v>0</v>
      </c>
      <c r="AV228" s="1806">
        <f>IF(T228=11,0,T228*G228)</f>
        <v>0</v>
      </c>
      <c r="BC228" s="7"/>
      <c r="BD228" s="816"/>
      <c r="BE228" s="110"/>
      <c r="BF228" s="477"/>
      <c r="BG228" s="113"/>
      <c r="BH228" s="481"/>
      <c r="BI228" s="113"/>
      <c r="BJ228" s="482"/>
      <c r="BK228" s="478"/>
    </row>
    <row r="229" spans="2:63" ht="32" customHeight="1" thickBot="1" x14ac:dyDescent="0.25">
      <c r="B229" s="2030"/>
      <c r="C229" s="798" t="s">
        <v>746</v>
      </c>
      <c r="D229" s="799">
        <f>_xlfn.XLOOKUP(H229,H227:H228,D227:D228)</f>
        <v>0</v>
      </c>
      <c r="E229" s="800">
        <f>_xlfn.XLOOKUP(H229,H227:H228,E227:E228)</f>
        <v>0</v>
      </c>
      <c r="F229" s="801"/>
      <c r="G229" s="801"/>
      <c r="H229" s="795">
        <f>IF(AND(K227=TRUE,K228=FALSE),H227,IF(AND(K227=FALSE,K228=TRUE),H228,MAX(H227,H228)))</f>
        <v>0</v>
      </c>
      <c r="I229" s="1625"/>
      <c r="J229" s="802"/>
      <c r="K229" s="803" t="b">
        <f>IF(AND(K227=FALSE,K228=FALSE),FALSE,TRUE)</f>
        <v>0</v>
      </c>
      <c r="L229" s="45"/>
      <c r="M229" s="45"/>
      <c r="N229" s="45"/>
      <c r="O229" s="1623"/>
      <c r="P229" s="1625"/>
      <c r="Q229" s="802"/>
      <c r="R229" s="1638" t="b">
        <f>IF(AND(R227=FALSE,R228=FALSE),FALSE,TRUE)</f>
        <v>0</v>
      </c>
      <c r="S229" s="1625"/>
      <c r="T229" s="802"/>
      <c r="U229" s="1638" t="b">
        <f>IF(AND(U227=FALSE,U228=FALSE),FALSE,TRUE)</f>
        <v>0</v>
      </c>
      <c r="V229" s="931"/>
      <c r="W229" s="931"/>
      <c r="X229" s="1392"/>
      <c r="Y229" s="8"/>
      <c r="Z229" s="1397"/>
      <c r="AA229" s="8"/>
      <c r="AB229" s="1400"/>
      <c r="AD229" s="960"/>
      <c r="AE229" s="961"/>
      <c r="AF229" s="960"/>
      <c r="AG229" s="961"/>
      <c r="AH229" s="960"/>
      <c r="AI229" s="961"/>
      <c r="AK229" s="10"/>
      <c r="AL229" s="10"/>
      <c r="AM229" s="10"/>
      <c r="AN229" s="2100">
        <f>IF($K229=TRUE,MAX(AN227:AN228),0)</f>
        <v>0</v>
      </c>
      <c r="AO229" s="2100">
        <f>IF($R229=TRUE,MAX(AO227:AO228),0)</f>
        <v>0</v>
      </c>
      <c r="AP229" s="2100">
        <f>IF($U229=TRUE,MAX(AP227:AP228),0)</f>
        <v>0</v>
      </c>
      <c r="AQ229" s="2099">
        <f>MAX(AQ227:AQ228)</f>
        <v>0</v>
      </c>
      <c r="AR229" s="2099">
        <f t="shared" ref="AR229" si="200">MAX(AR227:AR228)</f>
        <v>0</v>
      </c>
      <c r="AS229" s="2099">
        <f t="shared" ref="AS229" si="201">MAX(AS227:AS228)</f>
        <v>0</v>
      </c>
      <c r="AT229" s="2099">
        <f t="shared" ref="AT229" si="202">MAX(AT227:AT228)</f>
        <v>0</v>
      </c>
      <c r="AU229" s="2099">
        <f t="shared" ref="AU229" si="203">MAX(AU227:AU228)</f>
        <v>0</v>
      </c>
      <c r="AV229" s="2099">
        <f t="shared" ref="AV229" si="204">MAX(AV227:AV228)</f>
        <v>0</v>
      </c>
      <c r="BC229" s="7"/>
      <c r="BD229" s="816"/>
      <c r="BE229" s="110"/>
      <c r="BF229" s="477"/>
      <c r="BG229" s="113"/>
      <c r="BH229" s="481"/>
      <c r="BI229" s="113"/>
      <c r="BJ229" s="482"/>
      <c r="BK229" s="478"/>
    </row>
    <row r="230" spans="2:63" ht="32" customHeight="1" thickBot="1" x14ac:dyDescent="0.25">
      <c r="B230" s="2030"/>
      <c r="C230" s="804" t="s">
        <v>754</v>
      </c>
      <c r="D230" s="805"/>
      <c r="E230" s="805" t="str">
        <f>IF(H230=H226,E226,E229)</f>
        <v>laisse entendre que la vraie famille est celle de l'autre parent</v>
      </c>
      <c r="F230" s="806"/>
      <c r="G230" s="806"/>
      <c r="H230" s="806">
        <f>IF(AND(K226=TRUE,K229=FALSE),H226,IF(AND(K226=FALSE,K229=TRUE),H229,IF(AND(K226=TRUE,K229=TRUE),H226+H229,MAX(H226,H229))))</f>
        <v>2</v>
      </c>
      <c r="I230" s="1626"/>
      <c r="J230" s="807"/>
      <c r="K230" s="808" t="b">
        <f>IF(AND(K226=FALSE,K229=FALSE),FALSE,TRUE)</f>
        <v>0</v>
      </c>
      <c r="L230" s="1610"/>
      <c r="M230" s="1610"/>
      <c r="N230" s="1610"/>
      <c r="O230" s="1627"/>
      <c r="P230" s="1626"/>
      <c r="Q230" s="807"/>
      <c r="R230" s="808" t="b">
        <f>IF(AND(R226=FALSE,R229=FALSE),FALSE,TRUE)</f>
        <v>0</v>
      </c>
      <c r="S230" s="1626"/>
      <c r="T230" s="807"/>
      <c r="U230" s="808" t="b">
        <f>IF(AND(U226=FALSE,U229=FALSE),FALSE,TRUE)</f>
        <v>0</v>
      </c>
      <c r="V230" s="931"/>
      <c r="W230" s="931" t="s">
        <v>942</v>
      </c>
      <c r="X230" s="1392"/>
      <c r="Y230" s="8"/>
      <c r="Z230" s="1397"/>
      <c r="AA230" s="8"/>
      <c r="AB230" s="1400"/>
      <c r="AD230" s="960" t="str">
        <f>IF(K230=TRUE,"V","F")</f>
        <v>F</v>
      </c>
      <c r="AE230" s="961"/>
      <c r="AF230" s="960" t="str">
        <f>IF(R230=TRUE,"V","F")</f>
        <v>F</v>
      </c>
      <c r="AG230" s="961"/>
      <c r="AH230" s="960" t="str">
        <f>IF(U230=TRUE,"V","F")</f>
        <v>F</v>
      </c>
      <c r="AI230" s="961"/>
      <c r="AJ230" t="str">
        <f>IF(OR(AD230="V",AF230="V"),IF(H229&gt;H226,"Le NC contribue plus que le coparent","Le coparent joue un plus grand rôle que le NC"),"pas de contexte significatif de la part du coparent et NC")</f>
        <v>pas de contexte significatif de la part du coparent et NC</v>
      </c>
      <c r="AK230" s="10"/>
      <c r="AL230" s="10"/>
      <c r="AM230" s="10"/>
      <c r="AN230" s="631">
        <f>IF(AND($K226=TRUE,$K229=FALSE),AN226,IF(AND($K226=FALSE,$K229=TRUE),AN229,IF(AND($K226=TRUE,$K229=TRUE),AN226+AN229,0)))</f>
        <v>0</v>
      </c>
      <c r="AO230" s="631">
        <f>IF(AND($R226=TRUE,$R229=FALSE),AO226,IF(AND($R226=FALSE,$R229=TRUE),AO229,IF(AND($R226=TRUE,$R229=TRUE),AO226+AO229,0)))</f>
        <v>0</v>
      </c>
      <c r="AP230" s="631">
        <f>IF(AND($U226=TRUE,$U229=FALSE),AP226,IF(AND($U226=FALSE,$U229=TRUE),AP229,IF(AND($U226=TRUE,$U229=TRUE),AP226+AP229,0)))</f>
        <v>0</v>
      </c>
      <c r="AQ230" s="631">
        <f>IF(AND($K226=TRUE,$K229=FALSE),AQ226,IF(AND($K226=FALSE,$K229=TRUE),AQ229,IF(AND($K226=TRUE,$K229=TRUE),AQ226+AQ229,MAX(AQ226,AQ229))))</f>
        <v>8</v>
      </c>
      <c r="AR230" s="631">
        <f>IF(AND($K226=TRUE,$K229=FALSE),AR226,IF(AND($K226=FALSE,$K229=TRUE),AR229,IF(AND($K226=TRUE,$K229=TRUE),AR226+AR229,MAX(AR226,AR229))))</f>
        <v>20</v>
      </c>
      <c r="AS230" s="631">
        <f t="shared" ref="AS230" si="205">IF(AND($R226=TRUE,$R229=FALSE),AS226,IF(AND($R226=FALSE,$R229=TRUE),AS229,IF(AND($R226=TRUE,$R229=TRUE),AS226+AS229,MAX(AS226,AS229))))</f>
        <v>4</v>
      </c>
      <c r="AT230" s="631">
        <f t="shared" ref="AT230" si="206">IF(AND($R226=TRUE,$R229=FALSE),AT226,IF(AND($R226=FALSE,$R229=TRUE),AT229,IF(AND($R226=TRUE,$R229=TRUE),AT226+AT229,MAX(AT226,AT229))))</f>
        <v>8</v>
      </c>
      <c r="AU230" s="631">
        <f t="shared" ref="AU230" si="207">IF(AND($U226=TRUE,$U229=FALSE),AU226,IF(AND($U226=FALSE,$U229=TRUE),AU229,IF(AND($U226=TRUE,$U229=TRUE),AU226+AU229,MAX(AU226,AU229))))</f>
        <v>8</v>
      </c>
      <c r="AV230" s="631">
        <f t="shared" ref="AV230" si="208">IF(AND($U226=TRUE,$U229=FALSE),AV226,IF(AND($U226=FALSE,$U229=TRUE),AV229,IF(AND($U226=TRUE,$U229=TRUE),AV226+AV229,MAX(AV226,AV229))))</f>
        <v>14</v>
      </c>
      <c r="BC230" s="7"/>
      <c r="BD230" s="816"/>
      <c r="BE230" s="110"/>
      <c r="BF230" s="477"/>
      <c r="BG230" s="113"/>
      <c r="BH230" s="481"/>
      <c r="BI230" s="113"/>
      <c r="BJ230" s="482"/>
      <c r="BK230" s="478"/>
    </row>
    <row r="231" spans="2:63" ht="49" customHeight="1" x14ac:dyDescent="0.2">
      <c r="B231" s="2030" t="str">
        <f>'Action-Réaction finale'!Q37</f>
        <v>D: Dénigrement</v>
      </c>
      <c r="C231" s="313" t="str">
        <f>'Action-Réaction finale'!O37</f>
        <v>E14</v>
      </c>
      <c r="D231" s="26" t="str">
        <f>Test_Bible!B286</f>
        <v>Votre enfant laisse entendre que sa vraie famille est celle avec l’autre parent.</v>
      </c>
      <c r="E231" s="101" t="s">
        <v>772</v>
      </c>
      <c r="F231" s="790">
        <f>Test_Bible!P286</f>
        <v>4</v>
      </c>
      <c r="G231" s="789">
        <f>Test_Bible!D286</f>
        <v>2</v>
      </c>
      <c r="H231" s="790">
        <f>F231*G231</f>
        <v>8</v>
      </c>
      <c r="I231" s="1622">
        <v>4</v>
      </c>
      <c r="J231" s="1615">
        <f>$J$18</f>
        <v>10</v>
      </c>
      <c r="K231" s="45" t="b">
        <f>IF(AND(F231&gt;=I231,F231&lt;=J231),TRUE,FALSE)</f>
        <v>1</v>
      </c>
      <c r="L231" s="45"/>
      <c r="M231" s="45"/>
      <c r="N231" s="45"/>
      <c r="O231" s="1623"/>
      <c r="P231" s="1622">
        <v>2</v>
      </c>
      <c r="Q231" s="1615">
        <v>7</v>
      </c>
      <c r="R231" s="1623" t="b">
        <f>IF(AND(F231&gt;=P231,F231&lt;=Q231),TRUE,FALSE)</f>
        <v>1</v>
      </c>
      <c r="S231" s="1622"/>
      <c r="T231" s="1615"/>
      <c r="U231" s="1623"/>
      <c r="V231" s="1593"/>
      <c r="W231" s="1403"/>
      <c r="X231" s="1404">
        <v>4</v>
      </c>
      <c r="Y231" s="1405"/>
      <c r="Z231" s="1408">
        <v>2</v>
      </c>
      <c r="AA231" s="1405"/>
      <c r="AB231" s="1416">
        <v>11</v>
      </c>
      <c r="AD231" s="960" t="s">
        <v>945</v>
      </c>
      <c r="AE231" s="961"/>
      <c r="AF231" s="960"/>
      <c r="AG231" s="961"/>
      <c r="AH231" s="960"/>
      <c r="AI231" s="961"/>
      <c r="AK231" s="10"/>
      <c r="AL231" s="10"/>
      <c r="AM231" s="10"/>
      <c r="AN231" s="975">
        <f>IF($K231=TRUE,H231,0)</f>
        <v>8</v>
      </c>
      <c r="AO231" s="975">
        <f>IF($R231=TRUE,H231,0)</f>
        <v>8</v>
      </c>
      <c r="AP231" s="975"/>
      <c r="AQ231" s="1806">
        <f>IF(I231=11,0,G231*I231)</f>
        <v>8</v>
      </c>
      <c r="AR231" s="1806">
        <f>IF(J231=11,0,G231*J231)</f>
        <v>20</v>
      </c>
      <c r="AS231" s="1806">
        <f>IF(P231=11,0,G231*P231)</f>
        <v>4</v>
      </c>
      <c r="AT231" s="1806">
        <f>IF(Q231=11,0,G231*Q231)</f>
        <v>14</v>
      </c>
      <c r="AU231" s="1806"/>
      <c r="AV231" s="1806"/>
      <c r="BC231" s="7"/>
      <c r="BD231" s="816"/>
      <c r="BE231" s="110"/>
      <c r="BF231" s="477"/>
      <c r="BG231" s="113"/>
      <c r="BH231" s="481"/>
      <c r="BI231" s="113"/>
      <c r="BJ231" s="482"/>
      <c r="BK231" s="478"/>
    </row>
    <row r="232" spans="2:63" ht="57" customHeight="1" thickBot="1" x14ac:dyDescent="0.25">
      <c r="B232" s="2030" t="str">
        <f>'Action-Réaction finale'!Q38</f>
        <v>D: Dénigrement</v>
      </c>
      <c r="C232" s="313" t="str">
        <f>'Action-Réaction finale'!O38</f>
        <v>E14a</v>
      </c>
      <c r="D232" s="767" t="str">
        <f>Test_Bible!B287</f>
        <v xml:space="preserve">Selon votre enfant, la nouvelle famille de l'autre parent (famille recomposée ou non) a plus de valeur que la vôtre. </v>
      </c>
      <c r="E232" s="101" t="s">
        <v>773</v>
      </c>
      <c r="F232" s="790">
        <f>Test_Bible!P287</f>
        <v>1</v>
      </c>
      <c r="G232" s="789">
        <f>Test_Bible!D287</f>
        <v>3</v>
      </c>
      <c r="H232" s="790">
        <f>F232*G232</f>
        <v>3</v>
      </c>
      <c r="I232" s="1622">
        <v>7</v>
      </c>
      <c r="J232" s="1615">
        <f>$J$18</f>
        <v>10</v>
      </c>
      <c r="K232" s="45" t="b">
        <f>IF(AND(F232&gt;=I232,F232&lt;=J232),TRUE,FALSE)</f>
        <v>0</v>
      </c>
      <c r="L232" s="45"/>
      <c r="M232" s="45"/>
      <c r="N232" s="45"/>
      <c r="O232" s="1623"/>
      <c r="P232" s="1647">
        <v>11</v>
      </c>
      <c r="Q232" s="1648">
        <v>11</v>
      </c>
      <c r="R232" s="1623" t="b">
        <f>IF(AND(F232&gt;=P232,F232&lt;=Q232),TRUE,FALSE)</f>
        <v>0</v>
      </c>
      <c r="S232" s="1647"/>
      <c r="T232" s="1648"/>
      <c r="U232" s="1623"/>
      <c r="V232" s="931"/>
      <c r="W232" s="1406" t="s">
        <v>943</v>
      </c>
      <c r="X232" s="1411">
        <v>7</v>
      </c>
      <c r="Y232" s="1412"/>
      <c r="Z232" s="1413">
        <v>4</v>
      </c>
      <c r="AA232" s="1412"/>
      <c r="AB232" s="1421">
        <v>11</v>
      </c>
      <c r="AD232" s="960"/>
      <c r="AE232" s="961"/>
      <c r="AF232" s="960"/>
      <c r="AG232" s="961"/>
      <c r="AH232" s="960"/>
      <c r="AI232" s="961"/>
      <c r="AK232" s="10"/>
      <c r="AL232" s="10"/>
      <c r="AM232" s="10"/>
      <c r="AN232" s="975">
        <f>IF($K232=TRUE,H232,0)</f>
        <v>0</v>
      </c>
      <c r="AO232" s="975">
        <f>IF($R232=TRUE,H232,0)</f>
        <v>0</v>
      </c>
      <c r="AP232" s="975"/>
      <c r="AQ232" s="1806">
        <f>IF(I232=11,0,G232*I232)</f>
        <v>21</v>
      </c>
      <c r="AR232" s="1806">
        <f>IF(J232=11,0,G232*J232)</f>
        <v>30</v>
      </c>
      <c r="AS232" s="1806">
        <f>IF(P232=11,0,G232*P232)</f>
        <v>0</v>
      </c>
      <c r="AT232" s="1806">
        <f>IF(Q232=11,0,G232*Q232)</f>
        <v>0</v>
      </c>
      <c r="AU232" s="1806"/>
      <c r="AV232" s="1806"/>
      <c r="BC232" s="7"/>
      <c r="BD232" s="816"/>
      <c r="BE232" s="110"/>
      <c r="BF232" s="477"/>
      <c r="BG232" s="113"/>
      <c r="BH232" s="481"/>
      <c r="BI232" s="113"/>
      <c r="BJ232" s="482"/>
      <c r="BK232" s="478"/>
    </row>
    <row r="233" spans="2:63" ht="32" customHeight="1" thickBot="1" x14ac:dyDescent="0.25">
      <c r="B233" s="2030"/>
      <c r="C233" s="809" t="s">
        <v>747</v>
      </c>
      <c r="D233" s="810" t="str">
        <f>_xlfn.XLOOKUP(H233,H231:H232,D231:D232)</f>
        <v>Votre enfant laisse entendre que sa vraie famille est celle avec l’autre parent.</v>
      </c>
      <c r="E233" s="810" t="str">
        <f>_xlfn.XLOOKUP(H233,H231:H232,E231:E232)</f>
        <v>laisse entendre que la vraie famille est celle de l'autre parent</v>
      </c>
      <c r="F233" s="811"/>
      <c r="G233" s="811"/>
      <c r="H233" s="811">
        <f>IF(AND(K231=TRUE,K232=FALSE),H231,IF(AND(K231=FALSE,K232=TRUE),H232,MAX(H231,H232)))</f>
        <v>8</v>
      </c>
      <c r="I233" s="1628"/>
      <c r="J233" s="812"/>
      <c r="K233" s="813" t="b">
        <f>IF(AND(K231=FALSE,K232=FALSE),FALSE,TRUE)</f>
        <v>1</v>
      </c>
      <c r="L233" s="1611"/>
      <c r="M233" s="1611"/>
      <c r="N233" s="1611"/>
      <c r="O233" s="1629"/>
      <c r="P233" s="1628"/>
      <c r="Q233" s="812"/>
      <c r="R233" s="813" t="b">
        <f>IF(AND(R231=FALSE,R232=FALSE),FALSE,TRUE)</f>
        <v>1</v>
      </c>
      <c r="S233" s="1628"/>
      <c r="T233" s="812"/>
      <c r="U233" s="813"/>
      <c r="V233" s="931"/>
      <c r="W233" s="931"/>
      <c r="X233" s="1394"/>
      <c r="Z233" s="1398"/>
      <c r="AB233" s="1402"/>
      <c r="AD233" s="960" t="str">
        <f>IF(K233=TRUE,"V","F")</f>
        <v>V</v>
      </c>
      <c r="AE233" s="961"/>
      <c r="AF233" s="960" t="str">
        <f>IF(R233=TRUE,"V","F")</f>
        <v>V</v>
      </c>
      <c r="AG233" s="961"/>
      <c r="AH233" s="960"/>
      <c r="AI233" s="961"/>
      <c r="AK233" s="10"/>
      <c r="AL233" s="10"/>
      <c r="AM233" s="10"/>
      <c r="AN233" s="2102">
        <f>IF(AND($K231=TRUE,$K232=FALSE),AN231,IF(AND($K231=FALSE,$K232=TRUE),AN232,IF(AND($K231=TRUE,$K232=TRUE),MAX(AN231,AN232),0)))</f>
        <v>8</v>
      </c>
      <c r="AO233" s="2102">
        <f>IF(AND($R231=TRUE,$R232=FALSE),AO231,IF(AND($R231=FALSE,$R232=TRUE),AO232,IF(AND($R231=TRUE,$R232=TRUE),MAX(AO231,AO232),0)))</f>
        <v>8</v>
      </c>
      <c r="AP233" s="2102"/>
      <c r="AQ233" s="2102">
        <f>IF(AND($K231=TRUE,$K232=FALSE),AQ231,IF(AND($K231=FALSE,$K232=TRUE),AQ232,IF(AND($K231=TRUE,$K232=TRUE),MAX(AQ231,AQ232),0)))</f>
        <v>8</v>
      </c>
      <c r="AR233" s="2102">
        <f>IF(AND($K231=TRUE,$K232=FALSE),AR231,IF(AND($K231=FALSE,$K232=TRUE),AR232,IF(AND($K231=TRUE,$K232=TRUE),MAX(AR231,AR232),0)))</f>
        <v>20</v>
      </c>
      <c r="AS233" s="2102">
        <f t="shared" ref="AS233" si="209">IF(AND($R231=TRUE,$R232=FALSE),AS231,IF(AND($R231=FALSE,$R232=TRUE),AS232,IF(AND($R231=TRUE,$R232=TRUE),MAX(AS231,AS232),0)))</f>
        <v>4</v>
      </c>
      <c r="AT233" s="2102">
        <f t="shared" ref="AT233" si="210">IF(AND($R231=TRUE,$R232=FALSE),AT231,IF(AND($R231=FALSE,$R232=TRUE),AT232,IF(AND($R231=TRUE,$R232=TRUE),MAX(AT231,AT232),0)))</f>
        <v>14</v>
      </c>
      <c r="AU233" s="2102"/>
      <c r="AV233" s="2102"/>
      <c r="BD233" s="816"/>
      <c r="BE233" s="110"/>
      <c r="BF233" s="477"/>
      <c r="BG233" s="113"/>
      <c r="BH233" s="481"/>
      <c r="BI233" s="113"/>
      <c r="BJ233" s="482"/>
      <c r="BK233" s="478"/>
    </row>
    <row r="234" spans="2:63" ht="32" customHeight="1" x14ac:dyDescent="0.2">
      <c r="B234" s="2030"/>
      <c r="D234" s="421" t="s">
        <v>310</v>
      </c>
      <c r="E234" s="785"/>
      <c r="F234" s="474" t="s">
        <v>398</v>
      </c>
      <c r="G234" s="47"/>
      <c r="H234" s="47">
        <f>IF(AND(K230=TRUE,K233=FALSE),H230,IF(AND(K230=FALSE,K233=TRUE),H233,IF(AND(K230=TRUE,K233=TRUE),H230+H233,MAX(H230,H233))))</f>
        <v>8</v>
      </c>
      <c r="I234" s="1630"/>
      <c r="J234" s="475"/>
      <c r="K234" s="1613"/>
      <c r="L234" s="1614" t="str">
        <f>IF(AND(K233=TRUE,K230=TRUE),E233,"")</f>
        <v/>
      </c>
      <c r="M234" s="1614" t="str">
        <f>IF(AND(K230=TRUE,K233=FALSE),"Bien que le parent "&amp;E230&amp;" l'enfant ne semble pas s'ingérer","")</f>
        <v/>
      </c>
      <c r="N234" s="1614" t="str">
        <f>IF(AND(K230=FALSE,K233=TRUE),E233&amp;" sans signe de la participation du parent favorisé et|ou nouveau conjoint.e","")</f>
        <v>laisse entendre que la vraie famille est celle de l'autre parent sans signe de la participation du parent favorisé et|ou nouveau conjoint.e</v>
      </c>
      <c r="O234" s="1631" t="str">
        <f>IF(AND(K230=FALSE,K233=FALSE),"aucun comportement significatif de cette nature","")</f>
        <v/>
      </c>
      <c r="P234" s="1630"/>
      <c r="Q234" s="475"/>
      <c r="R234" s="1639"/>
      <c r="S234" s="1630"/>
      <c r="T234" s="475"/>
      <c r="U234" s="1639"/>
      <c r="V234" s="170"/>
      <c r="W234" s="170"/>
      <c r="X234" s="1394"/>
      <c r="Z234" s="1398"/>
      <c r="AB234" s="1402"/>
      <c r="AD234" s="962"/>
      <c r="AE234" s="963">
        <f>IF(AND(AD230="V",AD233="V"),2,IF(OR(AD230="V",AD233="V"),1,0))</f>
        <v>1</v>
      </c>
      <c r="AF234" s="962"/>
      <c r="AG234" s="963">
        <f>IF(OR(AF230="V",AF233="V"),1,0)</f>
        <v>1</v>
      </c>
      <c r="AH234" s="962"/>
      <c r="AI234" s="963"/>
      <c r="AK234" s="10"/>
      <c r="AL234" s="10"/>
      <c r="AM234" s="10"/>
      <c r="AN234" s="2097">
        <f>IF(AND($AD230="V",$AD233="F"),AN230,IF(AND($AD230="F",$AD233="V"),AN233,IF(AND($AD230="V",$AD233="V"),AN230+AN233,0)))</f>
        <v>8</v>
      </c>
      <c r="AO234" s="2097">
        <f>IF(AND($AF230="V",$AF233="F"),AO230,IF(AND($AF230="F",$AF233="V"),AO233,IF(AND($AF230="V",$AF233="V"),AO230+AO233,0)))</f>
        <v>8</v>
      </c>
      <c r="AP234" s="2097"/>
      <c r="AQ234" s="2097">
        <f>IF(AND($AD230="V",$AD233="F"),AQ230,IF(AND($AD230="F",$AD233="V"),AQ233,IF(AND($AD230="V",$AD233="V"),AQ230+AQ233,0)))</f>
        <v>8</v>
      </c>
      <c r="AR234" s="2097">
        <f>IF(AND($AD230="V",$AD233="F"),AR230,IF(AND($AD230="F",$AD233="V"),AR233,IF(AND($AD230="V",$AD233="V"),AR230+AR233,0)))</f>
        <v>20</v>
      </c>
      <c r="AS234" s="2097">
        <f>IF(AND($AF230="V",$AF233="F"),AS230,IF(AND($AF230="F",$AF233="V"),AS233,IF(AND($AF230="V",$AF233="V"),AS230+AS233,0)))</f>
        <v>4</v>
      </c>
      <c r="AT234" s="2097">
        <f>IF(AND($AF230="V",$AF233="F"),AT230,IF(AND($AF230="F",$AF233="V"),AT233,IF(AND($AF230="V",$AF233="V"),AT230+AT233,0)))</f>
        <v>14</v>
      </c>
      <c r="AU234" s="2097"/>
      <c r="AV234" s="2097"/>
      <c r="BD234" s="816"/>
      <c r="BE234" s="110"/>
      <c r="BF234" s="477"/>
      <c r="BG234" s="113"/>
      <c r="BH234" s="481"/>
      <c r="BI234" s="113"/>
      <c r="BJ234" s="482"/>
      <c r="BK234" s="478"/>
    </row>
    <row r="235" spans="2:63" ht="32" customHeight="1" x14ac:dyDescent="0.2">
      <c r="B235" s="2030"/>
      <c r="C235" t="s">
        <v>243</v>
      </c>
      <c r="I235" s="146"/>
      <c r="L235" s="46"/>
      <c r="M235" s="46"/>
      <c r="N235" s="46"/>
      <c r="O235" s="1652"/>
      <c r="P235" s="146"/>
      <c r="R235" s="326"/>
      <c r="S235" s="146"/>
      <c r="U235" s="326"/>
      <c r="V235" s="46"/>
      <c r="X235" s="1394"/>
      <c r="Z235" s="1398"/>
      <c r="AB235" s="1402"/>
      <c r="AD235" s="960"/>
      <c r="AE235" s="961"/>
      <c r="AF235" s="960"/>
      <c r="AG235" s="961"/>
      <c r="AH235" s="960"/>
      <c r="AI235" s="961"/>
      <c r="AK235" s="10"/>
      <c r="AL235" s="10"/>
      <c r="AM235" s="10"/>
      <c r="AN235" s="975"/>
      <c r="AO235" s="975"/>
      <c r="AP235" s="975"/>
      <c r="AQ235" s="1806"/>
      <c r="AR235" s="1806"/>
      <c r="AS235" s="1806"/>
      <c r="AT235" s="1806"/>
      <c r="AU235" s="1806"/>
      <c r="AV235" s="1806"/>
      <c r="BD235" s="816"/>
      <c r="BE235" s="110"/>
      <c r="BF235" s="477"/>
      <c r="BG235" s="113"/>
      <c r="BH235" s="481"/>
      <c r="BI235" s="113"/>
      <c r="BJ235" s="482"/>
      <c r="BK235" s="478"/>
    </row>
    <row r="236" spans="2:63" ht="32" customHeight="1" x14ac:dyDescent="0.2">
      <c r="B236" s="2030"/>
      <c r="C236" s="964"/>
      <c r="D236" s="972"/>
      <c r="E236" s="965"/>
      <c r="F236" s="973"/>
      <c r="G236" s="973"/>
      <c r="H236" s="973">
        <f>F236*G236</f>
        <v>0</v>
      </c>
      <c r="I236" s="1647">
        <v>11</v>
      </c>
      <c r="J236" s="1648">
        <v>11</v>
      </c>
      <c r="K236" s="45" t="b">
        <f>IF(AND(F236&gt;=I236,F236&lt;=J236),TRUE,FALSE)</f>
        <v>0</v>
      </c>
      <c r="L236" s="32"/>
      <c r="M236" s="32"/>
      <c r="N236" s="32"/>
      <c r="O236" s="1632"/>
      <c r="P236" s="1647">
        <v>11</v>
      </c>
      <c r="Q236" s="1648">
        <v>11</v>
      </c>
      <c r="R236" s="1623" t="b">
        <f>IF(AND(F236&gt;=P236,F236&lt;=Q236),TRUE,FALSE)</f>
        <v>0</v>
      </c>
      <c r="S236" s="1647">
        <v>11</v>
      </c>
      <c r="T236" s="1648">
        <v>11</v>
      </c>
      <c r="U236" s="1623" t="b">
        <f>IF(AND(F236&gt;=S236,F236&lt;=T236),TRUE,FALSE)</f>
        <v>0</v>
      </c>
      <c r="V236" s="46"/>
      <c r="W236" s="1428"/>
      <c r="X236" s="1422">
        <v>11</v>
      </c>
      <c r="Y236" s="1423"/>
      <c r="Z236" s="1424">
        <v>11</v>
      </c>
      <c r="AA236" s="1423"/>
      <c r="AB236" s="1416">
        <v>11</v>
      </c>
      <c r="AD236" s="960"/>
      <c r="AE236" s="961"/>
      <c r="AF236" s="960"/>
      <c r="AG236" s="961"/>
      <c r="AH236" s="960"/>
      <c r="AI236" s="961"/>
      <c r="AK236" s="10"/>
      <c r="AL236" s="10"/>
      <c r="AM236" s="10"/>
      <c r="AN236" s="975">
        <f>IF($K236=TRUE,H236,0)</f>
        <v>0</v>
      </c>
      <c r="AO236" s="975">
        <f>IF($R236=TRUE,H236,0)</f>
        <v>0</v>
      </c>
      <c r="AP236" s="975">
        <f>IF($U236=TRUE,H236,0)</f>
        <v>0</v>
      </c>
      <c r="AQ236" s="1806">
        <f>IF(I236=11,0,G236*I236)</f>
        <v>0</v>
      </c>
      <c r="AR236" s="1806">
        <f>IF(J236=11,0,G236*J236)</f>
        <v>0</v>
      </c>
      <c r="AS236" s="1806">
        <f>IF(P236=11,0,G236*P236)</f>
        <v>0</v>
      </c>
      <c r="AT236" s="1806">
        <f>IF(Q236=11,0,G236*Q236)</f>
        <v>0</v>
      </c>
      <c r="AU236" s="1806">
        <f>IF(S236=11,0,S236*G236)</f>
        <v>0</v>
      </c>
      <c r="AV236" s="1806">
        <f>IF(T236=11,0,T236*G236)</f>
        <v>0</v>
      </c>
      <c r="BD236" s="816"/>
      <c r="BE236" s="110"/>
      <c r="BF236" s="477"/>
      <c r="BG236" s="113"/>
      <c r="BH236" s="481"/>
      <c r="BI236" s="113"/>
      <c r="BJ236" s="482"/>
      <c r="BK236" s="478"/>
    </row>
    <row r="237" spans="2:63" ht="32" customHeight="1" thickBot="1" x14ac:dyDescent="0.25">
      <c r="B237" s="2030"/>
      <c r="C237" s="964"/>
      <c r="D237" s="972"/>
      <c r="E237" s="965"/>
      <c r="F237" s="973"/>
      <c r="G237" s="973"/>
      <c r="H237" s="973">
        <f>F237*G237</f>
        <v>0</v>
      </c>
      <c r="I237" s="1647">
        <v>11</v>
      </c>
      <c r="J237" s="1648">
        <v>11</v>
      </c>
      <c r="K237" s="45" t="b">
        <f>IF(AND(F237&gt;=I237,F237&lt;=J237),TRUE,FALSE)</f>
        <v>0</v>
      </c>
      <c r="L237" s="32"/>
      <c r="M237" s="32"/>
      <c r="N237" s="32"/>
      <c r="O237" s="1632"/>
      <c r="P237" s="1647">
        <v>11</v>
      </c>
      <c r="Q237" s="1648">
        <v>11</v>
      </c>
      <c r="R237" s="1623" t="b">
        <f>IF(AND(F237&gt;=P237,F237&lt;=Q237),TRUE,FALSE)</f>
        <v>0</v>
      </c>
      <c r="S237" s="1647">
        <v>11</v>
      </c>
      <c r="T237" s="1648">
        <v>11</v>
      </c>
      <c r="U237" s="1623" t="b">
        <f>IF(AND(F237&gt;=S237,F237&lt;=T237),TRUE,FALSE)</f>
        <v>0</v>
      </c>
      <c r="W237" s="1429"/>
      <c r="X237" s="1425">
        <v>11</v>
      </c>
      <c r="Y237" s="1426"/>
      <c r="Z237" s="1427">
        <v>11</v>
      </c>
      <c r="AA237" s="1426"/>
      <c r="AB237" s="1421">
        <v>11</v>
      </c>
      <c r="AD237" s="960"/>
      <c r="AE237" s="961"/>
      <c r="AF237" s="960"/>
      <c r="AG237" s="961"/>
      <c r="AH237" s="960"/>
      <c r="AI237" s="961"/>
      <c r="AK237" s="10"/>
      <c r="AL237" s="10"/>
      <c r="AM237" s="10"/>
      <c r="AN237" s="975">
        <f>IF($K237=TRUE,H237,0)</f>
        <v>0</v>
      </c>
      <c r="AO237" s="975">
        <f>IF($R237=TRUE,H237,0)</f>
        <v>0</v>
      </c>
      <c r="AP237" s="975">
        <f>IF($U237=TRUE,H237,0)</f>
        <v>0</v>
      </c>
      <c r="AQ237" s="1806">
        <f>IF(I237=11,0,G237*I237)</f>
        <v>0</v>
      </c>
      <c r="AR237" s="1806">
        <f>IF(J237=11,0,G237*J237)</f>
        <v>0</v>
      </c>
      <c r="AS237" s="1806">
        <f>IF(P237=11,0,G237*P237)</f>
        <v>0</v>
      </c>
      <c r="AT237" s="1806">
        <f>IF(Q237=11,0,G237*Q237)</f>
        <v>0</v>
      </c>
      <c r="AU237" s="1806">
        <f>IF(S237=11,0,S237*G237)</f>
        <v>0</v>
      </c>
      <c r="AV237" s="1806">
        <f>IF(T237=11,0,T237*G237)</f>
        <v>0</v>
      </c>
      <c r="BD237" s="816"/>
      <c r="BE237" s="110"/>
      <c r="BF237" s="477"/>
      <c r="BG237" s="113"/>
      <c r="BH237" s="481"/>
      <c r="BI237" s="113"/>
      <c r="BJ237" s="482"/>
      <c r="BK237" s="478"/>
    </row>
    <row r="238" spans="2:63" ht="32" customHeight="1" thickBot="1" x14ac:dyDescent="0.25">
      <c r="B238" s="2030"/>
      <c r="D238" s="16"/>
      <c r="E238" s="16"/>
      <c r="F238" s="89"/>
      <c r="G238" s="473"/>
      <c r="H238" s="47">
        <f>IF(AND(K236=TRUE,K237=FALSE),H236,IF(AND(K236=FALSE,K237=TRUE),H237,MAX(H236,H237)))</f>
        <v>0</v>
      </c>
      <c r="I238" s="1644"/>
      <c r="J238" s="1645"/>
      <c r="K238" s="1651" t="b">
        <f>IF(AND(K236=FALSE,K237=FALSE),FALSE,TRUE)</f>
        <v>0</v>
      </c>
      <c r="L238" s="1633"/>
      <c r="M238" s="1634"/>
      <c r="N238" s="1634"/>
      <c r="O238" s="1635"/>
      <c r="P238" s="1644"/>
      <c r="Q238" s="1645"/>
      <c r="R238" s="1651" t="b">
        <f>IF(AND(R236=FALSE,R237=FALSE),FALSE,TRUE)</f>
        <v>0</v>
      </c>
      <c r="S238" s="1656"/>
      <c r="T238" s="1657"/>
      <c r="U238" s="1658" t="b">
        <f>IF(AND(U236=FALSE,U237=FALSE),FALSE,TRUE)</f>
        <v>0</v>
      </c>
      <c r="V238" s="933"/>
      <c r="AD238" s="1564" t="str">
        <f>IF(K238=TRUE,"V","F")</f>
        <v>F</v>
      </c>
      <c r="AE238" s="1565"/>
      <c r="AF238" s="1564" t="str">
        <f>IF(R238=TRUE,"V","F")</f>
        <v>F</v>
      </c>
      <c r="AG238" s="1565"/>
      <c r="AH238" s="1564" t="str">
        <f>IF(U238=TRUE,"V","F")</f>
        <v>F</v>
      </c>
      <c r="AI238" s="1565"/>
      <c r="AK238" s="10"/>
      <c r="AL238" s="10"/>
      <c r="AM238" s="10"/>
      <c r="AN238" s="2102">
        <f>IF(AND($K236=TRUE,$K237=FALSE),AN236,IF(AND($K236=FALSE,$K237=TRUE),AN237,MAX(AN236,AN237)))</f>
        <v>0</v>
      </c>
      <c r="AO238" s="2102">
        <f>IF(AND($R236=TRUE,$R237=FALSE),AO236,IF(AND($R236=FALSE,$R237=TRUE),AO237,MAX(AO236,AO237)))</f>
        <v>0</v>
      </c>
      <c r="AP238" s="2102">
        <f>IF(AND($U236=TRUE,$U237=FALSE),AP236,IF(AND($U236=FALSE,$U237=TRUE),AP237,MAX(AP236,AP237)))</f>
        <v>0</v>
      </c>
      <c r="AQ238" s="2102">
        <f>IF(AND($K236=TRUE,$K237=FALSE),AQ236,IF(AND($K236=FALSE,$K237=TRUE),AQ237,MAX(AQ236,AQ237)))</f>
        <v>0</v>
      </c>
      <c r="AR238" s="2102">
        <f>IF(AND($K236=TRUE,$K237=FALSE),AR236,IF(AND($K236=FALSE,$K237=TRUE),AR237,MAX(AR236,AR237)))</f>
        <v>0</v>
      </c>
      <c r="AS238" s="2102">
        <f>IF(AND($R236=TRUE,$R237=FALSE),AS236,IF(AND($R236=FALSE,$R237=TRUE),AS237,MAX(AS236,AS237)))</f>
        <v>0</v>
      </c>
      <c r="AT238" s="2102">
        <f>IF(AND($R236=TRUE,$R237=FALSE),AT236,IF(AND($R236=FALSE,$R237=TRUE),AT237,MAX(AT236,AT237)))</f>
        <v>0</v>
      </c>
      <c r="AU238" s="2102">
        <f>IF(AND($U236=TRUE,$U237=FALSE),AU236,IF(AND($U236=FALSE,$U237=TRUE),AU237,MAX(AU236,AU237)))</f>
        <v>0</v>
      </c>
      <c r="AV238" s="2102">
        <f>IF(AND($U236=TRUE,$U237=FALSE),AV236,IF(AND($U236=FALSE,$U237=TRUE),AV237,MAX(AV236,AV237)))</f>
        <v>0</v>
      </c>
      <c r="BD238" s="816"/>
      <c r="BE238" s="110"/>
      <c r="BF238" s="477"/>
      <c r="BG238" s="113"/>
      <c r="BH238" s="481"/>
      <c r="BI238" s="113"/>
      <c r="BJ238" s="482"/>
      <c r="BK238" s="478"/>
    </row>
    <row r="239" spans="2:63" ht="32" customHeight="1" thickBot="1" x14ac:dyDescent="0.35">
      <c r="D239" s="16"/>
      <c r="E239" s="16"/>
      <c r="F239" s="89"/>
      <c r="G239" s="473"/>
      <c r="H239" s="473"/>
      <c r="I239" s="8"/>
      <c r="J239" s="8"/>
      <c r="K239" s="932"/>
      <c r="L239" s="933"/>
      <c r="M239" s="933"/>
      <c r="N239" s="933"/>
      <c r="O239" s="933"/>
      <c r="P239" s="933"/>
      <c r="Q239" s="933"/>
      <c r="R239" s="933"/>
      <c r="S239" s="933"/>
      <c r="T239" s="933"/>
      <c r="U239" s="933"/>
      <c r="V239" s="933"/>
      <c r="W239" s="933"/>
      <c r="AD239" s="1649"/>
      <c r="AE239" s="1650">
        <f>IF(AND(AD238="V",AD230="V"),AE234-1,AE234)</f>
        <v>1</v>
      </c>
      <c r="AF239" s="1649"/>
      <c r="AG239" s="1650">
        <f>IF(OR(AF230="V",AF233="V",AF238="V"),1,0)</f>
        <v>1</v>
      </c>
      <c r="AH239" s="1649"/>
      <c r="AI239" s="1650">
        <f>IF(AH230="V",1,IF(AH238="V",1,0))</f>
        <v>0</v>
      </c>
      <c r="AK239" s="10">
        <v>1</v>
      </c>
      <c r="AL239" s="10">
        <v>1</v>
      </c>
      <c r="AM239" s="10">
        <v>1</v>
      </c>
      <c r="AN239" s="2101">
        <f>IF($AD238="F",AN234,AN234+AN238)</f>
        <v>8</v>
      </c>
      <c r="AO239" s="2101">
        <f>IF($AF238="F",AO234,AO234+AO238)</f>
        <v>8</v>
      </c>
      <c r="AP239" s="2101">
        <f>IF(AND($AH230="V",$AH238="F"),AP230,IF(AND($AH230="F",$AH238="V"),AP238,IF(AND($AH230="V",$AH238="V"),AP230+AP238,0)))</f>
        <v>0</v>
      </c>
      <c r="AQ239" s="2101">
        <f>IF($AD238="F",AQ234,AQ234+AQ238)</f>
        <v>8</v>
      </c>
      <c r="AR239" s="2101">
        <f t="shared" ref="AR239" si="211">IF($AD238="F",AR234,AR234+AR238)</f>
        <v>20</v>
      </c>
      <c r="AS239" s="2101">
        <f t="shared" ref="AS239" si="212">IF($AF238="F",AS234,AS234+AS238)</f>
        <v>4</v>
      </c>
      <c r="AT239" s="2101">
        <f t="shared" ref="AT239" si="213">IF($AF238="F",AT234,AT234+AT238)</f>
        <v>14</v>
      </c>
      <c r="AU239" s="2101">
        <f t="shared" ref="AU239" si="214">IF(AND($AH230="V",$AH238="F"),AU230,IF(AND($AH230="F",$AH238="V"),AU238,IF(AND($AH230="V",$AH238="V"),AU230+AU238,0)))</f>
        <v>0</v>
      </c>
      <c r="AV239" s="2101">
        <f t="shared" ref="AV239" si="215">IF(AND($AH230="V",$AH238="F"),AV230,IF(AND($AH230="F",$AH238="V"),AV238,IF(AND($AH230="V",$AH238="V"),AV230+AV238,0)))</f>
        <v>0</v>
      </c>
      <c r="BD239" s="816"/>
      <c r="BE239" s="110"/>
      <c r="BF239" s="477"/>
      <c r="BG239" s="113"/>
      <c r="BH239" s="481"/>
      <c r="BI239" s="113"/>
      <c r="BJ239" s="482"/>
      <c r="BK239" s="478"/>
    </row>
    <row r="240" spans="2:63" ht="32" customHeight="1" x14ac:dyDescent="0.3">
      <c r="D240" s="16"/>
      <c r="E240" s="16"/>
      <c r="F240" s="89"/>
      <c r="G240" s="473"/>
      <c r="H240" s="473"/>
      <c r="I240" s="1616"/>
      <c r="J240" s="1617"/>
      <c r="K240" s="1618"/>
      <c r="L240" s="2268"/>
      <c r="M240" s="2268"/>
      <c r="N240" s="2268"/>
      <c r="O240" s="1619"/>
      <c r="P240" s="1636"/>
      <c r="Q240" s="1618"/>
      <c r="R240" s="1619"/>
      <c r="S240" s="1636"/>
      <c r="T240" s="1618"/>
      <c r="U240" s="1619"/>
      <c r="V240" s="170"/>
      <c r="W240" s="170"/>
      <c r="AD240" s="1668"/>
      <c r="AE240" s="1669"/>
      <c r="AF240" s="1409"/>
      <c r="AG240" s="1409"/>
      <c r="AH240" s="1409"/>
      <c r="AI240" s="1409"/>
      <c r="AK240" s="10"/>
      <c r="AL240" s="10"/>
      <c r="AM240" s="10"/>
      <c r="BD240" s="816"/>
      <c r="BE240" s="110"/>
      <c r="BF240" s="477"/>
      <c r="BG240" s="113"/>
      <c r="BH240" s="481"/>
      <c r="BI240" s="113"/>
      <c r="BJ240" s="482"/>
      <c r="BK240" s="478"/>
    </row>
    <row r="241" spans="2:63" ht="32" customHeight="1" x14ac:dyDescent="0.3">
      <c r="B241" s="2029">
        <v>12</v>
      </c>
      <c r="D241" s="476" t="str">
        <f>'Action-Réaction finale'!F40</f>
        <v>Le nouveau ou la nouvelle conjoint.e se fait appeler "papa" ou "maman"</v>
      </c>
      <c r="E241" s="107"/>
      <c r="F241" s="65"/>
      <c r="G241" s="18"/>
      <c r="H241" s="18"/>
      <c r="I241" s="2255" t="s">
        <v>734</v>
      </c>
      <c r="J241" s="2256"/>
      <c r="K241" s="2256"/>
      <c r="L241" s="2257" t="s">
        <v>1378</v>
      </c>
      <c r="M241" s="2257"/>
      <c r="N241" s="2257"/>
      <c r="O241" s="2258"/>
      <c r="P241" s="2259" t="s">
        <v>733</v>
      </c>
      <c r="Q241" s="2260"/>
      <c r="R241" s="2261"/>
      <c r="S241" s="2262" t="s">
        <v>735</v>
      </c>
      <c r="T241" s="2263"/>
      <c r="U241" s="2264"/>
      <c r="V241" s="15"/>
      <c r="W241" s="15"/>
      <c r="AD241" s="956"/>
      <c r="AE241" s="956"/>
      <c r="AF241" s="956"/>
      <c r="AG241" s="956"/>
      <c r="AH241" s="956"/>
      <c r="AI241" s="957"/>
      <c r="AK241" s="10"/>
      <c r="AL241" s="10"/>
      <c r="AM241" s="10"/>
      <c r="AN241" s="1659" t="s">
        <v>734</v>
      </c>
      <c r="AO241" s="1659" t="s">
        <v>733</v>
      </c>
      <c r="AP241" s="1659" t="s">
        <v>735</v>
      </c>
      <c r="AQ241" s="2254" t="s">
        <v>734</v>
      </c>
      <c r="AR241" s="2254"/>
      <c r="AS241" s="2254" t="s">
        <v>733</v>
      </c>
      <c r="AT241" s="2254"/>
      <c r="AU241" s="2254" t="s">
        <v>735</v>
      </c>
      <c r="AV241" s="2254"/>
      <c r="BD241" s="816"/>
      <c r="BE241" s="110"/>
      <c r="BF241" s="477"/>
      <c r="BG241" s="113"/>
      <c r="BH241" s="481"/>
      <c r="BI241" s="113"/>
      <c r="BJ241" s="482"/>
      <c r="BK241" s="478"/>
    </row>
    <row r="242" spans="2:63" ht="32" customHeight="1" x14ac:dyDescent="0.3">
      <c r="D242" s="102" t="s">
        <v>998</v>
      </c>
      <c r="E242" s="983" t="s">
        <v>997</v>
      </c>
      <c r="F242" s="32" t="s">
        <v>748</v>
      </c>
      <c r="G242" s="32" t="s">
        <v>749</v>
      </c>
      <c r="H242" s="32" t="s">
        <v>750</v>
      </c>
      <c r="I242" s="1620" t="s">
        <v>306</v>
      </c>
      <c r="J242" s="43" t="s">
        <v>307</v>
      </c>
      <c r="K242" s="43" t="s">
        <v>308</v>
      </c>
      <c r="L242" s="43" t="s">
        <v>413</v>
      </c>
      <c r="M242" s="43" t="s">
        <v>388</v>
      </c>
      <c r="N242" s="43" t="s">
        <v>389</v>
      </c>
      <c r="O242" s="1621" t="s">
        <v>390</v>
      </c>
      <c r="P242" s="1620" t="s">
        <v>306</v>
      </c>
      <c r="Q242" s="43" t="s">
        <v>307</v>
      </c>
      <c r="R242" s="1621" t="s">
        <v>308</v>
      </c>
      <c r="S242" s="1620" t="s">
        <v>306</v>
      </c>
      <c r="T242" s="43" t="s">
        <v>307</v>
      </c>
      <c r="U242" s="1621" t="s">
        <v>308</v>
      </c>
      <c r="V242" s="818"/>
      <c r="W242" s="955" t="s">
        <v>928</v>
      </c>
      <c r="X242" s="1391" t="s">
        <v>734</v>
      </c>
      <c r="Y242" s="955" t="s">
        <v>928</v>
      </c>
      <c r="Z242" s="1395" t="s">
        <v>733</v>
      </c>
      <c r="AA242" s="955"/>
      <c r="AB242" s="1399" t="s">
        <v>735</v>
      </c>
      <c r="AD242" s="970" t="s">
        <v>734</v>
      </c>
      <c r="AE242" s="971" t="s">
        <v>946</v>
      </c>
      <c r="AF242" s="970" t="s">
        <v>733</v>
      </c>
      <c r="AG242" s="971" t="s">
        <v>947</v>
      </c>
      <c r="AH242" s="970" t="s">
        <v>735</v>
      </c>
      <c r="AI242" s="971" t="s">
        <v>948</v>
      </c>
      <c r="AK242" s="10"/>
      <c r="AL242" s="10"/>
      <c r="AM242" s="10"/>
      <c r="AN242" s="10"/>
      <c r="AO242" s="10"/>
      <c r="AP242" s="10"/>
      <c r="AQ242" s="1806" t="s">
        <v>1322</v>
      </c>
      <c r="AR242" s="1806" t="s">
        <v>1323</v>
      </c>
      <c r="AS242" s="1806" t="s">
        <v>1322</v>
      </c>
      <c r="AT242" s="1806" t="s">
        <v>1323</v>
      </c>
      <c r="AU242" s="1806" t="s">
        <v>1322</v>
      </c>
      <c r="AV242" s="1806" t="s">
        <v>1323</v>
      </c>
      <c r="BD242" s="816"/>
      <c r="BE242" s="110"/>
      <c r="BF242" s="477"/>
      <c r="BG242" s="113"/>
      <c r="BH242" s="481"/>
      <c r="BI242" s="113"/>
      <c r="BJ242" s="482"/>
      <c r="BK242" s="478"/>
    </row>
    <row r="243" spans="2:63" ht="51" customHeight="1" x14ac:dyDescent="0.2">
      <c r="B243" s="2030" t="str">
        <f>'Action-Réaction finale'!I40</f>
        <v>D: Dénigrement</v>
      </c>
      <c r="C243" s="414" t="str">
        <f>'Action-Réaction finale'!G40</f>
        <v>PFA15a</v>
      </c>
      <c r="D243" s="26" t="str">
        <f>Test_Bible!B192</f>
        <v/>
      </c>
      <c r="E243" s="101" t="s">
        <v>774</v>
      </c>
      <c r="F243" s="790">
        <f>Test_Bible!P192</f>
        <v>0</v>
      </c>
      <c r="G243" s="789">
        <f>Test_Bible!D192</f>
        <v>3</v>
      </c>
      <c r="H243" s="790">
        <f>F243*G243</f>
        <v>0</v>
      </c>
      <c r="I243" s="1622">
        <v>4</v>
      </c>
      <c r="J243" s="1615">
        <v>10</v>
      </c>
      <c r="K243" s="45" t="b">
        <f>IF(AND(F243&gt;=I243,F243&lt;=J243),TRUE,FALSE)</f>
        <v>0</v>
      </c>
      <c r="L243" s="45"/>
      <c r="M243" s="45"/>
      <c r="N243" s="45"/>
      <c r="O243" s="1623"/>
      <c r="P243" s="1622">
        <v>2</v>
      </c>
      <c r="Q243" s="1615">
        <v>7</v>
      </c>
      <c r="R243" s="1623" t="b">
        <f>IF(AND(F243&gt;=P243,F243&lt;=Q243),TRUE,FALSE)</f>
        <v>0</v>
      </c>
      <c r="S243" s="1647">
        <v>11</v>
      </c>
      <c r="T243" s="1648">
        <v>11</v>
      </c>
      <c r="U243" s="1623" t="b">
        <f>IF(AND(F243&gt;=S243,F243&lt;=T243),TRUE,FALSE)</f>
        <v>0</v>
      </c>
      <c r="V243" s="931"/>
      <c r="W243" s="1403"/>
      <c r="X243" s="1422">
        <v>11</v>
      </c>
      <c r="Y243" s="1423"/>
      <c r="Z243" s="1424">
        <v>11</v>
      </c>
      <c r="AA243" s="1423"/>
      <c r="AB243" s="1416">
        <v>11</v>
      </c>
      <c r="AD243" s="958"/>
      <c r="AE243" s="959"/>
      <c r="AF243" s="958"/>
      <c r="AG243" s="959"/>
      <c r="AH243" s="958"/>
      <c r="AI243" s="959"/>
      <c r="AK243" s="10"/>
      <c r="AL243" s="10"/>
      <c r="AM243" s="10"/>
      <c r="AN243" s="975">
        <f>IF($K243=TRUE,H243,0)</f>
        <v>0</v>
      </c>
      <c r="AO243" s="975">
        <f>IF($R243=TRUE,H243,0)</f>
        <v>0</v>
      </c>
      <c r="AP243" s="975">
        <f>IF($U243=TRUE,H243,0)</f>
        <v>0</v>
      </c>
      <c r="AQ243" s="1806">
        <f>IF(I243=11,0,G243*I243)</f>
        <v>12</v>
      </c>
      <c r="AR243" s="1806">
        <f>IF(J243=11,0,G243*J243)</f>
        <v>30</v>
      </c>
      <c r="AS243" s="1806">
        <f>IF(P243=11,0,G243*P243)</f>
        <v>6</v>
      </c>
      <c r="AT243" s="1806">
        <f>IF(Q243=11,0,G243*Q243)</f>
        <v>21</v>
      </c>
      <c r="AU243" s="1806">
        <f>IF(S243=11,0,S243*G243)</f>
        <v>0</v>
      </c>
      <c r="AV243" s="1806">
        <f>IF(T243=11,0,T243*G243)</f>
        <v>0</v>
      </c>
      <c r="BD243" s="816"/>
      <c r="BE243" s="110"/>
      <c r="BF243" s="477"/>
      <c r="BG243" s="113"/>
      <c r="BH243" s="481"/>
      <c r="BI243" s="113"/>
      <c r="BJ243" s="482"/>
      <c r="BK243" s="478"/>
    </row>
    <row r="244" spans="2:63" ht="32" customHeight="1" x14ac:dyDescent="0.2">
      <c r="B244" s="1847"/>
      <c r="C244" s="414" t="s">
        <v>293</v>
      </c>
      <c r="D244" s="26"/>
      <c r="E244" s="101"/>
      <c r="F244" s="790"/>
      <c r="G244" s="789"/>
      <c r="H244" s="790">
        <f>F244*G244</f>
        <v>0</v>
      </c>
      <c r="I244" s="1647">
        <v>11</v>
      </c>
      <c r="J244" s="1648">
        <v>11</v>
      </c>
      <c r="K244" s="45" t="b">
        <f>IF(AND(F244&gt;=I244,F244&lt;=J244),TRUE,FALSE)</f>
        <v>0</v>
      </c>
      <c r="L244" s="45"/>
      <c r="M244" s="45"/>
      <c r="N244" s="45"/>
      <c r="O244" s="1623"/>
      <c r="P244" s="1647">
        <v>11</v>
      </c>
      <c r="Q244" s="1648">
        <v>11</v>
      </c>
      <c r="R244" s="1623" t="b">
        <f>IF(AND(F244&gt;=P244,F244&lt;=Q244),TRUE,FALSE)</f>
        <v>0</v>
      </c>
      <c r="S244" s="1647">
        <v>11</v>
      </c>
      <c r="T244" s="1648">
        <v>11</v>
      </c>
      <c r="U244" s="1623" t="b">
        <f>IF(AND(F244&gt;=S244,F244&lt;=T244),TRUE,FALSE)</f>
        <v>0</v>
      </c>
      <c r="V244" s="931"/>
      <c r="W244" s="1406" t="s">
        <v>943</v>
      </c>
      <c r="X244" s="1425">
        <v>11</v>
      </c>
      <c r="Y244" s="1426"/>
      <c r="Z244" s="1427">
        <v>11</v>
      </c>
      <c r="AA244" s="1426"/>
      <c r="AB244" s="1421">
        <v>11</v>
      </c>
      <c r="AD244" s="960"/>
      <c r="AE244" s="961"/>
      <c r="AF244" s="960"/>
      <c r="AG244" s="961"/>
      <c r="AH244" s="960"/>
      <c r="AI244" s="961"/>
      <c r="AK244" s="10"/>
      <c r="AL244" s="10"/>
      <c r="AM244" s="10"/>
      <c r="AN244" s="975">
        <f>IF($K244=TRUE,H244,0)</f>
        <v>0</v>
      </c>
      <c r="AO244" s="975">
        <f>IF($R244=TRUE,H244,0)</f>
        <v>0</v>
      </c>
      <c r="AP244" s="975">
        <f>IF($U244=TRUE,H244,0)</f>
        <v>0</v>
      </c>
      <c r="AQ244" s="1806">
        <f>IF(I244=11,0,G244*I244)</f>
        <v>0</v>
      </c>
      <c r="AR244" s="1806">
        <f>IF(J244=11,0,G244*J244)</f>
        <v>0</v>
      </c>
      <c r="AS244" s="1806">
        <f>IF(P244=11,0,G244*P244)</f>
        <v>0</v>
      </c>
      <c r="AT244" s="1806">
        <f>IF(Q244=11,0,G244*Q244)</f>
        <v>0</v>
      </c>
      <c r="AU244" s="1806">
        <f>IF(S244=11,0,S244*G244)</f>
        <v>0</v>
      </c>
      <c r="AV244" s="1806">
        <f>IF(T244=11,0,T244*G244)</f>
        <v>0</v>
      </c>
      <c r="BD244" s="816"/>
      <c r="BE244" s="110"/>
      <c r="BF244" s="477"/>
      <c r="BG244" s="113"/>
      <c r="BH244" s="481"/>
      <c r="BI244" s="113"/>
      <c r="BJ244" s="482"/>
      <c r="BK244" s="478"/>
    </row>
    <row r="245" spans="2:63" ht="32" customHeight="1" x14ac:dyDescent="0.2">
      <c r="B245" s="2032"/>
      <c r="C245" s="792" t="s">
        <v>745</v>
      </c>
      <c r="D245" s="793" t="str">
        <f>_xlfn.XLOOKUP(H245,H243:H244,D243:D244)</f>
        <v/>
      </c>
      <c r="E245" s="794" t="str">
        <f>_xlfn.XLOOKUP(H245,H243:H244,E243:E244)</f>
        <v>demande à l'enfant d'appeler son nouveau conjoint.e maman ou papa</v>
      </c>
      <c r="F245" s="795"/>
      <c r="G245" s="795"/>
      <c r="H245" s="795">
        <f>IF(AND(K243=TRUE,K244=FALSE),H243,IF(AND(K243=FALSE,K244=TRUE),H244,MAX(H243,H244)))</f>
        <v>0</v>
      </c>
      <c r="I245" s="1624"/>
      <c r="J245" s="796"/>
      <c r="K245" s="797" t="b">
        <f>IF(AND(K243=FALSE,K244=FALSE),FALSE,TRUE)</f>
        <v>0</v>
      </c>
      <c r="L245" s="45"/>
      <c r="M245" s="45"/>
      <c r="N245" s="45"/>
      <c r="O245" s="1623"/>
      <c r="P245" s="1624"/>
      <c r="Q245" s="796"/>
      <c r="R245" s="1637" t="b">
        <f>IF(AND(R243=FALSE,R244=FALSE),FALSE,TRUE)</f>
        <v>0</v>
      </c>
      <c r="S245" s="1624"/>
      <c r="T245" s="796"/>
      <c r="U245" s="1637" t="b">
        <f>IF(AND(U243=FALSE,U244=FALSE),FALSE,TRUE)</f>
        <v>0</v>
      </c>
      <c r="V245" s="931"/>
      <c r="W245" s="931" t="s">
        <v>943</v>
      </c>
      <c r="X245" s="1393"/>
      <c r="Y245" s="284"/>
      <c r="Z245" s="1396"/>
      <c r="AA245" s="284"/>
      <c r="AB245" s="1401"/>
      <c r="AD245" s="960"/>
      <c r="AE245" s="961"/>
      <c r="AF245" s="960"/>
      <c r="AG245" s="961"/>
      <c r="AH245" s="960"/>
      <c r="AI245" s="961"/>
      <c r="AK245" s="10"/>
      <c r="AL245" s="10"/>
      <c r="AM245" s="10"/>
      <c r="AN245" s="2100">
        <f>IF($K245=TRUE,MAX(AN243:AN244),0)</f>
        <v>0</v>
      </c>
      <c r="AO245" s="2100">
        <f>IF($R245=TRUE,MAX(AO243:AO244),0)</f>
        <v>0</v>
      </c>
      <c r="AP245" s="2100">
        <f>IF($U245=TRUE,MAX(AP243:AP244),0)</f>
        <v>0</v>
      </c>
      <c r="AQ245" s="2099">
        <f>MAX(AQ243:AQ244)</f>
        <v>12</v>
      </c>
      <c r="AR245" s="2099">
        <f t="shared" ref="AR245" si="216">MAX(AR243:AR244)</f>
        <v>30</v>
      </c>
      <c r="AS245" s="2099">
        <f t="shared" ref="AS245" si="217">MAX(AS243:AS244)</f>
        <v>6</v>
      </c>
      <c r="AT245" s="2099">
        <f t="shared" ref="AT245" si="218">MAX(AT243:AT244)</f>
        <v>21</v>
      </c>
      <c r="AU245" s="2099">
        <f t="shared" ref="AU245" si="219">MAX(AU243:AU244)</f>
        <v>0</v>
      </c>
      <c r="AV245" s="2099">
        <f t="shared" ref="AV245" si="220">MAX(AV243:AV244)</f>
        <v>0</v>
      </c>
      <c r="BD245" s="816"/>
      <c r="BE245" s="110"/>
      <c r="BF245" s="477"/>
      <c r="BG245" s="113"/>
      <c r="BH245" s="481"/>
      <c r="BI245" s="113"/>
      <c r="BJ245" s="482"/>
      <c r="BK245" s="478"/>
    </row>
    <row r="246" spans="2:63" ht="58" customHeight="1" x14ac:dyDescent="0.2">
      <c r="B246" s="1847" t="str">
        <f>'Action-Réaction finale'!M40</f>
        <v>F: Interférence lien affectif ou symbolique</v>
      </c>
      <c r="C246" s="52" t="str">
        <f>'Action-Réaction finale'!K40</f>
        <v>NC14</v>
      </c>
      <c r="D246" s="26" t="str">
        <f>Test_Bible!B424</f>
        <v>Le nouveau ou nouvelle conjoint·e demande à votre enfant de l'appeler maman ou papa.</v>
      </c>
      <c r="E246" s="101" t="s">
        <v>793</v>
      </c>
      <c r="F246" s="790">
        <f>Test_Bible!P424</f>
        <v>1</v>
      </c>
      <c r="G246" s="789">
        <f>Test_Bible!D424</f>
        <v>2</v>
      </c>
      <c r="H246" s="790">
        <f>F246*G246</f>
        <v>2</v>
      </c>
      <c r="I246" s="1622">
        <v>7</v>
      </c>
      <c r="J246" s="1615">
        <v>10</v>
      </c>
      <c r="K246" s="45" t="b">
        <f>IF(AND(F246&gt;=I246,F246&lt;=J246),TRUE,FALSE)</f>
        <v>0</v>
      </c>
      <c r="L246" s="45"/>
      <c r="M246" s="45"/>
      <c r="N246" s="45"/>
      <c r="O246" s="1623"/>
      <c r="P246" s="1622">
        <v>4</v>
      </c>
      <c r="Q246" s="1615">
        <v>7</v>
      </c>
      <c r="R246" s="1623" t="b">
        <f>IF(AND(F246&gt;=P246,F246&lt;=Q246),TRUE,FALSE)</f>
        <v>0</v>
      </c>
      <c r="S246" s="1622">
        <v>7</v>
      </c>
      <c r="T246" s="1615">
        <v>10</v>
      </c>
      <c r="U246" s="1623" t="b">
        <f>IF(AND(F246&gt;=S246,F246&lt;=T246),TRUE,FALSE)</f>
        <v>0</v>
      </c>
      <c r="V246" s="931"/>
      <c r="W246" s="1403"/>
      <c r="X246" s="1422">
        <v>11</v>
      </c>
      <c r="Y246" s="1423"/>
      <c r="Z246" s="1424">
        <v>11</v>
      </c>
      <c r="AA246" s="1423"/>
      <c r="AB246" s="1416">
        <v>11</v>
      </c>
      <c r="AD246" s="960"/>
      <c r="AE246" s="961"/>
      <c r="AF246" s="960"/>
      <c r="AG246" s="961"/>
      <c r="AH246" s="960"/>
      <c r="AI246" s="961"/>
      <c r="AK246" s="10"/>
      <c r="AL246" s="10"/>
      <c r="AM246" s="10"/>
      <c r="AN246" s="975">
        <f>IF(K246=TRUE,H246,0)</f>
        <v>0</v>
      </c>
      <c r="AO246" s="975">
        <f>IF(R246=TRUE,H246,0)</f>
        <v>0</v>
      </c>
      <c r="AP246" s="975">
        <f>IF(U246=TRUE,H246,0)</f>
        <v>0</v>
      </c>
      <c r="AQ246" s="1806">
        <f>IF(I246=11,0,G246*I246)</f>
        <v>14</v>
      </c>
      <c r="AR246" s="1806">
        <f>IF(J246=11,0,G246*J246)</f>
        <v>20</v>
      </c>
      <c r="AS246" s="1806">
        <f>IF(P246=11,0,G246*P246)</f>
        <v>8</v>
      </c>
      <c r="AT246" s="1806">
        <f>IF(Q246=11,0,G246*Q246)</f>
        <v>14</v>
      </c>
      <c r="AU246" s="1806">
        <f>IF(S246=11,0,S246*G246)</f>
        <v>14</v>
      </c>
      <c r="AV246" s="1806">
        <f>IF(T246=11,0,T246*G246)</f>
        <v>20</v>
      </c>
      <c r="BD246" s="816"/>
      <c r="BE246" s="110"/>
      <c r="BF246" s="477"/>
      <c r="BG246" s="113"/>
      <c r="BH246" s="481"/>
      <c r="BI246" s="113"/>
      <c r="BJ246" s="482"/>
      <c r="BK246" s="478"/>
    </row>
    <row r="247" spans="2:63" ht="32" customHeight="1" x14ac:dyDescent="0.2">
      <c r="B247" s="2030"/>
      <c r="C247" s="52" t="s">
        <v>247</v>
      </c>
      <c r="D247" s="26"/>
      <c r="E247" s="62"/>
      <c r="F247" s="35"/>
      <c r="G247" s="35"/>
      <c r="H247" s="35">
        <f>F247*G247</f>
        <v>0</v>
      </c>
      <c r="I247" s="1647">
        <v>11</v>
      </c>
      <c r="J247" s="1648">
        <v>11</v>
      </c>
      <c r="K247" s="45" t="b">
        <f>IF(AND(F247&gt;=I247,F247&lt;=J247),TRUE,FALSE)</f>
        <v>0</v>
      </c>
      <c r="L247" s="45"/>
      <c r="M247" s="45"/>
      <c r="N247" s="45"/>
      <c r="O247" s="1623"/>
      <c r="P247" s="1647">
        <v>11</v>
      </c>
      <c r="Q247" s="1648">
        <v>11</v>
      </c>
      <c r="R247" s="1623" t="b">
        <f>IF(AND(F247&gt;=P247,F247&lt;=Q247),TRUE,FALSE)</f>
        <v>0</v>
      </c>
      <c r="S247" s="1647">
        <v>11</v>
      </c>
      <c r="T247" s="1648">
        <v>11</v>
      </c>
      <c r="U247" s="1623" t="b">
        <f>IF(AND(F247&gt;=S247,F247&lt;=T247),TRUE,FALSE)</f>
        <v>0</v>
      </c>
      <c r="V247" s="931"/>
      <c r="W247" s="1406" t="s">
        <v>943</v>
      </c>
      <c r="X247" s="1425">
        <v>11</v>
      </c>
      <c r="Y247" s="1426"/>
      <c r="Z247" s="1427">
        <v>11</v>
      </c>
      <c r="AA247" s="1426"/>
      <c r="AB247" s="1421">
        <v>11</v>
      </c>
      <c r="AD247" s="960"/>
      <c r="AE247" s="961"/>
      <c r="AF247" s="960"/>
      <c r="AG247" s="961"/>
      <c r="AH247" s="960"/>
      <c r="AI247" s="961"/>
      <c r="AK247" s="10"/>
      <c r="AL247" s="10"/>
      <c r="AM247" s="10"/>
      <c r="AN247" s="975">
        <f>IF(K247=TRUE,H247,0)</f>
        <v>0</v>
      </c>
      <c r="AO247" s="975">
        <f>IF(R247=TRUE,H247,0)</f>
        <v>0</v>
      </c>
      <c r="AP247" s="975">
        <f>IF(U247=TRUE,H247,0)</f>
        <v>0</v>
      </c>
      <c r="AQ247" s="1806">
        <f>IF(I247=11,0,G247*I247)</f>
        <v>0</v>
      </c>
      <c r="AR247" s="1806">
        <f>IF(J247=11,0,G247*J247)</f>
        <v>0</v>
      </c>
      <c r="AS247" s="1806">
        <f>IF(P247=11,0,G247*P247)</f>
        <v>0</v>
      </c>
      <c r="AT247" s="1806">
        <f>IF(Q247=11,0,G247*Q247)</f>
        <v>0</v>
      </c>
      <c r="AU247" s="1806">
        <f>IF(S247=11,0,S247*G247)</f>
        <v>0</v>
      </c>
      <c r="AV247" s="1806">
        <f>IF(T247=11,0,T247*G247)</f>
        <v>0</v>
      </c>
      <c r="BC247" s="7"/>
      <c r="BD247" s="816"/>
      <c r="BE247" s="110"/>
      <c r="BF247" s="477"/>
      <c r="BG247" s="113"/>
      <c r="BH247" s="481"/>
      <c r="BI247" s="113"/>
      <c r="BJ247" s="482"/>
      <c r="BK247" s="478"/>
    </row>
    <row r="248" spans="2:63" ht="32" customHeight="1" thickBot="1" x14ac:dyDescent="0.25">
      <c r="B248" s="2030"/>
      <c r="C248" s="798" t="s">
        <v>746</v>
      </c>
      <c r="D248" s="799" t="str">
        <f>_xlfn.XLOOKUP(H248,H246:H247,D246:D247)</f>
        <v>Le nouveau ou nouvelle conjoint·e demande à votre enfant de l'appeler maman ou papa.</v>
      </c>
      <c r="E248" s="800" t="str">
        <f>_xlfn.XLOOKUP(H248,H246:H247,E246:E247)</f>
        <v>Le nouveau conjoint.e demande à être appelé papa ou maman</v>
      </c>
      <c r="F248" s="801"/>
      <c r="G248" s="801"/>
      <c r="H248" s="795">
        <f>IF(AND(K246=TRUE,K247=FALSE),H246,IF(AND(K246=FALSE,K247=TRUE),H247,MAX(H246,H247)))</f>
        <v>2</v>
      </c>
      <c r="I248" s="1625"/>
      <c r="J248" s="802"/>
      <c r="K248" s="803" t="b">
        <f>IF(AND(K246=FALSE,K247=FALSE),FALSE,TRUE)</f>
        <v>0</v>
      </c>
      <c r="L248" s="45"/>
      <c r="M248" s="45"/>
      <c r="N248" s="45"/>
      <c r="O248" s="1623"/>
      <c r="P248" s="1625"/>
      <c r="Q248" s="802"/>
      <c r="R248" s="1638" t="b">
        <f>IF(AND(R246=FALSE,R247=FALSE),FALSE,TRUE)</f>
        <v>0</v>
      </c>
      <c r="S248" s="1625"/>
      <c r="T248" s="802"/>
      <c r="U248" s="1638" t="b">
        <f>IF(AND(U246=FALSE,U247=FALSE),FALSE,TRUE)</f>
        <v>0</v>
      </c>
      <c r="V248" s="931"/>
      <c r="W248" s="931"/>
      <c r="X248" s="1392"/>
      <c r="Y248" s="8"/>
      <c r="Z248" s="1397"/>
      <c r="AA248" s="8"/>
      <c r="AB248" s="1400"/>
      <c r="AD248" s="960"/>
      <c r="AE248" s="961"/>
      <c r="AF248" s="960"/>
      <c r="AG248" s="961"/>
      <c r="AH248" s="960"/>
      <c r="AI248" s="961"/>
      <c r="AK248" s="10"/>
      <c r="AL248" s="10"/>
      <c r="AM248" s="10"/>
      <c r="AN248" s="2100">
        <f>IF($K248=TRUE,MAX(AN246:AN247),0)</f>
        <v>0</v>
      </c>
      <c r="AO248" s="2100">
        <f>IF($R248=TRUE,MAX(AO246:AO247),0)</f>
        <v>0</v>
      </c>
      <c r="AP248" s="2100">
        <f>IF($U248=TRUE,MAX(AP246:AP247),0)</f>
        <v>0</v>
      </c>
      <c r="AQ248" s="2099">
        <f>MAX(AQ246:AQ247)</f>
        <v>14</v>
      </c>
      <c r="AR248" s="2099">
        <f t="shared" ref="AR248" si="221">MAX(AR246:AR247)</f>
        <v>20</v>
      </c>
      <c r="AS248" s="2099">
        <f t="shared" ref="AS248" si="222">MAX(AS246:AS247)</f>
        <v>8</v>
      </c>
      <c r="AT248" s="2099">
        <f t="shared" ref="AT248" si="223">MAX(AT246:AT247)</f>
        <v>14</v>
      </c>
      <c r="AU248" s="2099">
        <f t="shared" ref="AU248" si="224">MAX(AU246:AU247)</f>
        <v>14</v>
      </c>
      <c r="AV248" s="2099">
        <f t="shared" ref="AV248" si="225">MAX(AV246:AV247)</f>
        <v>20</v>
      </c>
      <c r="BC248" s="7"/>
      <c r="BD248" s="816"/>
      <c r="BE248" s="110"/>
      <c r="BF248" s="477"/>
      <c r="BG248" s="113"/>
      <c r="BH248" s="481"/>
      <c r="BI248" s="113"/>
      <c r="BJ248" s="482"/>
      <c r="BK248" s="478"/>
    </row>
    <row r="249" spans="2:63" ht="32" customHeight="1" thickBot="1" x14ac:dyDescent="0.25">
      <c r="B249" s="2030"/>
      <c r="C249" s="804" t="s">
        <v>754</v>
      </c>
      <c r="D249" s="805"/>
      <c r="E249" s="805" t="str">
        <f>IF(H249=H245,E245,E248)</f>
        <v>Le nouveau conjoint.e demande à être appelé papa ou maman</v>
      </c>
      <c r="F249" s="806"/>
      <c r="G249" s="806"/>
      <c r="H249" s="806">
        <f>IF(AND(K245=TRUE,K248=FALSE),H245,IF(AND(K245=FALSE,K248=TRUE),H248,IF(AND(K245=TRUE,K248=TRUE),H245+H248,MAX(H245,H248))))</f>
        <v>2</v>
      </c>
      <c r="I249" s="1626"/>
      <c r="J249" s="807"/>
      <c r="K249" s="808" t="b">
        <f>IF(AND(K245=FALSE,K248=FALSE),FALSE,TRUE)</f>
        <v>0</v>
      </c>
      <c r="L249" s="1610"/>
      <c r="M249" s="1610"/>
      <c r="N249" s="1610"/>
      <c r="O249" s="1627"/>
      <c r="P249" s="1626"/>
      <c r="Q249" s="807"/>
      <c r="R249" s="808" t="b">
        <f>IF(AND(R245=FALSE,R248=FALSE),FALSE,TRUE)</f>
        <v>0</v>
      </c>
      <c r="S249" s="1626"/>
      <c r="T249" s="807"/>
      <c r="U249" s="808" t="b">
        <f>IF(AND(U245=FALSE,U248=FALSE),FALSE,TRUE)</f>
        <v>0</v>
      </c>
      <c r="V249" s="931"/>
      <c r="W249" s="931" t="s">
        <v>942</v>
      </c>
      <c r="X249" s="1392"/>
      <c r="Y249" s="8"/>
      <c r="Z249" s="1397"/>
      <c r="AA249" s="8"/>
      <c r="AB249" s="1400"/>
      <c r="AD249" s="960" t="str">
        <f>IF(K249=TRUE,"V","F")</f>
        <v>F</v>
      </c>
      <c r="AE249" s="961"/>
      <c r="AF249" s="960" t="str">
        <f>IF(R249=TRUE,"V","F")</f>
        <v>F</v>
      </c>
      <c r="AG249" s="961"/>
      <c r="AH249" s="960" t="str">
        <f>IF(U249=TRUE,"V","F")</f>
        <v>F</v>
      </c>
      <c r="AI249" s="961"/>
      <c r="AJ249" t="str">
        <f>IF(OR(AD249="V",AF249="V"),IF(H248&gt;H245,"Le NC contribue plus que le coparent","Le coparent joue un plus grand rôle que le NC"),"pas de contexte significatif de la part du coparent et NC")</f>
        <v>pas de contexte significatif de la part du coparent et NC</v>
      </c>
      <c r="AK249" s="10"/>
      <c r="AL249" s="10"/>
      <c r="AM249" s="10"/>
      <c r="AN249" s="631">
        <f>IF(AND($K245=TRUE,$K248=FALSE),AN245,IF(AND($K245=FALSE,$K248=TRUE),AN248,IF(AND($K245=TRUE,$K248=TRUE),AN245+AN248,0)))</f>
        <v>0</v>
      </c>
      <c r="AO249" s="631">
        <f>IF(AND($R245=TRUE,$R248=FALSE),AO245,IF(AND($R245=FALSE,$R248=TRUE),AO248,IF(AND($R245=TRUE,$R248=TRUE),AO245+AO248,0)))</f>
        <v>0</v>
      </c>
      <c r="AP249" s="631">
        <f>IF(AND($U245=TRUE,$U248=FALSE),AP245,IF(AND($U245=FALSE,$U248=TRUE),AP248,IF(AND($U245=TRUE,$U248=TRUE),AP245+AP248,0)))</f>
        <v>0</v>
      </c>
      <c r="AQ249" s="631">
        <f>IF(AND($K245=TRUE,$K248=FALSE),AQ245,IF(AND($K245=FALSE,$K248=TRUE),AQ248,IF(AND($K245=TRUE,$K248=TRUE),AQ245+AQ248,MAX(AQ245,AQ248))))</f>
        <v>14</v>
      </c>
      <c r="AR249" s="631">
        <f>IF(AND($K245=TRUE,$K248=FALSE),AR245,IF(AND($K245=FALSE,$K248=TRUE),AR248,IF(AND($K245=TRUE,$K248=TRUE),AR245+AR248,MAX(AR245,AR248))))</f>
        <v>30</v>
      </c>
      <c r="AS249" s="631">
        <f t="shared" ref="AS249" si="226">IF(AND($R245=TRUE,$R248=FALSE),AS245,IF(AND($R245=FALSE,$R248=TRUE),AS248,IF(AND($R245=TRUE,$R248=TRUE),AS245+AS248,MAX(AS245,AS248))))</f>
        <v>8</v>
      </c>
      <c r="AT249" s="631">
        <f t="shared" ref="AT249" si="227">IF(AND($R245=TRUE,$R248=FALSE),AT245,IF(AND($R245=FALSE,$R248=TRUE),AT248,IF(AND($R245=TRUE,$R248=TRUE),AT245+AT248,MAX(AT245,AT248))))</f>
        <v>21</v>
      </c>
      <c r="AU249" s="631">
        <f t="shared" ref="AU249" si="228">IF(AND($U245=TRUE,$U248=FALSE),AU245,IF(AND($U245=FALSE,$U248=TRUE),AU248,IF(AND($U245=TRUE,$U248=TRUE),AU245+AU248,MAX(AU245,AU248))))</f>
        <v>14</v>
      </c>
      <c r="AV249" s="631">
        <f t="shared" ref="AV249" si="229">IF(AND($U245=TRUE,$U248=FALSE),AV245,IF(AND($U245=FALSE,$U248=TRUE),AV248,IF(AND($U245=TRUE,$U248=TRUE),AV245+AV248,MAX(AV245,AV248))))</f>
        <v>20</v>
      </c>
      <c r="BC249" s="7"/>
      <c r="BD249" s="816"/>
      <c r="BE249" s="110"/>
      <c r="BF249" s="477"/>
      <c r="BG249" s="113"/>
      <c r="BH249" s="481"/>
      <c r="BI249" s="113"/>
      <c r="BJ249" s="482"/>
      <c r="BK249" s="478"/>
    </row>
    <row r="250" spans="2:63" ht="56" customHeight="1" x14ac:dyDescent="0.2">
      <c r="B250" s="2030" t="str">
        <f>'Action-Réaction finale'!Q40</f>
        <v>F: Interférence lien affectif ou symbolique</v>
      </c>
      <c r="C250" s="313" t="str">
        <f>'Action-Réaction finale'!O40</f>
        <v>E20</v>
      </c>
      <c r="D250" s="26" t="str">
        <f>Test_Bible!B300</f>
        <v>Votre enfant considère le nouveau ou nouvelle conjoint·e (de l'autre parent) comme son père ou sa mère.</v>
      </c>
      <c r="E250" s="101" t="s">
        <v>775</v>
      </c>
      <c r="F250" s="790">
        <f>Test_Bible!P300</f>
        <v>1</v>
      </c>
      <c r="G250" s="789">
        <f>Test_Bible!D300</f>
        <v>2</v>
      </c>
      <c r="H250" s="790">
        <f>F250*G250</f>
        <v>2</v>
      </c>
      <c r="I250" s="1622">
        <v>7</v>
      </c>
      <c r="J250" s="1615">
        <f>$J$18</f>
        <v>10</v>
      </c>
      <c r="K250" s="45" t="b">
        <f>IF(AND(F250&gt;=I250,F250&lt;=J250),TRUE,FALSE)</f>
        <v>0</v>
      </c>
      <c r="L250" s="45"/>
      <c r="M250" s="45"/>
      <c r="N250" s="45"/>
      <c r="O250" s="1623"/>
      <c r="P250" s="1622">
        <v>4</v>
      </c>
      <c r="Q250" s="1615">
        <v>7</v>
      </c>
      <c r="R250" s="1623" t="b">
        <f>IF(AND(F250&gt;=P250,F250&lt;=Q250),TRUE,FALSE)</f>
        <v>0</v>
      </c>
      <c r="S250" s="1622"/>
      <c r="T250" s="1615"/>
      <c r="U250" s="1623"/>
      <c r="V250" s="931"/>
      <c r="W250" s="1403"/>
      <c r="X250" s="1422">
        <v>11</v>
      </c>
      <c r="Y250" s="1423"/>
      <c r="Z250" s="1424">
        <v>11</v>
      </c>
      <c r="AA250" s="1423"/>
      <c r="AB250" s="1416">
        <v>11</v>
      </c>
      <c r="AD250" s="960" t="s">
        <v>945</v>
      </c>
      <c r="AE250" s="961"/>
      <c r="AF250" s="960"/>
      <c r="AG250" s="961"/>
      <c r="AH250" s="960"/>
      <c r="AI250" s="961"/>
      <c r="AK250" s="10"/>
      <c r="AL250" s="10"/>
      <c r="AM250" s="10"/>
      <c r="AN250" s="975">
        <f>IF($K250=TRUE,H250,0)</f>
        <v>0</v>
      </c>
      <c r="AO250" s="975">
        <f>IF($R250=TRUE,H250,0)</f>
        <v>0</v>
      </c>
      <c r="AP250" s="975"/>
      <c r="AQ250" s="1806">
        <f>IF(I250=11,0,G250*I250)</f>
        <v>14</v>
      </c>
      <c r="AR250" s="1806">
        <f>IF(J250=11,0,G250*J250)</f>
        <v>20</v>
      </c>
      <c r="AS250" s="1806">
        <f>IF(P250=11,0,G250*P250)</f>
        <v>8</v>
      </c>
      <c r="AT250" s="1806">
        <f>IF(Q250=11,0,G250*Q250)</f>
        <v>14</v>
      </c>
      <c r="AU250" s="1806"/>
      <c r="AV250" s="1806"/>
      <c r="BC250" s="7"/>
      <c r="BD250" s="816"/>
      <c r="BE250" s="110"/>
      <c r="BF250" s="477"/>
      <c r="BG250" s="113"/>
      <c r="BH250" s="481"/>
      <c r="BI250" s="113"/>
      <c r="BJ250" s="482"/>
      <c r="BK250" s="478"/>
    </row>
    <row r="251" spans="2:63" ht="47" customHeight="1" thickBot="1" x14ac:dyDescent="0.25">
      <c r="B251" s="2030" t="str">
        <f>'Action-Réaction finale'!Q41</f>
        <v>F: Interférence lien affectif ou symbolique</v>
      </c>
      <c r="C251" s="313" t="str">
        <f>'Action-Réaction finale'!O41</f>
        <v>E20a</v>
      </c>
      <c r="D251" s="26" t="str">
        <f>Test_Bible!B301</f>
        <v/>
      </c>
      <c r="E251" s="101"/>
      <c r="F251" s="790">
        <f>Test_Bible!P301</f>
        <v>0</v>
      </c>
      <c r="G251" s="789">
        <f>Test_Bible!D301</f>
        <v>3</v>
      </c>
      <c r="H251" s="790">
        <f>F251*G251</f>
        <v>0</v>
      </c>
      <c r="I251" s="1622">
        <v>7</v>
      </c>
      <c r="J251" s="1615">
        <v>10</v>
      </c>
      <c r="K251" s="45" t="b">
        <f>IF(AND(F251&gt;=I251,F251&lt;=J251),TRUE,FALSE)</f>
        <v>0</v>
      </c>
      <c r="L251" s="45"/>
      <c r="M251" s="45"/>
      <c r="N251" s="45"/>
      <c r="O251" s="1623"/>
      <c r="P251" s="1622">
        <v>4</v>
      </c>
      <c r="Q251" s="1615">
        <v>7</v>
      </c>
      <c r="R251" s="1623" t="b">
        <f>IF(AND(F251&gt;=P251,F251&lt;=Q251),TRUE,FALSE)</f>
        <v>0</v>
      </c>
      <c r="S251" s="1647"/>
      <c r="T251" s="1648"/>
      <c r="U251" s="1623"/>
      <c r="V251" s="931"/>
      <c r="W251" s="1406" t="s">
        <v>943</v>
      </c>
      <c r="X251" s="1425">
        <v>11</v>
      </c>
      <c r="Y251" s="1426"/>
      <c r="Z251" s="1427">
        <v>11</v>
      </c>
      <c r="AA251" s="1426"/>
      <c r="AB251" s="1421">
        <v>11</v>
      </c>
      <c r="AD251" s="960"/>
      <c r="AE251" s="961"/>
      <c r="AF251" s="960"/>
      <c r="AG251" s="961"/>
      <c r="AH251" s="960"/>
      <c r="AI251" s="961"/>
      <c r="AK251" s="10"/>
      <c r="AL251" s="10"/>
      <c r="AM251" s="10"/>
      <c r="AN251" s="975">
        <f>IF($K251=TRUE,H251,0)</f>
        <v>0</v>
      </c>
      <c r="AO251" s="975">
        <f>IF($R251=TRUE,H251,0)</f>
        <v>0</v>
      </c>
      <c r="AP251" s="975"/>
      <c r="AQ251" s="1806">
        <f>IF(I251=11,0,G251*I251)</f>
        <v>21</v>
      </c>
      <c r="AR251" s="1806">
        <f>IF(J251=11,0,G251*J251)</f>
        <v>30</v>
      </c>
      <c r="AS251" s="1806">
        <f>IF(P251=11,0,G251*P251)</f>
        <v>12</v>
      </c>
      <c r="AT251" s="1806">
        <f>IF(Q251=11,0,G251*Q251)</f>
        <v>21</v>
      </c>
      <c r="AU251" s="1806"/>
      <c r="AV251" s="1806"/>
      <c r="BC251" s="7"/>
      <c r="BD251" s="816"/>
      <c r="BE251" s="110"/>
      <c r="BF251" s="477"/>
      <c r="BG251" s="113"/>
      <c r="BH251" s="481"/>
      <c r="BI251" s="113"/>
      <c r="BJ251" s="482"/>
      <c r="BK251" s="478"/>
    </row>
    <row r="252" spans="2:63" ht="32" customHeight="1" thickBot="1" x14ac:dyDescent="0.25">
      <c r="B252" s="2030"/>
      <c r="C252" s="809" t="s">
        <v>747</v>
      </c>
      <c r="D252" s="810" t="str">
        <f>_xlfn.XLOOKUP(H252,H250:H251,D250:D251)</f>
        <v>Votre enfant considère le nouveau ou nouvelle conjoint·e (de l'autre parent) comme son père ou sa mère.</v>
      </c>
      <c r="E252" s="810" t="str">
        <f>_xlfn.XLOOKUP(H252,H250:H251,E250:E251)</f>
        <v>considère le nouveau conjoint.e comme son père ou sa mère</v>
      </c>
      <c r="F252" s="811"/>
      <c r="G252" s="811"/>
      <c r="H252" s="811">
        <f>IF(AND(K250=TRUE,K251=FALSE),H250,IF(AND(K250=FALSE,K251=TRUE),H251,MAX(H250,H251)))</f>
        <v>2</v>
      </c>
      <c r="I252" s="1628"/>
      <c r="J252" s="812"/>
      <c r="K252" s="813" t="b">
        <f>IF(AND(K250=FALSE,K251=FALSE),FALSE,TRUE)</f>
        <v>0</v>
      </c>
      <c r="L252" s="1611"/>
      <c r="M252" s="1611"/>
      <c r="N252" s="1611"/>
      <c r="O252" s="1629"/>
      <c r="P252" s="1628"/>
      <c r="Q252" s="812"/>
      <c r="R252" s="813" t="b">
        <f>IF(AND(R250=FALSE,R251=FALSE),FALSE,TRUE)</f>
        <v>0</v>
      </c>
      <c r="S252" s="1628"/>
      <c r="T252" s="812"/>
      <c r="U252" s="813"/>
      <c r="V252" s="931"/>
      <c r="W252" s="931"/>
      <c r="X252" s="1394"/>
      <c r="Z252" s="1398"/>
      <c r="AB252" s="1402"/>
      <c r="AD252" s="960" t="str">
        <f>IF(K252=TRUE,"V","F")</f>
        <v>F</v>
      </c>
      <c r="AE252" s="961"/>
      <c r="AF252" s="960" t="str">
        <f>IF(R252=TRUE,"V","F")</f>
        <v>F</v>
      </c>
      <c r="AG252" s="961"/>
      <c r="AH252" s="960"/>
      <c r="AI252" s="961"/>
      <c r="AK252" s="10"/>
      <c r="AL252" s="10"/>
      <c r="AM252" s="10"/>
      <c r="AN252" s="2102">
        <f>IF(AND($K250=TRUE,$K251=FALSE),AN250,IF(AND($K250=FALSE,$K251=TRUE),AN251,IF(AND($K250=TRUE,$K251=TRUE),MAX(AN250,AN251),0)))</f>
        <v>0</v>
      </c>
      <c r="AO252" s="2102">
        <f>IF(AND($R250=TRUE,$R251=FALSE),AO250,IF(AND($R250=FALSE,$R251=TRUE),AO251,IF(AND($R250=TRUE,$R251=TRUE),MAX(AO250,AO251),0)))</f>
        <v>0</v>
      </c>
      <c r="AP252" s="2102"/>
      <c r="AQ252" s="2102">
        <f>IF(AND($K250=TRUE,$K251=FALSE),AQ250,IF(AND($K250=FALSE,$K251=TRUE),AQ251,IF(AND($K250=TRUE,$K251=TRUE),MAX(AQ250,AQ251),0)))</f>
        <v>0</v>
      </c>
      <c r="AR252" s="2102">
        <f>IF(AND($K250=TRUE,$K251=FALSE),AR250,IF(AND($K250=FALSE,$K251=TRUE),AR251,IF(AND($K250=TRUE,$K251=TRUE),MAX(AR250,AR251),0)))</f>
        <v>0</v>
      </c>
      <c r="AS252" s="2102">
        <f t="shared" ref="AS252" si="230">IF(AND($R250=TRUE,$R251=FALSE),AS250,IF(AND($R250=FALSE,$R251=TRUE),AS251,IF(AND($R250=TRUE,$R251=TRUE),MAX(AS250,AS251),0)))</f>
        <v>0</v>
      </c>
      <c r="AT252" s="2102">
        <f t="shared" ref="AT252" si="231">IF(AND($R250=TRUE,$R251=FALSE),AT250,IF(AND($R250=FALSE,$R251=TRUE),AT251,IF(AND($R250=TRUE,$R251=TRUE),MAX(AT250,AT251),0)))</f>
        <v>0</v>
      </c>
      <c r="AU252" s="2102"/>
      <c r="AV252" s="2102"/>
      <c r="BD252" s="816"/>
      <c r="BE252" s="110"/>
      <c r="BF252" s="477"/>
      <c r="BG252" s="113"/>
      <c r="BH252" s="481"/>
      <c r="BI252" s="113"/>
      <c r="BJ252" s="482"/>
      <c r="BK252" s="478"/>
    </row>
    <row r="253" spans="2:63" ht="32" customHeight="1" x14ac:dyDescent="0.2">
      <c r="B253" s="2030"/>
      <c r="D253" s="421" t="s">
        <v>310</v>
      </c>
      <c r="E253" s="785"/>
      <c r="F253" s="474" t="s">
        <v>398</v>
      </c>
      <c r="G253" s="47"/>
      <c r="H253" s="47">
        <f>IF(AND(K249=TRUE,K252=FALSE),H249,IF(AND(K249=FALSE,K252=TRUE),H252,IF(AND(K249=TRUE,K252=TRUE),H249+H252,MAX(H249,H252))))</f>
        <v>2</v>
      </c>
      <c r="I253" s="1630"/>
      <c r="J253" s="475"/>
      <c r="K253" s="1613"/>
      <c r="L253" s="1614" t="str">
        <f>IF(AND(K252=TRUE,K249=TRUE),E252,"")</f>
        <v/>
      </c>
      <c r="M253" s="1614" t="str">
        <f>IF(AND(K249=TRUE,K252=FALSE),"Bien que le parent "&amp;E249&amp;" l'enfant ne semble pas s'ingérer","")</f>
        <v/>
      </c>
      <c r="N253" s="1614" t="str">
        <f>IF(AND(K249=FALSE,K252=TRUE),E252&amp;" sans signe de la participation du parent favorisé et|ou nouveau conjoint.e","")</f>
        <v/>
      </c>
      <c r="O253" s="1631" t="str">
        <f>IF(AND(K249=FALSE,K252=FALSE),"aucun comportement significatif de cette nature","")</f>
        <v>aucun comportement significatif de cette nature</v>
      </c>
      <c r="P253" s="1630"/>
      <c r="Q253" s="475"/>
      <c r="R253" s="1639"/>
      <c r="S253" s="1630"/>
      <c r="T253" s="475"/>
      <c r="U253" s="1639"/>
      <c r="V253" s="170"/>
      <c r="W253" s="170"/>
      <c r="X253" s="1394"/>
      <c r="Z253" s="1398"/>
      <c r="AB253" s="1402"/>
      <c r="AD253" s="962"/>
      <c r="AE253" s="963">
        <f>IF(AND(AD249="V",AD252="V"),2,IF(OR(AD249="V",AD252="V"),1,0))</f>
        <v>0</v>
      </c>
      <c r="AF253" s="962"/>
      <c r="AG253" s="963">
        <f>IF(OR(AF249="V",AF252="V"),1,0)</f>
        <v>0</v>
      </c>
      <c r="AH253" s="962"/>
      <c r="AI253" s="963"/>
      <c r="AK253" s="10"/>
      <c r="AL253" s="10"/>
      <c r="AM253" s="10"/>
      <c r="AN253" s="2097">
        <f>IF(AND($AD249="V",$AD252="F"),AN249,IF(AND($AD249="F",$AD252="V"),AN252,IF(AND($AD249="V",$AD252="V"),AN249+AN252,0)))</f>
        <v>0</v>
      </c>
      <c r="AO253" s="2097">
        <f>IF(AND($AF249="V",$AF252="F"),AO249,IF(AND($AF249="F",$AF252="V"),AO252,IF(AND($AF249="V",$AF252="V"),AO249+AO252,0)))</f>
        <v>0</v>
      </c>
      <c r="AP253" s="2097"/>
      <c r="AQ253" s="2097">
        <f>IF(AND($AD249="V",$AD252="F"),AQ249,IF(AND($AD249="F",$AD252="V"),AQ252,IF(AND($AD249="V",$AD252="V"),AQ249+AQ252,0)))</f>
        <v>0</v>
      </c>
      <c r="AR253" s="2097">
        <f>IF(AND($AD249="V",$AD252="F"),AR249,IF(AND($AD249="F",$AD252="V"),AR252,IF(AND($AD249="V",$AD252="V"),AR249+AR252,0)))</f>
        <v>0</v>
      </c>
      <c r="AS253" s="2097">
        <f>IF(AND($AF249="V",$AF252="F"),AS249,IF(AND($AF249="F",$AF252="V"),AS252,IF(AND($AF249="V",$AF252="V"),AS249+AS252,0)))</f>
        <v>0</v>
      </c>
      <c r="AT253" s="2097">
        <f>IF(AND($AF249="V",$AF252="F"),AT249,IF(AND($AF249="F",$AF252="V"),AT252,IF(AND($AF249="V",$AF252="V"),AT249+AT252,0)))</f>
        <v>0</v>
      </c>
      <c r="AU253" s="2097"/>
      <c r="AV253" s="2097"/>
      <c r="BD253" s="816"/>
      <c r="BE253" s="110"/>
      <c r="BF253" s="477"/>
      <c r="BG253" s="113"/>
      <c r="BH253" s="481"/>
      <c r="BI253" s="113"/>
      <c r="BJ253" s="482"/>
      <c r="BK253" s="478"/>
    </row>
    <row r="254" spans="2:63" ht="32" customHeight="1" x14ac:dyDescent="0.2">
      <c r="B254" s="2030"/>
      <c r="C254" t="s">
        <v>243</v>
      </c>
      <c r="I254" s="146"/>
      <c r="L254" s="46"/>
      <c r="M254" s="46"/>
      <c r="N254" s="46"/>
      <c r="O254" s="1652"/>
      <c r="P254" s="146"/>
      <c r="R254" s="326"/>
      <c r="S254" s="146"/>
      <c r="U254" s="326"/>
      <c r="V254" s="46"/>
      <c r="X254" s="1394"/>
      <c r="Z254" s="1398"/>
      <c r="AB254" s="1402"/>
      <c r="AD254" s="960"/>
      <c r="AE254" s="961"/>
      <c r="AF254" s="960"/>
      <c r="AG254" s="961"/>
      <c r="AH254" s="960"/>
      <c r="AI254" s="961"/>
      <c r="AK254" s="10"/>
      <c r="AL254" s="10"/>
      <c r="AM254" s="10"/>
      <c r="AN254" s="975"/>
      <c r="AO254" s="975"/>
      <c r="AP254" s="975"/>
      <c r="AQ254" s="1806"/>
      <c r="AR254" s="1806"/>
      <c r="AS254" s="1806"/>
      <c r="AT254" s="1806"/>
      <c r="AU254" s="1806"/>
      <c r="AV254" s="1806"/>
      <c r="BD254" s="816"/>
      <c r="BE254" s="110"/>
      <c r="BF254" s="477"/>
      <c r="BG254" s="113"/>
      <c r="BH254" s="481"/>
      <c r="BI254" s="113"/>
      <c r="BJ254" s="482"/>
      <c r="BK254" s="478"/>
    </row>
    <row r="255" spans="2:63" ht="32" customHeight="1" x14ac:dyDescent="0.2">
      <c r="B255" s="2030"/>
      <c r="C255" s="964"/>
      <c r="D255" s="972"/>
      <c r="E255" s="965"/>
      <c r="F255" s="973"/>
      <c r="G255" s="973"/>
      <c r="H255" s="973">
        <f>F255*G255</f>
        <v>0</v>
      </c>
      <c r="I255" s="1647">
        <v>11</v>
      </c>
      <c r="J255" s="1648">
        <v>11</v>
      </c>
      <c r="K255" s="45" t="b">
        <f>IF(AND(F255&gt;=I255,F255&lt;=J255),TRUE,FALSE)</f>
        <v>0</v>
      </c>
      <c r="L255" s="32"/>
      <c r="M255" s="32"/>
      <c r="N255" s="32"/>
      <c r="O255" s="1632"/>
      <c r="P255" s="1647">
        <v>11</v>
      </c>
      <c r="Q255" s="1648">
        <v>11</v>
      </c>
      <c r="R255" s="1623" t="b">
        <f>IF(AND(F255&gt;=P255,F255&lt;=Q255),TRUE,FALSE)</f>
        <v>0</v>
      </c>
      <c r="S255" s="1647">
        <v>11</v>
      </c>
      <c r="T255" s="1648">
        <v>11</v>
      </c>
      <c r="U255" s="1623" t="b">
        <f>IF(AND(F255&gt;=S255,F255&lt;=T255),TRUE,FALSE)</f>
        <v>0</v>
      </c>
      <c r="V255" s="46"/>
      <c r="W255" s="1428"/>
      <c r="X255" s="1422">
        <v>11</v>
      </c>
      <c r="Y255" s="1423"/>
      <c r="Z255" s="1424">
        <v>11</v>
      </c>
      <c r="AA255" s="1423"/>
      <c r="AB255" s="1416">
        <v>11</v>
      </c>
      <c r="AD255" s="960"/>
      <c r="AE255" s="961"/>
      <c r="AF255" s="960"/>
      <c r="AG255" s="961"/>
      <c r="AH255" s="960"/>
      <c r="AI255" s="961"/>
      <c r="AK255" s="10"/>
      <c r="AL255" s="10"/>
      <c r="AM255" s="10"/>
      <c r="AN255" s="975">
        <f>IF($K255=TRUE,H255,0)</f>
        <v>0</v>
      </c>
      <c r="AO255" s="975">
        <f>IF($R255=TRUE,H255,0)</f>
        <v>0</v>
      </c>
      <c r="AP255" s="975">
        <f>IF($U255=TRUE,H255,0)</f>
        <v>0</v>
      </c>
      <c r="AQ255" s="1806">
        <f>IF(I255=11,0,G255*I255)</f>
        <v>0</v>
      </c>
      <c r="AR255" s="1806">
        <f>IF(J255=11,0,G255*J255)</f>
        <v>0</v>
      </c>
      <c r="AS255" s="1806">
        <f>IF(P255=11,0,G255*P255)</f>
        <v>0</v>
      </c>
      <c r="AT255" s="1806">
        <f>IF(Q255=11,0,G255*Q255)</f>
        <v>0</v>
      </c>
      <c r="AU255" s="1806">
        <f>IF(S255=11,0,S255*G255)</f>
        <v>0</v>
      </c>
      <c r="AV255" s="1806">
        <f>IF(T255=11,0,T255*G255)</f>
        <v>0</v>
      </c>
      <c r="BD255" s="816"/>
      <c r="BE255" s="110"/>
      <c r="BF255" s="477"/>
      <c r="BG255" s="113"/>
      <c r="BH255" s="481"/>
      <c r="BI255" s="113"/>
      <c r="BJ255" s="482"/>
      <c r="BK255" s="478"/>
    </row>
    <row r="256" spans="2:63" ht="32" customHeight="1" thickBot="1" x14ac:dyDescent="0.25">
      <c r="B256" s="2030"/>
      <c r="C256" s="964"/>
      <c r="D256" s="972"/>
      <c r="E256" s="965"/>
      <c r="F256" s="973"/>
      <c r="G256" s="973"/>
      <c r="H256" s="973">
        <f>F256*G256</f>
        <v>0</v>
      </c>
      <c r="I256" s="1647">
        <v>11</v>
      </c>
      <c r="J256" s="1648">
        <v>11</v>
      </c>
      <c r="K256" s="45" t="b">
        <f>IF(AND(F256&gt;=I256,F256&lt;=J256),TRUE,FALSE)</f>
        <v>0</v>
      </c>
      <c r="L256" s="32"/>
      <c r="M256" s="32"/>
      <c r="N256" s="32"/>
      <c r="O256" s="1632"/>
      <c r="P256" s="1647">
        <v>11</v>
      </c>
      <c r="Q256" s="1648">
        <v>11</v>
      </c>
      <c r="R256" s="1623" t="b">
        <f>IF(AND(F256&gt;=P256,F256&lt;=Q256),TRUE,FALSE)</f>
        <v>0</v>
      </c>
      <c r="S256" s="1647">
        <v>11</v>
      </c>
      <c r="T256" s="1648">
        <v>11</v>
      </c>
      <c r="U256" s="1623" t="b">
        <f>IF(AND(F256&gt;=S256,F256&lt;=T256),TRUE,FALSE)</f>
        <v>0</v>
      </c>
      <c r="W256" s="1429"/>
      <c r="X256" s="1425">
        <v>11</v>
      </c>
      <c r="Y256" s="1426"/>
      <c r="Z256" s="1427">
        <v>11</v>
      </c>
      <c r="AA256" s="1426"/>
      <c r="AB256" s="1421">
        <v>11</v>
      </c>
      <c r="AD256" s="960"/>
      <c r="AE256" s="961"/>
      <c r="AF256" s="960"/>
      <c r="AG256" s="961"/>
      <c r="AH256" s="960"/>
      <c r="AI256" s="961"/>
      <c r="AK256" s="10"/>
      <c r="AL256" s="10"/>
      <c r="AM256" s="10"/>
      <c r="AN256" s="975">
        <f>IF($K256=TRUE,H256,0)</f>
        <v>0</v>
      </c>
      <c r="AO256" s="975">
        <f>IF($R256=TRUE,H256,0)</f>
        <v>0</v>
      </c>
      <c r="AP256" s="975">
        <f>IF($U256=TRUE,H256,0)</f>
        <v>0</v>
      </c>
      <c r="AQ256" s="1806">
        <f>IF(I256=11,0,G256*I256)</f>
        <v>0</v>
      </c>
      <c r="AR256" s="1806">
        <f>IF(J256=11,0,G256*J256)</f>
        <v>0</v>
      </c>
      <c r="AS256" s="1806">
        <f>IF(P256=11,0,G256*P256)</f>
        <v>0</v>
      </c>
      <c r="AT256" s="1806">
        <f>IF(Q256=11,0,G256*Q256)</f>
        <v>0</v>
      </c>
      <c r="AU256" s="1806">
        <f>IF(S256=11,0,S256*G256)</f>
        <v>0</v>
      </c>
      <c r="AV256" s="1806">
        <f>IF(T256=11,0,T256*G256)</f>
        <v>0</v>
      </c>
      <c r="BE256" s="110"/>
      <c r="BF256" s="477"/>
      <c r="BG256" s="109"/>
      <c r="BH256" s="479"/>
      <c r="BI256" s="109"/>
      <c r="BJ256" s="110"/>
      <c r="BK256" s="109"/>
    </row>
    <row r="257" spans="2:85" ht="32" customHeight="1" thickBot="1" x14ac:dyDescent="0.25">
      <c r="B257" s="2030"/>
      <c r="D257" s="16"/>
      <c r="E257" s="16"/>
      <c r="F257" s="89"/>
      <c r="G257" s="473"/>
      <c r="H257" s="47">
        <f>IF(AND(K255=TRUE,K256=FALSE),H255,IF(AND(K255=FALSE,K256=TRUE),H256,MAX(H255,H256)))</f>
        <v>0</v>
      </c>
      <c r="I257" s="1644"/>
      <c r="J257" s="1645"/>
      <c r="K257" s="1651" t="b">
        <f>IF(AND(K255=FALSE,K256=FALSE),FALSE,TRUE)</f>
        <v>0</v>
      </c>
      <c r="L257" s="1633"/>
      <c r="M257" s="1634"/>
      <c r="N257" s="1634"/>
      <c r="O257" s="1635"/>
      <c r="P257" s="1644"/>
      <c r="Q257" s="1645"/>
      <c r="R257" s="1651" t="b">
        <f>IF(AND(R255=FALSE,R256=FALSE),FALSE,TRUE)</f>
        <v>0</v>
      </c>
      <c r="S257" s="1656"/>
      <c r="T257" s="1657"/>
      <c r="U257" s="1658" t="b">
        <f>IF(AND(U255=FALSE,U256=FALSE),FALSE,TRUE)</f>
        <v>0</v>
      </c>
      <c r="V257" s="933"/>
      <c r="AD257" s="1564" t="str">
        <f>IF(K257=TRUE,"V","F")</f>
        <v>F</v>
      </c>
      <c r="AE257" s="1565"/>
      <c r="AF257" s="1564" t="str">
        <f>IF(R257=TRUE,"V","F")</f>
        <v>F</v>
      </c>
      <c r="AG257" s="1565"/>
      <c r="AH257" s="1564" t="str">
        <f>IF(U257=TRUE,"V","F")</f>
        <v>F</v>
      </c>
      <c r="AI257" s="1565"/>
      <c r="AK257" s="10"/>
      <c r="AL257" s="10"/>
      <c r="AM257" s="10"/>
      <c r="AN257" s="2102">
        <f>IF(AND($K255=TRUE,$K256=FALSE),AN255,IF(AND($K255=FALSE,$K256=TRUE),AN256,MAX(AN255,AN256)))</f>
        <v>0</v>
      </c>
      <c r="AO257" s="2102">
        <f>IF(AND($R255=TRUE,$R256=FALSE),AO255,IF(AND($R255=FALSE,$R256=TRUE),AO256,MAX(AO255,AO256)))</f>
        <v>0</v>
      </c>
      <c r="AP257" s="2102">
        <f>IF(AND($U255=TRUE,$U256=FALSE),AP255,IF(AND($U255=FALSE,$U256=TRUE),AP256,MAX(AP255,AP256)))</f>
        <v>0</v>
      </c>
      <c r="AQ257" s="2102">
        <f>IF(AND($K255=TRUE,$K256=FALSE),AQ255,IF(AND($K255=FALSE,$K256=TRUE),AQ256,MAX(AQ255,AQ256)))</f>
        <v>0</v>
      </c>
      <c r="AR257" s="2102">
        <f>IF(AND($K255=TRUE,$K256=FALSE),AR255,IF(AND($K255=FALSE,$K256=TRUE),AR256,MAX(AR255,AR256)))</f>
        <v>0</v>
      </c>
      <c r="AS257" s="2102">
        <f>IF(AND($R255=TRUE,$R256=FALSE),AS255,IF(AND($R255=FALSE,$R256=TRUE),AS256,MAX(AS255,AS256)))</f>
        <v>0</v>
      </c>
      <c r="AT257" s="2102">
        <f>IF(AND($R255=TRUE,$R256=FALSE),AT255,IF(AND($R255=FALSE,$R256=TRUE),AT256,MAX(AT255,AT256)))</f>
        <v>0</v>
      </c>
      <c r="AU257" s="2102">
        <f>IF(AND($U255=TRUE,$U256=FALSE),AU255,IF(AND($U255=FALSE,$U256=TRUE),AU256,MAX(AU255,AU256)))</f>
        <v>0</v>
      </c>
      <c r="AV257" s="2102">
        <f>IF(AND($U255=TRUE,$U256=FALSE),AV255,IF(AND($U255=FALSE,$U256=TRUE),AV256,MAX(AV255,AV256)))</f>
        <v>0</v>
      </c>
      <c r="BE257" s="110"/>
      <c r="BF257" s="477"/>
      <c r="BG257" s="109"/>
      <c r="BH257" s="479"/>
      <c r="BI257" s="109"/>
      <c r="BJ257" s="110"/>
      <c r="BK257" s="109"/>
    </row>
    <row r="258" spans="2:85" ht="32" customHeight="1" thickBot="1" x14ac:dyDescent="0.35">
      <c r="D258" s="16"/>
      <c r="E258" s="16"/>
      <c r="F258" s="89"/>
      <c r="G258" s="473"/>
      <c r="H258" s="473"/>
      <c r="I258" s="8"/>
      <c r="J258" s="8"/>
      <c r="K258" s="932"/>
      <c r="L258" s="933"/>
      <c r="M258" s="933"/>
      <c r="N258" s="933"/>
      <c r="O258" s="933"/>
      <c r="P258" s="933"/>
      <c r="Q258" s="933"/>
      <c r="R258" s="933"/>
      <c r="S258" s="933"/>
      <c r="T258" s="933"/>
      <c r="U258" s="933"/>
      <c r="V258" s="933"/>
      <c r="W258" s="933"/>
      <c r="AD258" s="1649"/>
      <c r="AE258" s="1650">
        <f>IF(AND(AD257="V",AD249="V"),AE253-1,AE253)</f>
        <v>0</v>
      </c>
      <c r="AF258" s="1649"/>
      <c r="AG258" s="1650">
        <f>IF(OR(AF249="V",AF252="V",AF257="V"),1,0)</f>
        <v>0</v>
      </c>
      <c r="AH258" s="1649"/>
      <c r="AI258" s="1650">
        <f>IF(AH249="V",1,IF(AH257="V",1,0))</f>
        <v>0</v>
      </c>
      <c r="AK258" s="10">
        <v>1</v>
      </c>
      <c r="AL258" s="10">
        <v>1</v>
      </c>
      <c r="AM258" s="10">
        <v>1</v>
      </c>
      <c r="AN258" s="2101">
        <f>IF($AD257="F",AN253,AN253+AN257)</f>
        <v>0</v>
      </c>
      <c r="AO258" s="2101">
        <f>IF($AF257="F",AO253,AO253+AO257)</f>
        <v>0</v>
      </c>
      <c r="AP258" s="2101">
        <f>IF(AND($AH249="V",$AH257="F"),AP249,IF(AND($AH249="F",$AH257="V"),AP257,IF(AND($AH249="V",$AH257="V"),AP249+AP257,0)))</f>
        <v>0</v>
      </c>
      <c r="AQ258" s="2101">
        <f>IF($AD257="F",AQ253,AQ253+AQ257)</f>
        <v>0</v>
      </c>
      <c r="AR258" s="2101">
        <f t="shared" ref="AR258" si="232">IF($AD257="F",AR253,AR253+AR257)</f>
        <v>0</v>
      </c>
      <c r="AS258" s="2101">
        <f t="shared" ref="AS258" si="233">IF($AF257="F",AS253,AS253+AS257)</f>
        <v>0</v>
      </c>
      <c r="AT258" s="2101">
        <f t="shared" ref="AT258" si="234">IF($AF257="F",AT253,AT253+AT257)</f>
        <v>0</v>
      </c>
      <c r="AU258" s="2101">
        <f t="shared" ref="AU258" si="235">IF(AND($AH249="V",$AH257="F"),AU249,IF(AND($AH249="F",$AH257="V"),AU257,IF(AND($AH249="V",$AH257="V"),AU249+AU257,0)))</f>
        <v>0</v>
      </c>
      <c r="AV258" s="2101">
        <f t="shared" ref="AV258" si="236">IF(AND($AH249="V",$AH257="F"),AV249,IF(AND($AH249="F",$AH257="V"),AV257,IF(AND($AH249="V",$AH257="V"),AV249+AV257,0)))</f>
        <v>0</v>
      </c>
      <c r="BE258" s="110"/>
      <c r="BF258" s="477"/>
      <c r="BG258" s="109"/>
      <c r="BH258" s="479"/>
      <c r="BI258" s="109"/>
      <c r="BJ258" s="110"/>
      <c r="BK258" s="109"/>
    </row>
    <row r="259" spans="2:85" ht="32" customHeight="1" x14ac:dyDescent="0.3">
      <c r="E259" s="814"/>
      <c r="F259" s="96"/>
      <c r="G259" s="96"/>
      <c r="H259" s="96"/>
      <c r="I259" s="1616"/>
      <c r="J259" s="1617"/>
      <c r="K259" s="1618"/>
      <c r="L259" s="2268"/>
      <c r="M259" s="2268"/>
      <c r="N259" s="2268"/>
      <c r="O259" s="1619"/>
      <c r="P259" s="1636"/>
      <c r="Q259" s="1618"/>
      <c r="R259" s="1619"/>
      <c r="S259" s="1636"/>
      <c r="T259" s="1618"/>
      <c r="U259" s="1619"/>
      <c r="V259" s="96"/>
      <c r="W259" s="96"/>
      <c r="AC259" s="115"/>
      <c r="AD259" s="1668"/>
      <c r="AE259" s="1669"/>
      <c r="AF259" s="1409"/>
      <c r="AG259" s="1409"/>
      <c r="AH259" s="1409"/>
      <c r="AI259" s="1409"/>
      <c r="AK259" s="10"/>
      <c r="AL259" s="10"/>
      <c r="AM259" s="10"/>
      <c r="BE259" s="110"/>
      <c r="BF259" s="477"/>
      <c r="BG259" s="109"/>
      <c r="BH259" s="479"/>
      <c r="BI259" s="109"/>
      <c r="BJ259" s="110"/>
      <c r="BK259" s="109"/>
    </row>
    <row r="260" spans="2:85" ht="32" customHeight="1" x14ac:dyDescent="0.3">
      <c r="B260" s="2029">
        <v>13</v>
      </c>
      <c r="D260" s="476" t="str">
        <f>'Action-Réaction finale'!F43</f>
        <v>Changement d'horaire de l'enfant</v>
      </c>
      <c r="E260" s="107"/>
      <c r="F260" s="65"/>
      <c r="G260" s="18"/>
      <c r="H260" s="18"/>
      <c r="I260" s="2255" t="s">
        <v>734</v>
      </c>
      <c r="J260" s="2256"/>
      <c r="K260" s="2256"/>
      <c r="L260" s="2257" t="s">
        <v>1378</v>
      </c>
      <c r="M260" s="2257"/>
      <c r="N260" s="2257"/>
      <c r="O260" s="2258"/>
      <c r="P260" s="2259" t="s">
        <v>733</v>
      </c>
      <c r="Q260" s="2260"/>
      <c r="R260" s="2261"/>
      <c r="S260" s="2262" t="s">
        <v>735</v>
      </c>
      <c r="T260" s="2263"/>
      <c r="U260" s="2264"/>
      <c r="V260" s="15"/>
      <c r="W260" s="15"/>
      <c r="AD260" s="956"/>
      <c r="AE260" s="956"/>
      <c r="AF260" s="956"/>
      <c r="AG260" s="956"/>
      <c r="AH260" s="956"/>
      <c r="AI260" s="957"/>
      <c r="AK260" s="10"/>
      <c r="AL260" s="10"/>
      <c r="AM260" s="10"/>
      <c r="AN260" s="1659" t="s">
        <v>734</v>
      </c>
      <c r="AO260" s="1659" t="s">
        <v>733</v>
      </c>
      <c r="AP260" s="1659" t="s">
        <v>735</v>
      </c>
      <c r="AQ260" s="2254" t="s">
        <v>734</v>
      </c>
      <c r="AR260" s="2254"/>
      <c r="AS260" s="2254" t="s">
        <v>733</v>
      </c>
      <c r="AT260" s="2254"/>
      <c r="AU260" s="2254" t="s">
        <v>735</v>
      </c>
      <c r="AV260" s="2254"/>
      <c r="BE260" s="110"/>
      <c r="BF260" s="477"/>
      <c r="BG260" s="109"/>
      <c r="BH260" s="479"/>
      <c r="BI260" s="109"/>
      <c r="BJ260" s="110"/>
      <c r="BK260" s="109"/>
    </row>
    <row r="261" spans="2:85" ht="32" customHeight="1" x14ac:dyDescent="0.3">
      <c r="D261" s="102" t="s">
        <v>998</v>
      </c>
      <c r="E261" s="983" t="s">
        <v>997</v>
      </c>
      <c r="F261" s="32" t="s">
        <v>748</v>
      </c>
      <c r="G261" s="32" t="s">
        <v>749</v>
      </c>
      <c r="H261" s="32" t="s">
        <v>750</v>
      </c>
      <c r="I261" s="1620" t="s">
        <v>306</v>
      </c>
      <c r="J261" s="43" t="s">
        <v>307</v>
      </c>
      <c r="K261" s="43" t="s">
        <v>308</v>
      </c>
      <c r="L261" s="43" t="s">
        <v>413</v>
      </c>
      <c r="M261" s="43" t="s">
        <v>388</v>
      </c>
      <c r="N261" s="43" t="s">
        <v>389</v>
      </c>
      <c r="O261" s="1621" t="s">
        <v>390</v>
      </c>
      <c r="P261" s="1620" t="s">
        <v>306</v>
      </c>
      <c r="Q261" s="43" t="s">
        <v>307</v>
      </c>
      <c r="R261" s="1621" t="s">
        <v>308</v>
      </c>
      <c r="S261" s="1620" t="s">
        <v>306</v>
      </c>
      <c r="T261" s="43" t="s">
        <v>307</v>
      </c>
      <c r="U261" s="1621" t="s">
        <v>308</v>
      </c>
      <c r="V261" s="818"/>
      <c r="W261" s="955" t="s">
        <v>928</v>
      </c>
      <c r="X261" s="1391" t="s">
        <v>734</v>
      </c>
      <c r="Y261" s="955" t="s">
        <v>928</v>
      </c>
      <c r="Z261" s="1395" t="s">
        <v>733</v>
      </c>
      <c r="AA261" s="955"/>
      <c r="AB261" s="1399" t="s">
        <v>735</v>
      </c>
      <c r="AD261" s="970" t="s">
        <v>734</v>
      </c>
      <c r="AE261" s="971" t="s">
        <v>946</v>
      </c>
      <c r="AF261" s="970" t="s">
        <v>733</v>
      </c>
      <c r="AG261" s="971" t="s">
        <v>947</v>
      </c>
      <c r="AH261" s="970" t="s">
        <v>735</v>
      </c>
      <c r="AI261" s="971" t="s">
        <v>948</v>
      </c>
      <c r="AK261" s="10"/>
      <c r="AL261" s="10"/>
      <c r="AM261" s="10"/>
      <c r="AN261" s="10"/>
      <c r="AO261" s="10"/>
      <c r="AP261" s="10"/>
      <c r="AQ261" s="1806" t="s">
        <v>1322</v>
      </c>
      <c r="AR261" s="1806" t="s">
        <v>1323</v>
      </c>
      <c r="AS261" s="1806" t="s">
        <v>1322</v>
      </c>
      <c r="AT261" s="1806" t="s">
        <v>1323</v>
      </c>
      <c r="AU261" s="1806" t="s">
        <v>1322</v>
      </c>
      <c r="AV261" s="1806" t="s">
        <v>1323</v>
      </c>
      <c r="BE261" s="110"/>
      <c r="BF261" s="477"/>
      <c r="BG261" s="109"/>
      <c r="BH261" s="479"/>
      <c r="BI261" s="109"/>
      <c r="BJ261" s="110"/>
      <c r="BK261" s="109"/>
      <c r="BW261" s="99"/>
      <c r="BX261" s="104"/>
    </row>
    <row r="262" spans="2:85" ht="52" customHeight="1" x14ac:dyDescent="0.2">
      <c r="B262" s="2030" t="str">
        <f>'Action-Réaction finale'!I43</f>
        <v>E: Interférence temps et/ou communication</v>
      </c>
      <c r="C262" s="414" t="str">
        <f>'Action-Réaction finale'!G43</f>
        <v>PFA16</v>
      </c>
      <c r="D262" s="26" t="str">
        <f>Test_Bible!B193</f>
        <v>L'autre parent impose des changements d’horaires sans vous consulter au préalable et sans votre autorisation.</v>
      </c>
      <c r="E262" s="101" t="s">
        <v>753</v>
      </c>
      <c r="F262" s="790">
        <f>Test_Bible!P193</f>
        <v>1</v>
      </c>
      <c r="G262" s="789">
        <f>Test_Bible!D193</f>
        <v>2</v>
      </c>
      <c r="H262" s="790">
        <f>F262*G262</f>
        <v>2</v>
      </c>
      <c r="I262" s="1622">
        <v>4</v>
      </c>
      <c r="J262" s="1615">
        <v>10</v>
      </c>
      <c r="K262" s="45" t="b">
        <f>IF(AND(F262&gt;=I262,F262&lt;=J262),TRUE,FALSE)</f>
        <v>0</v>
      </c>
      <c r="L262" s="45"/>
      <c r="M262" s="45"/>
      <c r="N262" s="45"/>
      <c r="O262" s="1623"/>
      <c r="P262" s="1647">
        <v>11</v>
      </c>
      <c r="Q262" s="1648">
        <v>11</v>
      </c>
      <c r="R262" s="1623" t="b">
        <f>IF(AND(F262&gt;=P262,F262&lt;=Q262),TRUE,FALSE)</f>
        <v>0</v>
      </c>
      <c r="S262" s="1622">
        <v>4</v>
      </c>
      <c r="T262" s="1615">
        <v>7</v>
      </c>
      <c r="U262" s="1623" t="b">
        <f>IF(AND(F262&gt;=S262,F262&lt;=T262),TRUE,FALSE)</f>
        <v>0</v>
      </c>
      <c r="V262" s="1593"/>
      <c r="W262" s="1403"/>
      <c r="X262" s="1404">
        <v>4</v>
      </c>
      <c r="Y262" s="1405"/>
      <c r="Z262" s="1424">
        <v>11</v>
      </c>
      <c r="AA262" s="1423"/>
      <c r="AB262" s="1415">
        <v>2</v>
      </c>
      <c r="AD262" s="958"/>
      <c r="AE262" s="959"/>
      <c r="AF262" s="958"/>
      <c r="AG262" s="959"/>
      <c r="AH262" s="958"/>
      <c r="AI262" s="959"/>
      <c r="AK262" s="10"/>
      <c r="AL262" s="10"/>
      <c r="AM262" s="10"/>
      <c r="AN262" s="975">
        <f>IF($K262=TRUE,H262,0)</f>
        <v>0</v>
      </c>
      <c r="AO262" s="975">
        <f>IF($R262=TRUE,H262,0)</f>
        <v>0</v>
      </c>
      <c r="AP262" s="975">
        <f>IF($U262=TRUE,H262,0)</f>
        <v>0</v>
      </c>
      <c r="AQ262" s="1806">
        <f>IF(I262=11,0,G262*I262)</f>
        <v>8</v>
      </c>
      <c r="AR262" s="1806">
        <f>IF(J262=11,0,G262*J262)</f>
        <v>20</v>
      </c>
      <c r="AS262" s="1806">
        <f>IF(P262=11,0,G262*P262)</f>
        <v>0</v>
      </c>
      <c r="AT262" s="1806">
        <f>IF(Q262=11,0,G262*Q262)</f>
        <v>0</v>
      </c>
      <c r="AU262" s="1806">
        <f>IF(S262=11,0,S262*G262)</f>
        <v>8</v>
      </c>
      <c r="AV262" s="1806">
        <f>IF(T262=11,0,T262*G262)</f>
        <v>14</v>
      </c>
      <c r="BE262" s="110"/>
      <c r="BF262" s="477"/>
      <c r="BG262" s="109"/>
      <c r="BH262" s="479"/>
      <c r="BI262" s="109"/>
      <c r="BJ262" s="110"/>
      <c r="BK262" s="109"/>
      <c r="BW262" s="46"/>
      <c r="BX262" s="95"/>
      <c r="BY262" s="10"/>
      <c r="BZ262" s="95"/>
      <c r="CA262" s="10"/>
      <c r="CB262" s="10"/>
      <c r="CC262" s="95"/>
      <c r="CD262" s="10"/>
      <c r="CE262" s="10"/>
      <c r="CF262" s="95"/>
    </row>
    <row r="263" spans="2:85" ht="52" customHeight="1" x14ac:dyDescent="0.2">
      <c r="B263" s="2030" t="str">
        <f>'Action-Réaction finale'!I44</f>
        <v>E: Interférence temps et/ou communication</v>
      </c>
      <c r="C263" s="414" t="str">
        <f>'Action-Réaction finale'!G44</f>
        <v>PFA16a</v>
      </c>
      <c r="D263" s="767" t="str">
        <f>Test_Bible!B194</f>
        <v/>
      </c>
      <c r="E263" s="101" t="s">
        <v>751</v>
      </c>
      <c r="F263" s="790">
        <f>Test_Bible!P194</f>
        <v>0</v>
      </c>
      <c r="G263" s="789">
        <f>Test_Bible!D194</f>
        <v>2</v>
      </c>
      <c r="H263" s="790">
        <f>F263*G263</f>
        <v>0</v>
      </c>
      <c r="I263" s="1622">
        <v>4</v>
      </c>
      <c r="J263" s="1615">
        <v>10</v>
      </c>
      <c r="K263" s="45" t="b">
        <f>IF(AND(F263&gt;=I263,F263&lt;=J263),TRUE,FALSE)</f>
        <v>0</v>
      </c>
      <c r="L263" s="45"/>
      <c r="M263" s="45"/>
      <c r="N263" s="45"/>
      <c r="O263" s="1623"/>
      <c r="P263" s="1647">
        <v>11</v>
      </c>
      <c r="Q263" s="1648">
        <v>11</v>
      </c>
      <c r="R263" s="1623" t="b">
        <f>IF(AND(F263&gt;=P263,F263&lt;=Q263),TRUE,FALSE)</f>
        <v>0</v>
      </c>
      <c r="S263" s="1622">
        <v>2</v>
      </c>
      <c r="T263" s="1615">
        <v>7</v>
      </c>
      <c r="U263" s="1623" t="b">
        <f>IF(AND(F263&gt;=S263,F263&lt;=T263),TRUE,FALSE)</f>
        <v>0</v>
      </c>
      <c r="V263" s="931"/>
      <c r="W263" s="1406" t="s">
        <v>943</v>
      </c>
      <c r="X263" s="1411">
        <v>4</v>
      </c>
      <c r="Y263" s="1412"/>
      <c r="Z263" s="1427">
        <v>11</v>
      </c>
      <c r="AA263" s="1426"/>
      <c r="AB263" s="1414">
        <v>2</v>
      </c>
      <c r="AD263" s="960"/>
      <c r="AE263" s="961"/>
      <c r="AF263" s="960"/>
      <c r="AG263" s="961"/>
      <c r="AH263" s="960"/>
      <c r="AI263" s="961"/>
      <c r="AK263" s="10"/>
      <c r="AL263" s="10"/>
      <c r="AM263" s="10"/>
      <c r="AN263" s="975">
        <f>IF($K263=TRUE,H263,0)</f>
        <v>0</v>
      </c>
      <c r="AO263" s="975">
        <f>IF($R263=TRUE,H263,0)</f>
        <v>0</v>
      </c>
      <c r="AP263" s="975">
        <f>IF($U263=TRUE,H263,0)</f>
        <v>0</v>
      </c>
      <c r="AQ263" s="1806">
        <f>IF(I263=11,0,G263*I263)</f>
        <v>8</v>
      </c>
      <c r="AR263" s="1806">
        <f>IF(J263=11,0,G263*J263)</f>
        <v>20</v>
      </c>
      <c r="AS263" s="1806">
        <f>IF(P263=11,0,G263*P263)</f>
        <v>0</v>
      </c>
      <c r="AT263" s="1806">
        <f>IF(Q263=11,0,G263*Q263)</f>
        <v>0</v>
      </c>
      <c r="AU263" s="1806">
        <f>IF(S263=11,0,S263*G263)</f>
        <v>4</v>
      </c>
      <c r="AV263" s="1806">
        <f>IF(T263=11,0,T263*G263)</f>
        <v>14</v>
      </c>
      <c r="BE263" s="110"/>
      <c r="BF263" s="477"/>
      <c r="BG263" s="109"/>
      <c r="BH263" s="479"/>
      <c r="BI263" s="109"/>
      <c r="BJ263" s="110"/>
      <c r="BK263" s="109"/>
      <c r="BW263" s="98"/>
      <c r="BX263" s="16"/>
      <c r="BY263" s="7"/>
      <c r="BZ263" s="91"/>
      <c r="CA263" s="7"/>
      <c r="CB263" s="7"/>
      <c r="CC263" s="7"/>
      <c r="CD263" s="7"/>
      <c r="CE263" s="7"/>
      <c r="CF263" s="2269"/>
      <c r="CG263" s="2226"/>
    </row>
    <row r="264" spans="2:85" ht="32" customHeight="1" x14ac:dyDescent="0.2">
      <c r="B264" s="2032"/>
      <c r="C264" s="792" t="s">
        <v>745</v>
      </c>
      <c r="D264" s="793"/>
      <c r="E264" s="794" t="str">
        <f>_xlfn.XLOOKUP(H264,H262:H263,E262:E263)</f>
        <v>impose des changements d'horaire sans consultation auprès de l'autre</v>
      </c>
      <c r="F264" s="795"/>
      <c r="G264" s="795"/>
      <c r="H264" s="795">
        <f>IF(AND(K262=TRUE,K263=FALSE),H262,IF(AND(K262=FALSE,K263=TRUE),H263,MAX(H262,H263)))</f>
        <v>2</v>
      </c>
      <c r="I264" s="1624"/>
      <c r="J264" s="796"/>
      <c r="K264" s="797" t="b">
        <f>IF(AND(K262=FALSE,K263=FALSE),FALSE,TRUE)</f>
        <v>0</v>
      </c>
      <c r="L264" s="45"/>
      <c r="M264" s="45"/>
      <c r="N264" s="45"/>
      <c r="O264" s="1623"/>
      <c r="P264" s="1624"/>
      <c r="Q264" s="796"/>
      <c r="R264" s="1637" t="b">
        <f>IF(AND(R262=FALSE,R263=FALSE),FALSE,TRUE)</f>
        <v>0</v>
      </c>
      <c r="S264" s="1624"/>
      <c r="T264" s="796"/>
      <c r="U264" s="1637" t="b">
        <f>IF(AND(U262=FALSE,U263=FALSE),FALSE,TRUE)</f>
        <v>0</v>
      </c>
      <c r="V264" s="931"/>
      <c r="W264" s="931" t="s">
        <v>943</v>
      </c>
      <c r="X264" s="1392"/>
      <c r="Y264" s="8"/>
      <c r="Z264" s="1430"/>
      <c r="AA264" s="1431"/>
      <c r="AB264" s="1400"/>
      <c r="AD264" s="960"/>
      <c r="AE264" s="961"/>
      <c r="AF264" s="960"/>
      <c r="AG264" s="961"/>
      <c r="AH264" s="960"/>
      <c r="AI264" s="961"/>
      <c r="AK264" s="10"/>
      <c r="AL264" s="10"/>
      <c r="AM264" s="10"/>
      <c r="AN264" s="2100">
        <f>IF($K264=TRUE,MAX(AN262:AN263),0)</f>
        <v>0</v>
      </c>
      <c r="AO264" s="2100">
        <f>IF($R264=TRUE,MAX(AO262:AO263),0)</f>
        <v>0</v>
      </c>
      <c r="AP264" s="2100">
        <f>IF($U264=TRUE,MAX(AP262:AP263),0)</f>
        <v>0</v>
      </c>
      <c r="AQ264" s="2099">
        <f>MAX(AQ262:AQ263)</f>
        <v>8</v>
      </c>
      <c r="AR264" s="2099">
        <f t="shared" ref="AR264" si="237">MAX(AR262:AR263)</f>
        <v>20</v>
      </c>
      <c r="AS264" s="2099">
        <f t="shared" ref="AS264" si="238">MAX(AS262:AS263)</f>
        <v>0</v>
      </c>
      <c r="AT264" s="2099">
        <f t="shared" ref="AT264" si="239">MAX(AT262:AT263)</f>
        <v>0</v>
      </c>
      <c r="AU264" s="2099">
        <f t="shared" ref="AU264" si="240">MAX(AU262:AU263)</f>
        <v>8</v>
      </c>
      <c r="AV264" s="2099">
        <f t="shared" ref="AV264" si="241">MAX(AV262:AV263)</f>
        <v>14</v>
      </c>
      <c r="BE264" s="110"/>
      <c r="BF264" s="477"/>
      <c r="BG264" s="109"/>
      <c r="BH264" s="479"/>
      <c r="BI264" s="109"/>
      <c r="BJ264" s="110"/>
      <c r="BK264" s="109"/>
      <c r="BW264" s="98"/>
      <c r="BZ264" s="91"/>
      <c r="CA264" s="7"/>
      <c r="CB264" s="7"/>
      <c r="CC264" s="7"/>
      <c r="CD264" s="7"/>
      <c r="CF264" s="2269"/>
      <c r="CG264" s="2226"/>
    </row>
    <row r="265" spans="2:85" ht="70" customHeight="1" x14ac:dyDescent="0.2">
      <c r="B265" s="1847" t="str">
        <f>'Action-Réaction finale'!M43</f>
        <v>E: Interférence temps et/ou communication</v>
      </c>
      <c r="C265" s="52" t="str">
        <f>'Action-Réaction finale'!K43</f>
        <v>NC07</v>
      </c>
      <c r="D265" s="26" t="str">
        <f>Test_Bible!B417</f>
        <v xml:space="preserve">Le nouveau ou nouvelle conjoint·e apporte des changements à l’horaire de garde sans vous consulter au préalable ou sans votre autorisation. </v>
      </c>
      <c r="E265" s="101" t="s">
        <v>792</v>
      </c>
      <c r="F265" s="790">
        <f>Test_Bible!P417</f>
        <v>7</v>
      </c>
      <c r="G265" s="789">
        <f>Test_Bible!D417</f>
        <v>2</v>
      </c>
      <c r="H265" s="790">
        <f>F265*G265</f>
        <v>14</v>
      </c>
      <c r="I265" s="1622">
        <v>4</v>
      </c>
      <c r="J265" s="1615">
        <v>10</v>
      </c>
      <c r="K265" s="45" t="b">
        <f>IF(AND(F265&gt;=I265,F265&lt;=J265),TRUE,FALSE)</f>
        <v>1</v>
      </c>
      <c r="L265" s="45"/>
      <c r="M265" s="45"/>
      <c r="N265" s="45"/>
      <c r="O265" s="1623"/>
      <c r="P265" s="1647">
        <v>11</v>
      </c>
      <c r="Q265" s="1648">
        <v>11</v>
      </c>
      <c r="R265" s="1623" t="b">
        <f>IF(AND(F265&gt;=P265,F265&lt;=Q265),TRUE,FALSE)</f>
        <v>0</v>
      </c>
      <c r="S265" s="1622">
        <v>4</v>
      </c>
      <c r="T265" s="1615">
        <v>10</v>
      </c>
      <c r="U265" s="1623" t="b">
        <f>IF(AND(F265&gt;=S265,F265&lt;=T265),TRUE,FALSE)</f>
        <v>1</v>
      </c>
      <c r="V265" s="931"/>
      <c r="W265" s="1403"/>
      <c r="X265" s="1404">
        <v>4</v>
      </c>
      <c r="Y265" s="1405"/>
      <c r="Z265" s="1424">
        <v>11</v>
      </c>
      <c r="AA265" s="1423"/>
      <c r="AB265" s="1415">
        <v>2</v>
      </c>
      <c r="AD265" s="960"/>
      <c r="AE265" s="961"/>
      <c r="AF265" s="960"/>
      <c r="AG265" s="961"/>
      <c r="AH265" s="960"/>
      <c r="AI265" s="961"/>
      <c r="AK265" s="10"/>
      <c r="AL265" s="10"/>
      <c r="AM265" s="10"/>
      <c r="AN265" s="975">
        <f>IF(K265=TRUE,H265,0)</f>
        <v>14</v>
      </c>
      <c r="AO265" s="975">
        <f>IF(R265=TRUE,H265,0)</f>
        <v>0</v>
      </c>
      <c r="AP265" s="975">
        <f>IF(U265=TRUE,H265,0)</f>
        <v>14</v>
      </c>
      <c r="AQ265" s="1806">
        <f>IF(I265=11,0,G265*I265)</f>
        <v>8</v>
      </c>
      <c r="AR265" s="1806">
        <f>IF(J265=11,0,G265*J265)</f>
        <v>20</v>
      </c>
      <c r="AS265" s="1806">
        <f>IF(P265=11,0,G265*P265)</f>
        <v>0</v>
      </c>
      <c r="AT265" s="1806">
        <f>IF(Q265=11,0,G265*Q265)</f>
        <v>0</v>
      </c>
      <c r="AU265" s="1806">
        <f>IF(S265=11,0,S265*G265)</f>
        <v>8</v>
      </c>
      <c r="AV265" s="1806">
        <f>IF(T265=11,0,T265*G265)</f>
        <v>20</v>
      </c>
      <c r="BD265" s="816"/>
      <c r="BE265" s="110"/>
      <c r="BF265" s="477"/>
      <c r="BG265" s="113"/>
      <c r="BH265" s="481"/>
      <c r="BI265" s="113"/>
      <c r="BJ265" s="482"/>
      <c r="BK265" s="478"/>
      <c r="BW265" s="98"/>
      <c r="BZ265" s="91"/>
      <c r="CA265" s="7"/>
      <c r="CB265" s="7"/>
      <c r="CC265" s="7"/>
      <c r="CD265" s="7"/>
      <c r="CF265" s="784"/>
      <c r="CG265" s="8"/>
    </row>
    <row r="266" spans="2:85" ht="32" customHeight="1" x14ac:dyDescent="0.2">
      <c r="B266" s="2030"/>
      <c r="C266" s="52" t="s">
        <v>247</v>
      </c>
      <c r="D266" s="26"/>
      <c r="E266" s="62"/>
      <c r="F266" s="35"/>
      <c r="G266" s="35"/>
      <c r="H266" s="35">
        <f>F266*G266</f>
        <v>0</v>
      </c>
      <c r="I266" s="1647">
        <v>11</v>
      </c>
      <c r="J266" s="1648">
        <v>11</v>
      </c>
      <c r="K266" s="45" t="b">
        <f>IF(AND(F266&gt;=I266,F266&lt;=J266),TRUE,FALSE)</f>
        <v>0</v>
      </c>
      <c r="L266" s="45"/>
      <c r="M266" s="45"/>
      <c r="N266" s="45"/>
      <c r="O266" s="1623"/>
      <c r="P266" s="1647">
        <v>11</v>
      </c>
      <c r="Q266" s="1648">
        <v>11</v>
      </c>
      <c r="R266" s="1623" t="b">
        <f>IF(AND(F266&gt;=P266,F266&lt;=Q266),TRUE,FALSE)</f>
        <v>0</v>
      </c>
      <c r="S266" s="1647">
        <v>11</v>
      </c>
      <c r="T266" s="1648">
        <v>11</v>
      </c>
      <c r="U266" s="1623" t="b">
        <f>IF(AND(F266&gt;=S266,F266&lt;=T266),TRUE,FALSE)</f>
        <v>0</v>
      </c>
      <c r="V266" s="931"/>
      <c r="W266" s="1406" t="s">
        <v>943</v>
      </c>
      <c r="X266" s="1425">
        <v>11</v>
      </c>
      <c r="Y266" s="1426"/>
      <c r="Z266" s="1427">
        <v>11</v>
      </c>
      <c r="AA266" s="1426"/>
      <c r="AB266" s="1421">
        <v>11</v>
      </c>
      <c r="AD266" s="960"/>
      <c r="AE266" s="961"/>
      <c r="AF266" s="960"/>
      <c r="AG266" s="961"/>
      <c r="AH266" s="960"/>
      <c r="AI266" s="961"/>
      <c r="AK266" s="10"/>
      <c r="AL266" s="10"/>
      <c r="AM266" s="10"/>
      <c r="AN266" s="975">
        <f>IF(K266=TRUE,H266,0)</f>
        <v>0</v>
      </c>
      <c r="AO266" s="975">
        <f>IF(R266=TRUE,H266,0)</f>
        <v>0</v>
      </c>
      <c r="AP266" s="975">
        <f>IF(U266=TRUE,H266,0)</f>
        <v>0</v>
      </c>
      <c r="AQ266" s="1806">
        <f>IF(I266=11,0,G266*I266)</f>
        <v>0</v>
      </c>
      <c r="AR266" s="1806">
        <f>IF(J266=11,0,G266*J266)</f>
        <v>0</v>
      </c>
      <c r="AS266" s="1806">
        <f>IF(P266=11,0,G266*P266)</f>
        <v>0</v>
      </c>
      <c r="AT266" s="1806">
        <f>IF(Q266=11,0,G266*Q266)</f>
        <v>0</v>
      </c>
      <c r="AU266" s="1806">
        <f>IF(S266=11,0,S266*G266)</f>
        <v>0</v>
      </c>
      <c r="AV266" s="1806">
        <f>IF(T266=11,0,T266*G266)</f>
        <v>0</v>
      </c>
      <c r="BC266" s="7"/>
      <c r="BD266" s="816"/>
      <c r="BE266" s="110"/>
      <c r="BF266" s="477"/>
      <c r="BG266" s="113"/>
      <c r="BH266" s="481"/>
      <c r="BI266" s="113"/>
      <c r="BJ266" s="482"/>
      <c r="BK266" s="478"/>
      <c r="BW266" s="98"/>
      <c r="BZ266" s="91"/>
      <c r="CA266" s="7"/>
      <c r="CB266" s="7"/>
      <c r="CC266" s="7"/>
      <c r="CD266" s="7"/>
      <c r="CF266" s="784"/>
      <c r="CG266" s="8"/>
    </row>
    <row r="267" spans="2:85" ht="32" customHeight="1" thickBot="1" x14ac:dyDescent="0.25">
      <c r="B267" s="2030"/>
      <c r="C267" s="798" t="s">
        <v>746</v>
      </c>
      <c r="D267" s="799" t="str">
        <f>_xlfn.XLOOKUP(H267,H265:H266,D265:D266)</f>
        <v xml:space="preserve">Le nouveau ou nouvelle conjoint·e apporte des changements à l’horaire de garde sans vous consulter au préalable ou sans votre autorisation. </v>
      </c>
      <c r="E267" s="800" t="str">
        <f>_xlfn.XLOOKUP(H267,H265:H266,E265:E266)</f>
        <v>Le nouveau conjoint.e impose des changements d'horaire sans consultation auprès de l'autre</v>
      </c>
      <c r="F267" s="801"/>
      <c r="G267" s="801"/>
      <c r="H267" s="795">
        <f>IF(AND(K265=TRUE,K266=FALSE),H265,IF(AND(K265=FALSE,K266=TRUE),H266,MAX(H265,H266)))</f>
        <v>14</v>
      </c>
      <c r="I267" s="1625"/>
      <c r="J267" s="802"/>
      <c r="K267" s="803" t="b">
        <f>IF(AND(K265=FALSE,K266=FALSE),FALSE,TRUE)</f>
        <v>1</v>
      </c>
      <c r="L267" s="45"/>
      <c r="M267" s="45"/>
      <c r="N267" s="45"/>
      <c r="O267" s="1623"/>
      <c r="P267" s="1625"/>
      <c r="Q267" s="802"/>
      <c r="R267" s="1638" t="b">
        <f>IF(AND(R265=FALSE,R266=FALSE),FALSE,TRUE)</f>
        <v>0</v>
      </c>
      <c r="S267" s="1625"/>
      <c r="T267" s="802"/>
      <c r="U267" s="1638" t="b">
        <f>IF(AND(U265=FALSE,U266=FALSE),FALSE,TRUE)</f>
        <v>1</v>
      </c>
      <c r="V267" s="931"/>
      <c r="W267" s="931"/>
      <c r="X267" s="1392"/>
      <c r="Y267" s="8"/>
      <c r="Z267" s="1397"/>
      <c r="AA267" s="8"/>
      <c r="AB267" s="1400"/>
      <c r="AD267" s="960"/>
      <c r="AE267" s="961"/>
      <c r="AF267" s="960"/>
      <c r="AG267" s="961"/>
      <c r="AH267" s="960"/>
      <c r="AI267" s="961"/>
      <c r="AK267" s="10"/>
      <c r="AL267" s="10"/>
      <c r="AM267" s="10"/>
      <c r="AN267" s="2100">
        <f>IF($K267=TRUE,MAX(AN265:AN266),0)</f>
        <v>14</v>
      </c>
      <c r="AO267" s="2100">
        <f>IF($R267=TRUE,MAX(AO265:AO266),0)</f>
        <v>0</v>
      </c>
      <c r="AP267" s="2100">
        <f>IF($U267=TRUE,MAX(AP265:AP266),0)</f>
        <v>14</v>
      </c>
      <c r="AQ267" s="2099">
        <f>MAX(AQ265:AQ266)</f>
        <v>8</v>
      </c>
      <c r="AR267" s="2099">
        <f t="shared" ref="AR267" si="242">MAX(AR265:AR266)</f>
        <v>20</v>
      </c>
      <c r="AS267" s="2099">
        <f t="shared" ref="AS267" si="243">MAX(AS265:AS266)</f>
        <v>0</v>
      </c>
      <c r="AT267" s="2099">
        <f t="shared" ref="AT267" si="244">MAX(AT265:AT266)</f>
        <v>0</v>
      </c>
      <c r="AU267" s="2099">
        <f t="shared" ref="AU267" si="245">MAX(AU265:AU266)</f>
        <v>8</v>
      </c>
      <c r="AV267" s="2099">
        <f t="shared" ref="AV267" si="246">MAX(AV265:AV266)</f>
        <v>20</v>
      </c>
      <c r="BC267" s="7"/>
      <c r="BD267" s="816"/>
      <c r="BE267" s="110"/>
      <c r="BF267" s="477"/>
      <c r="BG267" s="113"/>
      <c r="BH267" s="481"/>
      <c r="BI267" s="113"/>
      <c r="BJ267" s="482"/>
      <c r="BK267" s="478"/>
      <c r="BW267" s="6"/>
      <c r="BX267" s="16"/>
      <c r="BZ267" s="52"/>
      <c r="CC267" s="7"/>
      <c r="CD267" s="7"/>
      <c r="CE267" s="7"/>
      <c r="CF267" s="785"/>
      <c r="CG267" s="8"/>
    </row>
    <row r="268" spans="2:85" ht="32" customHeight="1" thickBot="1" x14ac:dyDescent="0.25">
      <c r="B268" s="2030"/>
      <c r="C268" s="804" t="s">
        <v>754</v>
      </c>
      <c r="D268" s="805"/>
      <c r="E268" s="805" t="str">
        <f>IF(H268=H264,E264,E267)</f>
        <v>Le nouveau conjoint.e impose des changements d'horaire sans consultation auprès de l'autre</v>
      </c>
      <c r="F268" s="806"/>
      <c r="G268" s="806"/>
      <c r="H268" s="806">
        <f>IF(AND(K264=TRUE,K267=FALSE),H264,IF(AND(K264=FALSE,K267=TRUE),H267,IF(AND(K264=TRUE,K267=TRUE),H264+H267,MAX(H264,H267))))</f>
        <v>14</v>
      </c>
      <c r="I268" s="1626"/>
      <c r="J268" s="807"/>
      <c r="K268" s="808" t="b">
        <f>IF(AND(K264=FALSE,K267=FALSE),FALSE,TRUE)</f>
        <v>1</v>
      </c>
      <c r="L268" s="1610"/>
      <c r="M268" s="1610"/>
      <c r="N268" s="1610"/>
      <c r="O268" s="1627"/>
      <c r="P268" s="1626"/>
      <c r="Q268" s="807"/>
      <c r="R268" s="808" t="b">
        <f>IF(AND(R264=FALSE,R267=FALSE),FALSE,TRUE)</f>
        <v>0</v>
      </c>
      <c r="S268" s="1626"/>
      <c r="T268" s="807"/>
      <c r="U268" s="808" t="b">
        <f>IF(AND(U264=FALSE,U267=FALSE),FALSE,TRUE)</f>
        <v>1</v>
      </c>
      <c r="V268" s="931"/>
      <c r="W268" s="931" t="s">
        <v>942</v>
      </c>
      <c r="X268" s="1392"/>
      <c r="Y268" s="8"/>
      <c r="Z268" s="1397"/>
      <c r="AA268" s="8"/>
      <c r="AB268" s="1400"/>
      <c r="AD268" s="960" t="str">
        <f>IF(K268=TRUE,"V","F")</f>
        <v>V</v>
      </c>
      <c r="AE268" s="961"/>
      <c r="AF268" s="960" t="str">
        <f>IF(R268=TRUE,"V","F")</f>
        <v>F</v>
      </c>
      <c r="AG268" s="961"/>
      <c r="AH268" s="960" t="str">
        <f>IF(U268=TRUE,"V","F")</f>
        <v>V</v>
      </c>
      <c r="AI268" s="961"/>
      <c r="AJ268" t="str">
        <f>IF(OR(AD268="V",AF268="V"),IF(H267&gt;H264,"Le NC contribue plus que le coparent","Le coparent joue un plus grand rôle que le NC"),"pas de contexte significatif de la part du coparent et NC")</f>
        <v>Le NC contribue plus que le coparent</v>
      </c>
      <c r="AK268" s="10"/>
      <c r="AL268" s="10"/>
      <c r="AM268" s="10"/>
      <c r="AN268" s="631">
        <f>IF(AND($K264=TRUE,$K267=FALSE),AN264,IF(AND($K264=FALSE,$K267=TRUE),AN267,IF(AND($K264=TRUE,$K267=TRUE),AN264+AN267,0)))</f>
        <v>14</v>
      </c>
      <c r="AO268" s="631">
        <f>IF(AND($R264=TRUE,$R267=FALSE),AO264,IF(AND($R264=FALSE,$R267=TRUE),AO267,IF(AND($R264=TRUE,$R267=TRUE),AO264+AO267,0)))</f>
        <v>0</v>
      </c>
      <c r="AP268" s="631">
        <f>IF(AND($U264=TRUE,$U267=FALSE),AP264,IF(AND($U264=FALSE,$U267=TRUE),AP267,IF(AND($U264=TRUE,$U267=TRUE),AP264+AP267,0)))</f>
        <v>14</v>
      </c>
      <c r="AQ268" s="631">
        <f>IF(AND($K264=TRUE,$K267=FALSE),AQ264,IF(AND($K264=FALSE,$K267=TRUE),AQ267,IF(AND($K264=TRUE,$K267=TRUE),AQ264+AQ267,MAX(AQ264,AQ267))))</f>
        <v>8</v>
      </c>
      <c r="AR268" s="631">
        <f>IF(AND($K264=TRUE,$K267=FALSE),AR264,IF(AND($K264=FALSE,$K267=TRUE),AR267,IF(AND($K264=TRUE,$K267=TRUE),AR264+AR267,MAX(AR264,AR267))))</f>
        <v>20</v>
      </c>
      <c r="AS268" s="631">
        <f t="shared" ref="AS268" si="247">IF(AND($R264=TRUE,$R267=FALSE),AS264,IF(AND($R264=FALSE,$R267=TRUE),AS267,IF(AND($R264=TRUE,$R267=TRUE),AS264+AS267,MAX(AS264,AS267))))</f>
        <v>0</v>
      </c>
      <c r="AT268" s="631">
        <f t="shared" ref="AT268" si="248">IF(AND($R264=TRUE,$R267=FALSE),AT264,IF(AND($R264=FALSE,$R267=TRUE),AT267,IF(AND($R264=TRUE,$R267=TRUE),AT264+AT267,MAX(AT264,AT267))))</f>
        <v>0</v>
      </c>
      <c r="AU268" s="631">
        <f t="shared" ref="AU268" si="249">IF(AND($U264=TRUE,$U267=FALSE),AU264,IF(AND($U264=FALSE,$U267=TRUE),AU267,IF(AND($U264=TRUE,$U267=TRUE),AU264+AU267,MAX(AU264,AU267))))</f>
        <v>8</v>
      </c>
      <c r="AV268" s="631">
        <f t="shared" ref="AV268" si="250">IF(AND($U264=TRUE,$U267=FALSE),AV264,IF(AND($U264=FALSE,$U267=TRUE),AV267,IF(AND($U264=TRUE,$U267=TRUE),AV264+AV267,MAX(AV264,AV267))))</f>
        <v>20</v>
      </c>
      <c r="BC268" s="7"/>
      <c r="BD268" s="816"/>
      <c r="BE268" s="110"/>
      <c r="BF268" s="477"/>
      <c r="BG268" s="113"/>
      <c r="BH268" s="481"/>
      <c r="BI268" s="113"/>
      <c r="BJ268" s="482"/>
      <c r="BK268" s="478"/>
      <c r="BW268" s="6"/>
      <c r="BX268" s="16"/>
      <c r="BZ268" s="52"/>
      <c r="CC268" s="7"/>
      <c r="CD268" s="7"/>
      <c r="CE268" s="7"/>
      <c r="CF268" s="785"/>
      <c r="CG268" s="8"/>
    </row>
    <row r="269" spans="2:85" ht="52" customHeight="1" x14ac:dyDescent="0.2">
      <c r="B269" s="2030" t="str">
        <f>'Action-Réaction finale'!Q43</f>
        <v>E: Interférence temps et/ou communication</v>
      </c>
      <c r="C269" s="313" t="str">
        <f>'Action-Réaction finale'!O43</f>
        <v>E16</v>
      </c>
      <c r="D269" s="26" t="str">
        <f>Test_Bible!B290</f>
        <v>Votre enfant demande à modifier les horaires de garde et de visite.</v>
      </c>
      <c r="E269" s="101" t="s">
        <v>752</v>
      </c>
      <c r="F269" s="790">
        <f>Test_Bible!P290</f>
        <v>2</v>
      </c>
      <c r="G269" s="789">
        <f>Test_Bible!D290</f>
        <v>2</v>
      </c>
      <c r="H269" s="790">
        <f>F269*G269</f>
        <v>4</v>
      </c>
      <c r="I269" s="1622">
        <v>4</v>
      </c>
      <c r="J269" s="1615">
        <f>$J$18</f>
        <v>10</v>
      </c>
      <c r="K269" s="45" t="b">
        <f>IF(AND(F269&gt;=I269,F269&lt;=J269),TRUE,FALSE)</f>
        <v>0</v>
      </c>
      <c r="L269" s="45"/>
      <c r="M269" s="45"/>
      <c r="N269" s="45"/>
      <c r="O269" s="1623"/>
      <c r="P269" s="1622">
        <v>2</v>
      </c>
      <c r="Q269" s="1615">
        <v>4</v>
      </c>
      <c r="R269" s="1623" t="b">
        <f>IF(AND(F269&gt;=P269,F269&lt;=Q269),TRUE,FALSE)</f>
        <v>1</v>
      </c>
      <c r="S269" s="1622"/>
      <c r="T269" s="1615"/>
      <c r="U269" s="1623"/>
      <c r="V269" s="1593"/>
      <c r="W269" s="1403"/>
      <c r="X269" s="1404">
        <v>4</v>
      </c>
      <c r="Y269" s="1405"/>
      <c r="Z269" s="1408">
        <v>2</v>
      </c>
      <c r="AA269" s="1405"/>
      <c r="AB269" s="1416">
        <v>11</v>
      </c>
      <c r="AD269" s="960" t="s">
        <v>945</v>
      </c>
      <c r="AE269" s="961"/>
      <c r="AF269" s="960"/>
      <c r="AG269" s="961"/>
      <c r="AH269" s="960"/>
      <c r="AI269" s="961"/>
      <c r="AK269" s="10"/>
      <c r="AL269" s="10"/>
      <c r="AM269" s="10"/>
      <c r="AN269" s="975">
        <f>IF($K269=TRUE,H269,0)</f>
        <v>0</v>
      </c>
      <c r="AO269" s="975">
        <f>IF($R269=TRUE,H269,0)</f>
        <v>4</v>
      </c>
      <c r="AP269" s="975"/>
      <c r="AQ269" s="1806">
        <f>IF(I269=11,0,G269*I269)</f>
        <v>8</v>
      </c>
      <c r="AR269" s="1806">
        <f>IF(J269=11,0,G269*J269)</f>
        <v>20</v>
      </c>
      <c r="AS269" s="1806">
        <f>IF(P269=11,0,G269*P269)</f>
        <v>4</v>
      </c>
      <c r="AT269" s="1806">
        <f>IF(Q269=11,0,G269*Q269)</f>
        <v>8</v>
      </c>
      <c r="AU269" s="1806"/>
      <c r="AV269" s="1806"/>
      <c r="BC269" s="7"/>
      <c r="BD269" s="816"/>
      <c r="BE269" s="110"/>
      <c r="BF269" s="477"/>
      <c r="BG269" s="113"/>
      <c r="BH269" s="481"/>
      <c r="BI269" s="113"/>
      <c r="BJ269" s="482"/>
      <c r="BK269" s="478"/>
      <c r="BW269" s="6"/>
      <c r="BX269" s="16"/>
      <c r="BZ269" s="52"/>
      <c r="CC269" s="7"/>
      <c r="CD269" s="7"/>
      <c r="CE269" s="7"/>
      <c r="CF269" s="785"/>
      <c r="CG269" s="8"/>
    </row>
    <row r="270" spans="2:85" ht="67" customHeight="1" thickBot="1" x14ac:dyDescent="0.25">
      <c r="B270" s="2030" t="str">
        <f>'Action-Réaction finale'!Q44</f>
        <v>E: Interférence temps et/ou communication</v>
      </c>
      <c r="C270" s="313" t="str">
        <f>'Action-Réaction finale'!O44</f>
        <v>E16a1</v>
      </c>
      <c r="D270" s="767" t="str">
        <f>Test_Bible!B296</f>
        <v>Dans quelle mesure votre enfant impose-t-il ou elle des changements d’horaires et de visite à la faveur de l'autre parent sans vous consulter au préalable et sans votre autorisation ?</v>
      </c>
      <c r="E270" s="101" t="s">
        <v>753</v>
      </c>
      <c r="F270" s="790">
        <f>Test_Bible!P296</f>
        <v>4</v>
      </c>
      <c r="G270" s="789">
        <f>Test_Bible!D296</f>
        <v>2</v>
      </c>
      <c r="H270" s="790">
        <f>F270*G270</f>
        <v>8</v>
      </c>
      <c r="I270" s="1622">
        <v>2</v>
      </c>
      <c r="J270" s="1615">
        <v>10</v>
      </c>
      <c r="K270" s="45" t="b">
        <f>IF(AND(F270&gt;=I270,F270&lt;=J270),TRUE,FALSE)</f>
        <v>1</v>
      </c>
      <c r="L270" s="45"/>
      <c r="M270" s="45"/>
      <c r="N270" s="45"/>
      <c r="O270" s="1623"/>
      <c r="P270" s="1647">
        <v>11</v>
      </c>
      <c r="Q270" s="1648">
        <v>11</v>
      </c>
      <c r="R270" s="1623" t="b">
        <f>IF(AND(F270&gt;=P270,F270&lt;=Q270),TRUE,FALSE)</f>
        <v>0</v>
      </c>
      <c r="S270" s="1647"/>
      <c r="T270" s="1648"/>
      <c r="U270" s="1623"/>
      <c r="V270" s="931"/>
      <c r="W270" s="1406" t="s">
        <v>943</v>
      </c>
      <c r="X270" s="1411">
        <v>2</v>
      </c>
      <c r="Y270" s="1412"/>
      <c r="Z270" s="1413">
        <v>2</v>
      </c>
      <c r="AA270" s="1412"/>
      <c r="AB270" s="1421">
        <v>11</v>
      </c>
      <c r="AD270" s="960"/>
      <c r="AE270" s="961"/>
      <c r="AF270" s="960"/>
      <c r="AG270" s="961"/>
      <c r="AH270" s="960"/>
      <c r="AI270" s="961"/>
      <c r="AK270" s="10"/>
      <c r="AL270" s="10"/>
      <c r="AM270" s="10"/>
      <c r="AN270" s="975">
        <f>IF($K270=TRUE,H270,0)</f>
        <v>8</v>
      </c>
      <c r="AO270" s="975">
        <f>IF($R270=TRUE,H270,0)</f>
        <v>0</v>
      </c>
      <c r="AP270" s="975"/>
      <c r="AQ270" s="1806">
        <f>IF(I270=11,0,G270*I270)</f>
        <v>4</v>
      </c>
      <c r="AR270" s="1806">
        <f>IF(J270=11,0,G270*J270)</f>
        <v>20</v>
      </c>
      <c r="AS270" s="1806">
        <f>IF(P270=11,0,G270*P270)</f>
        <v>0</v>
      </c>
      <c r="AT270" s="1806">
        <f>IF(Q270=11,0,G270*Q270)</f>
        <v>0</v>
      </c>
      <c r="AU270" s="1806"/>
      <c r="AV270" s="1806"/>
      <c r="BC270" s="7"/>
      <c r="BD270" s="816"/>
      <c r="BE270" s="110"/>
      <c r="BF270" s="477"/>
      <c r="BG270" s="113"/>
      <c r="BH270" s="481"/>
      <c r="BI270" s="113"/>
      <c r="BJ270" s="482"/>
      <c r="BK270" s="478"/>
      <c r="BW270" s="6"/>
      <c r="BX270" s="16"/>
      <c r="BZ270" s="52"/>
      <c r="CC270" s="7"/>
      <c r="CD270" s="7"/>
      <c r="CE270" s="7"/>
      <c r="CF270" s="785"/>
      <c r="CG270" s="8"/>
    </row>
    <row r="271" spans="2:85" ht="32" customHeight="1" thickBot="1" x14ac:dyDescent="0.25">
      <c r="B271" s="2030"/>
      <c r="C271" s="809" t="s">
        <v>747</v>
      </c>
      <c r="D271" s="810" t="str">
        <f>_xlfn.XLOOKUP(H271,H269:H270,D269:D270)</f>
        <v>Dans quelle mesure votre enfant impose-t-il ou elle des changements d’horaires et de visite à la faveur de l'autre parent sans vous consulter au préalable et sans votre autorisation ?</v>
      </c>
      <c r="E271" s="810" t="str">
        <f>_xlfn.XLOOKUP(H271,H269:H270,E269:E270)</f>
        <v>impose des changements d'horaire sans consultation auprès de l'autre</v>
      </c>
      <c r="F271" s="811"/>
      <c r="G271" s="811"/>
      <c r="H271" s="811">
        <f>IF(AND(K269=TRUE,K270=FALSE),H269,IF(AND(K269=FALSE,K270=TRUE),H270,MAX(H269,H270)))</f>
        <v>8</v>
      </c>
      <c r="I271" s="1628"/>
      <c r="J271" s="812"/>
      <c r="K271" s="813" t="b">
        <f>IF(AND(K269=FALSE,K270=FALSE),FALSE,TRUE)</f>
        <v>1</v>
      </c>
      <c r="L271" s="1611"/>
      <c r="M271" s="1611"/>
      <c r="N271" s="1611"/>
      <c r="O271" s="1629"/>
      <c r="P271" s="1628"/>
      <c r="Q271" s="812"/>
      <c r="R271" s="813" t="b">
        <f>IF(AND(R269=FALSE,R270=FALSE),FALSE,TRUE)</f>
        <v>1</v>
      </c>
      <c r="S271" s="1628"/>
      <c r="T271" s="812"/>
      <c r="U271" s="813"/>
      <c r="V271" s="931"/>
      <c r="W271" s="931"/>
      <c r="X271" s="1394"/>
      <c r="Z271" s="1398"/>
      <c r="AB271" s="1402"/>
      <c r="AD271" s="960" t="str">
        <f>IF(K271=TRUE,"V","F")</f>
        <v>V</v>
      </c>
      <c r="AE271" s="961"/>
      <c r="AF271" s="960" t="str">
        <f>IF(R271=TRUE,"V","F")</f>
        <v>V</v>
      </c>
      <c r="AG271" s="961"/>
      <c r="AH271" s="960"/>
      <c r="AI271" s="961"/>
      <c r="AK271" s="10"/>
      <c r="AL271" s="10"/>
      <c r="AM271" s="10"/>
      <c r="AN271" s="2102">
        <f>IF(AND($K269=TRUE,$K270=FALSE),AN269,IF(AND($K269=FALSE,$K270=TRUE),AN270,IF(AND($K269=TRUE,$K270=TRUE),MAX(AN269,AN270),0)))</f>
        <v>8</v>
      </c>
      <c r="AO271" s="2102">
        <f>IF(AND($R269=TRUE,$R270=FALSE),AO269,IF(AND($R269=FALSE,$R270=TRUE),AO270,IF(AND($R269=TRUE,$R270=TRUE),MAX(AO269,AO270),0)))</f>
        <v>4</v>
      </c>
      <c r="AP271" s="2102"/>
      <c r="AQ271" s="2102">
        <f>IF(AND($K269=TRUE,$K270=FALSE),AQ269,IF(AND($K269=FALSE,$K270=TRUE),AQ270,IF(AND($K269=TRUE,$K270=TRUE),MAX(AQ269,AQ270),0)))</f>
        <v>4</v>
      </c>
      <c r="AR271" s="2102">
        <f>IF(AND($K269=TRUE,$K270=FALSE),AR269,IF(AND($K269=FALSE,$K270=TRUE),AR270,IF(AND($K269=TRUE,$K270=TRUE),MAX(AR269,AR270),0)))</f>
        <v>20</v>
      </c>
      <c r="AS271" s="2102">
        <f t="shared" ref="AS271" si="251">IF(AND($R269=TRUE,$R270=FALSE),AS269,IF(AND($R269=FALSE,$R270=TRUE),AS270,IF(AND($R269=TRUE,$R270=TRUE),MAX(AS269,AS270),0)))</f>
        <v>4</v>
      </c>
      <c r="AT271" s="2102">
        <f t="shared" ref="AT271" si="252">IF(AND($R269=TRUE,$R270=FALSE),AT269,IF(AND($R269=FALSE,$R270=TRUE),AT270,IF(AND($R269=TRUE,$R270=TRUE),MAX(AT269,AT270),0)))</f>
        <v>8</v>
      </c>
      <c r="AU271" s="2102"/>
      <c r="AV271" s="2102"/>
      <c r="BD271" s="816"/>
      <c r="BE271" s="110"/>
      <c r="BF271" s="477"/>
      <c r="BG271" s="113"/>
      <c r="BH271" s="481"/>
      <c r="BI271" s="113"/>
      <c r="BJ271" s="482"/>
      <c r="BK271" s="478"/>
      <c r="BW271" s="15"/>
      <c r="BX271" s="16"/>
      <c r="BZ271" s="91" t="s">
        <v>341</v>
      </c>
      <c r="CC271" s="7" t="s">
        <v>327</v>
      </c>
      <c r="CF271" s="784" t="s">
        <v>342</v>
      </c>
      <c r="CG271" s="8" t="b">
        <v>1</v>
      </c>
    </row>
    <row r="272" spans="2:85" ht="32" customHeight="1" x14ac:dyDescent="0.2">
      <c r="B272" s="2030"/>
      <c r="D272" s="421" t="s">
        <v>310</v>
      </c>
      <c r="E272" s="785"/>
      <c r="F272" s="474" t="s">
        <v>398</v>
      </c>
      <c r="G272" s="47"/>
      <c r="H272" s="47">
        <f>IF(AND(K268=TRUE,K271=FALSE),H268,IF(AND(K268=FALSE,K271=TRUE),H271,IF(AND(K268=TRUE,K271=TRUE),H268+H271,MAX(H268,H271))))</f>
        <v>22</v>
      </c>
      <c r="I272" s="1630"/>
      <c r="J272" s="475"/>
      <c r="K272" s="1613"/>
      <c r="L272" s="1614" t="str">
        <f>IF(AND(K271=TRUE,K268=TRUE),E271,"")</f>
        <v>impose des changements d'horaire sans consultation auprès de l'autre</v>
      </c>
      <c r="M272" s="1614" t="str">
        <f>IF(AND(K268=TRUE,K271=FALSE),"Bien que le parent "&amp;E268&amp;" l'enfant ne semble pas s'ingérer","")</f>
        <v/>
      </c>
      <c r="N272" s="1614" t="str">
        <f>IF(AND(K268=FALSE,K271=TRUE),E271&amp;" sans signe de la participation du parent favorisé et|ou nouveau conjoint.e","")</f>
        <v/>
      </c>
      <c r="O272" s="1631" t="str">
        <f>IF(AND(K268=FALSE,K271=FALSE),"aucun comportement significatif de cette nature","")</f>
        <v/>
      </c>
      <c r="P272" s="1630"/>
      <c r="Q272" s="475"/>
      <c r="R272" s="1639"/>
      <c r="S272" s="1630"/>
      <c r="T272" s="475"/>
      <c r="U272" s="1639"/>
      <c r="V272" s="170"/>
      <c r="W272" s="170"/>
      <c r="X272" s="1394"/>
      <c r="Z272" s="1398"/>
      <c r="AB272" s="1402"/>
      <c r="AD272" s="962"/>
      <c r="AE272" s="963">
        <f>IF(AND(AD268="V",AD271="V"),2,IF(OR(AD268="V",AD271="V"),1,0))</f>
        <v>2</v>
      </c>
      <c r="AF272" s="962"/>
      <c r="AG272" s="963">
        <f>IF(OR(AF268="V",AF271="V"),1,0)</f>
        <v>1</v>
      </c>
      <c r="AH272" s="962"/>
      <c r="AI272" s="963"/>
      <c r="AK272" s="10"/>
      <c r="AL272" s="10"/>
      <c r="AM272" s="10"/>
      <c r="AN272" s="2097">
        <f>IF(AND($AD268="V",$AD271="F"),AN268,IF(AND($AD268="F",$AD271="V"),AN271,IF(AND($AD268="V",$AD271="V"),AN268+AN271,0)))</f>
        <v>22</v>
      </c>
      <c r="AO272" s="2097">
        <f>IF(AND($AF268="V",$AF271="F"),AO268,IF(AND($AF268="F",$AF271="V"),AO271,IF(AND($AF268="V",$AF271="V"),AO268+AO271,0)))</f>
        <v>4</v>
      </c>
      <c r="AP272" s="2097"/>
      <c r="AQ272" s="2097">
        <f>IF(AND($AD268="V",$AD271="F"),AQ268,IF(AND($AD268="F",$AD271="V"),AQ271,IF(AND($AD268="V",$AD271="V"),AQ268+AQ271,0)))</f>
        <v>12</v>
      </c>
      <c r="AR272" s="2097">
        <f>IF(AND($AD268="V",$AD271="F"),AR268,IF(AND($AD268="F",$AD271="V"),AR271,IF(AND($AD268="V",$AD271="V"),AR268+AR271,0)))</f>
        <v>40</v>
      </c>
      <c r="AS272" s="2097">
        <f>IF(AND($AF268="V",$AF271="F"),AS268,IF(AND($AF268="F",$AF271="V"),AS271,IF(AND($AF268="V",$AF271="V"),AS268+AS271,0)))</f>
        <v>4</v>
      </c>
      <c r="AT272" s="2097">
        <f>IF(AND($AF268="V",$AF271="F"),AT268,IF(AND($AF268="F",$AF271="V"),AT271,IF(AND($AF268="V",$AF271="V"),AT268+AT271,0)))</f>
        <v>8</v>
      </c>
      <c r="AU272" s="2097"/>
      <c r="AV272" s="2097"/>
      <c r="BD272" s="816"/>
      <c r="BE272" s="110"/>
      <c r="BF272" s="477"/>
      <c r="BG272" s="113"/>
      <c r="BH272" s="481"/>
      <c r="BI272" s="113"/>
      <c r="BJ272" s="482"/>
      <c r="BK272" s="478"/>
    </row>
    <row r="273" spans="2:63" ht="32" customHeight="1" x14ac:dyDescent="0.2">
      <c r="B273" s="2030"/>
      <c r="C273" t="s">
        <v>243</v>
      </c>
      <c r="I273" s="146"/>
      <c r="L273" s="46"/>
      <c r="M273" s="46"/>
      <c r="N273" s="46"/>
      <c r="O273" s="1652"/>
      <c r="P273" s="146"/>
      <c r="R273" s="326"/>
      <c r="S273" s="146"/>
      <c r="U273" s="326"/>
      <c r="V273" s="46"/>
      <c r="X273" s="1394"/>
      <c r="Z273" s="1398"/>
      <c r="AB273" s="1402"/>
      <c r="AD273" s="960"/>
      <c r="AE273" s="961"/>
      <c r="AF273" s="960"/>
      <c r="AG273" s="961"/>
      <c r="AH273" s="960"/>
      <c r="AI273" s="961"/>
      <c r="AK273" s="10"/>
      <c r="AL273" s="10"/>
      <c r="AM273" s="10"/>
      <c r="AN273" s="975"/>
      <c r="AO273" s="975"/>
      <c r="AP273" s="975"/>
      <c r="AQ273" s="1806"/>
      <c r="AR273" s="1806"/>
      <c r="AS273" s="1806"/>
      <c r="AT273" s="1806"/>
      <c r="AU273" s="1806"/>
      <c r="AV273" s="1806"/>
      <c r="BD273" s="816"/>
      <c r="BE273" s="110"/>
      <c r="BF273" s="477"/>
      <c r="BG273" s="113"/>
      <c r="BH273" s="481"/>
      <c r="BI273" s="113"/>
      <c r="BJ273" s="482"/>
      <c r="BK273" s="478"/>
    </row>
    <row r="274" spans="2:63" ht="32" customHeight="1" x14ac:dyDescent="0.2">
      <c r="B274" s="2030" t="str">
        <f>'Action-Réaction finale'!U43</f>
        <v>F: Interférence lien affectif ou symbolique</v>
      </c>
      <c r="C274" s="964" t="str">
        <f>'Action-Réaction finale'!S43</f>
        <v>PCR12</v>
      </c>
      <c r="D274" s="965" t="str">
        <f>Test_Bible!B140</f>
        <v>Il vous arrive de prendre des décisions sans consulter l'autre parent.</v>
      </c>
      <c r="E274" s="965"/>
      <c r="F274" s="973">
        <f>Test_Bible!P140</f>
        <v>4</v>
      </c>
      <c r="G274" s="973">
        <f>Test_Bible!D140</f>
        <v>2</v>
      </c>
      <c r="H274" s="973">
        <f>F274*G274</f>
        <v>8</v>
      </c>
      <c r="I274" s="1622">
        <v>4</v>
      </c>
      <c r="J274" s="1615">
        <v>10</v>
      </c>
      <c r="K274" s="45" t="b">
        <f>IF(AND(F274&gt;=I274,F274&lt;=J274),TRUE,FALSE)</f>
        <v>1</v>
      </c>
      <c r="L274" s="32"/>
      <c r="M274" s="32"/>
      <c r="N274" s="32"/>
      <c r="O274" s="1632"/>
      <c r="P274" s="1647">
        <v>11</v>
      </c>
      <c r="Q274" s="1648">
        <v>11</v>
      </c>
      <c r="R274" s="1623" t="b">
        <f>IF(AND(F274&gt;=P274,F274&lt;=Q274),TRUE,FALSE)</f>
        <v>0</v>
      </c>
      <c r="S274" s="1622">
        <v>4</v>
      </c>
      <c r="T274" s="1615">
        <v>10</v>
      </c>
      <c r="U274" s="1623" t="b">
        <f>IF(AND(F274&gt;=S274,F274&lt;=T274),TRUE,FALSE)</f>
        <v>1</v>
      </c>
      <c r="V274" s="46"/>
      <c r="W274" s="1428"/>
      <c r="X274" s="1404">
        <v>4</v>
      </c>
      <c r="Y274" s="1405"/>
      <c r="Z274" s="1408"/>
      <c r="AA274" s="1405"/>
      <c r="AB274" s="1415">
        <v>4</v>
      </c>
      <c r="AD274" s="960"/>
      <c r="AE274" s="961"/>
      <c r="AF274" s="960"/>
      <c r="AG274" s="961"/>
      <c r="AH274" s="960"/>
      <c r="AI274" s="961"/>
      <c r="AK274" s="10"/>
      <c r="AL274" s="10"/>
      <c r="AM274" s="10"/>
      <c r="AN274" s="975">
        <f>IF($K274=TRUE,H274,0)</f>
        <v>8</v>
      </c>
      <c r="AO274" s="975">
        <f>IF($R274=TRUE,H274,0)</f>
        <v>0</v>
      </c>
      <c r="AP274" s="975">
        <f>IF($U274=TRUE,H274,0)</f>
        <v>8</v>
      </c>
      <c r="AQ274" s="1806">
        <f>IF(I274=11,0,G274*I274)</f>
        <v>8</v>
      </c>
      <c r="AR274" s="1806">
        <f>IF(J274=11,0,G274*J274)</f>
        <v>20</v>
      </c>
      <c r="AS274" s="1806">
        <f>IF(P274=11,0,G274*P274)</f>
        <v>0</v>
      </c>
      <c r="AT274" s="1806">
        <f>IF(Q274=11,0,G274*Q274)</f>
        <v>0</v>
      </c>
      <c r="AU274" s="1806">
        <f>IF(S274=11,0,S274*G274)</f>
        <v>8</v>
      </c>
      <c r="AV274" s="1806">
        <f>IF(T274=11,0,T274*G274)</f>
        <v>20</v>
      </c>
      <c r="BD274" s="816"/>
      <c r="BE274" s="110"/>
      <c r="BF274" s="477"/>
      <c r="BG274" s="113"/>
      <c r="BH274" s="481"/>
      <c r="BI274" s="113"/>
      <c r="BJ274" s="482"/>
      <c r="BK274" s="478"/>
    </row>
    <row r="275" spans="2:63" ht="32" customHeight="1" thickBot="1" x14ac:dyDescent="0.25">
      <c r="B275" s="2030"/>
      <c r="C275" s="964"/>
      <c r="D275" s="972"/>
      <c r="E275" s="965"/>
      <c r="F275" s="973"/>
      <c r="G275" s="973"/>
      <c r="H275" s="973">
        <f>F275*G275</f>
        <v>0</v>
      </c>
      <c r="I275" s="1647">
        <v>11</v>
      </c>
      <c r="J275" s="1648">
        <v>11</v>
      </c>
      <c r="K275" s="45" t="b">
        <f>IF(AND(F275&gt;=I275,F275&lt;=J275),TRUE,FALSE)</f>
        <v>0</v>
      </c>
      <c r="L275" s="32"/>
      <c r="M275" s="32"/>
      <c r="N275" s="32"/>
      <c r="O275" s="1632"/>
      <c r="P275" s="1647">
        <v>11</v>
      </c>
      <c r="Q275" s="1648">
        <v>11</v>
      </c>
      <c r="R275" s="1623" t="b">
        <f>IF(AND(F275&gt;=P275,F275&lt;=Q275),TRUE,FALSE)</f>
        <v>0</v>
      </c>
      <c r="S275" s="1647">
        <v>11</v>
      </c>
      <c r="T275" s="1648">
        <v>11</v>
      </c>
      <c r="U275" s="1623" t="b">
        <f>IF(AND(F275&gt;=S275,F275&lt;=T275),TRUE,FALSE)</f>
        <v>0</v>
      </c>
      <c r="W275" s="1429"/>
      <c r="X275" s="1425">
        <v>11</v>
      </c>
      <c r="Y275" s="1426"/>
      <c r="Z275" s="1427">
        <v>11</v>
      </c>
      <c r="AA275" s="1426"/>
      <c r="AB275" s="1421">
        <v>11</v>
      </c>
      <c r="AD275" s="960"/>
      <c r="AE275" s="961"/>
      <c r="AF275" s="960"/>
      <c r="AG275" s="961"/>
      <c r="AH275" s="960"/>
      <c r="AI275" s="961"/>
      <c r="AK275" s="10"/>
      <c r="AL275" s="10"/>
      <c r="AM275" s="10"/>
      <c r="AN275" s="975">
        <f>IF($K275=TRUE,H275,0)</f>
        <v>0</v>
      </c>
      <c r="AO275" s="975">
        <f>IF($R275=TRUE,H275,0)</f>
        <v>0</v>
      </c>
      <c r="AP275" s="975">
        <f>IF($U275=TRUE,H275,0)</f>
        <v>0</v>
      </c>
      <c r="AQ275" s="1806">
        <f>IF(I275=11,0,G275*I275)</f>
        <v>0</v>
      </c>
      <c r="AR275" s="1806">
        <f>IF(J275=11,0,G275*J275)</f>
        <v>0</v>
      </c>
      <c r="AS275" s="1806">
        <f>IF(P275=11,0,G275*P275)</f>
        <v>0</v>
      </c>
      <c r="AT275" s="1806">
        <f>IF(Q275=11,0,G275*Q275)</f>
        <v>0</v>
      </c>
      <c r="AU275" s="1806">
        <f>IF(S275=11,0,S275*G275)</f>
        <v>0</v>
      </c>
      <c r="AV275" s="1806">
        <f>IF(T275=11,0,T275*G275)</f>
        <v>0</v>
      </c>
      <c r="BD275" s="816"/>
      <c r="BE275" s="110"/>
      <c r="BF275" s="477"/>
      <c r="BG275" s="113"/>
      <c r="BH275" s="481"/>
      <c r="BI275" s="113"/>
      <c r="BJ275" s="482"/>
      <c r="BK275" s="478"/>
    </row>
    <row r="276" spans="2:63" ht="32" customHeight="1" thickBot="1" x14ac:dyDescent="0.25">
      <c r="B276" s="2030"/>
      <c r="E276" s="16"/>
      <c r="F276" s="89"/>
      <c r="G276" s="473"/>
      <c r="H276" s="47">
        <f>IF(AND(K274=TRUE,K275=FALSE),H274,IF(AND(K274=FALSE,K275=TRUE),H275,MAX(H274,H275)))</f>
        <v>8</v>
      </c>
      <c r="I276" s="1644"/>
      <c r="J276" s="1645"/>
      <c r="K276" s="1651" t="b">
        <f>IF(AND(K274=FALSE,K275=FALSE),FALSE,TRUE)</f>
        <v>1</v>
      </c>
      <c r="L276" s="1633"/>
      <c r="M276" s="1634"/>
      <c r="N276" s="1634"/>
      <c r="O276" s="1635"/>
      <c r="P276" s="1644"/>
      <c r="Q276" s="1645"/>
      <c r="R276" s="1651" t="b">
        <f>IF(AND(R274=FALSE,R275=FALSE),FALSE,TRUE)</f>
        <v>0</v>
      </c>
      <c r="S276" s="1656"/>
      <c r="T276" s="1657"/>
      <c r="U276" s="1658" t="b">
        <f>IF(AND(U274=FALSE,U275=FALSE),FALSE,TRUE)</f>
        <v>1</v>
      </c>
      <c r="V276" s="933"/>
      <c r="AD276" s="1564" t="str">
        <f>IF(K276=TRUE,"V","F")</f>
        <v>V</v>
      </c>
      <c r="AE276" s="1565"/>
      <c r="AF276" s="1564" t="str">
        <f>IF(R276=TRUE,"V","F")</f>
        <v>F</v>
      </c>
      <c r="AG276" s="1565"/>
      <c r="AH276" s="1564" t="str">
        <f>IF(U276=TRUE,"V","F")</f>
        <v>V</v>
      </c>
      <c r="AI276" s="1565"/>
      <c r="AK276" s="10"/>
      <c r="AL276" s="10"/>
      <c r="AM276" s="10"/>
      <c r="AN276" s="2102">
        <f>IF(AND($K274=TRUE,$K275=FALSE),AN274,IF(AND($K274=FALSE,$K275=TRUE),AN275,MAX(AN274,AN275)))</f>
        <v>8</v>
      </c>
      <c r="AO276" s="2102">
        <f>IF(AND($R274=TRUE,$R275=FALSE),AO274,IF(AND($R274=FALSE,$R275=TRUE),AO275,MAX(AO274,AO275)))</f>
        <v>0</v>
      </c>
      <c r="AP276" s="2102">
        <f>IF(AND($U274=TRUE,$U275=FALSE),AP274,IF(AND($U274=FALSE,$U275=TRUE),AP275,MAX(AP274,AP275)))</f>
        <v>8</v>
      </c>
      <c r="AQ276" s="2102">
        <f>IF(AND($K274=TRUE,$K275=FALSE),AQ274,IF(AND($K274=FALSE,$K275=TRUE),AQ275,MAX(AQ274,AQ275)))</f>
        <v>8</v>
      </c>
      <c r="AR276" s="2102">
        <f>IF(AND($K274=TRUE,$K275=FALSE),AR274,IF(AND($K274=FALSE,$K275=TRUE),AR275,MAX(AR274,AR275)))</f>
        <v>20</v>
      </c>
      <c r="AS276" s="2102">
        <f>IF(AND($R274=TRUE,$R275=FALSE),AS274,IF(AND($R274=FALSE,$R275=TRUE),AS275,MAX(AS274,AS275)))</f>
        <v>0</v>
      </c>
      <c r="AT276" s="2102">
        <f>IF(AND($R274=TRUE,$R275=FALSE),AT274,IF(AND($R274=FALSE,$R275=TRUE),AT275,MAX(AT274,AT275)))</f>
        <v>0</v>
      </c>
      <c r="AU276" s="2102">
        <f>IF(AND($U274=TRUE,$U275=FALSE),AU274,IF(AND($U274=FALSE,$U275=TRUE),AU275,MAX(AU274,AU275)))</f>
        <v>8</v>
      </c>
      <c r="AV276" s="2102">
        <f>IF(AND($U274=TRUE,$U275=FALSE),AV274,IF(AND($U274=FALSE,$U275=TRUE),AV275,MAX(AV274,AV275)))</f>
        <v>20</v>
      </c>
      <c r="BD276" s="816"/>
      <c r="BE276" s="110"/>
      <c r="BF276" s="477"/>
      <c r="BG276" s="113"/>
      <c r="BH276" s="481"/>
      <c r="BI276" s="113"/>
      <c r="BJ276" s="482"/>
      <c r="BK276" s="478"/>
    </row>
    <row r="277" spans="2:63" ht="32" customHeight="1" thickBot="1" x14ac:dyDescent="0.35">
      <c r="E277" s="16"/>
      <c r="F277" s="89"/>
      <c r="G277" s="473"/>
      <c r="H277" s="473"/>
      <c r="I277" s="8"/>
      <c r="J277" s="8"/>
      <c r="K277" s="932"/>
      <c r="L277" s="933"/>
      <c r="M277" s="933"/>
      <c r="N277" s="933"/>
      <c r="O277" s="933"/>
      <c r="P277" s="933"/>
      <c r="Q277" s="933"/>
      <c r="R277" s="933"/>
      <c r="S277" s="933"/>
      <c r="T277" s="933"/>
      <c r="U277" s="933"/>
      <c r="V277" s="933"/>
      <c r="W277" s="933"/>
      <c r="AD277" s="1649"/>
      <c r="AE277" s="1650">
        <f>IF(AND(AD276="V",AD268="V"),AE272-1,AE272)</f>
        <v>1</v>
      </c>
      <c r="AF277" s="1649"/>
      <c r="AG277" s="1650">
        <f>IF(OR(AF268="V",AF271="V",AF276="V"),1,0)</f>
        <v>1</v>
      </c>
      <c r="AH277" s="1649"/>
      <c r="AI277" s="1650">
        <f>IF(AH268="V",1,IF(AH276="V",1,0))</f>
        <v>1</v>
      </c>
      <c r="AK277" s="10">
        <v>1</v>
      </c>
      <c r="AL277" s="10">
        <v>1</v>
      </c>
      <c r="AM277" s="10">
        <v>1</v>
      </c>
      <c r="AN277" s="2101">
        <f>IF($AD276="F",AN272,AN272+AN276)</f>
        <v>30</v>
      </c>
      <c r="AO277" s="2101">
        <f>IF($AF276="F",AO272,AO272+AO276)</f>
        <v>4</v>
      </c>
      <c r="AP277" s="2101">
        <f>IF(AND($AH268="V",$AH276="F"),AP268,IF(AND($AH268="F",$AH276="V"),AP276,IF(AND($AH268="V",$AH276="V"),AP268+AP276,0)))</f>
        <v>22</v>
      </c>
      <c r="AQ277" s="2101">
        <f>IF($AD276="F",AQ272,AQ272+AQ276)</f>
        <v>20</v>
      </c>
      <c r="AR277" s="2101">
        <f t="shared" ref="AR277" si="253">IF($AD276="F",AR272,AR272+AR276)</f>
        <v>60</v>
      </c>
      <c r="AS277" s="2101">
        <f t="shared" ref="AS277" si="254">IF($AF276="F",AS272,AS272+AS276)</f>
        <v>4</v>
      </c>
      <c r="AT277" s="2101">
        <f t="shared" ref="AT277" si="255">IF($AF276="F",AT272,AT272+AT276)</f>
        <v>8</v>
      </c>
      <c r="AU277" s="2101">
        <f t="shared" ref="AU277" si="256">IF(AND($AH268="V",$AH276="F"),AU268,IF(AND($AH268="F",$AH276="V"),AU276,IF(AND($AH268="V",$AH276="V"),AU268+AU276,0)))</f>
        <v>16</v>
      </c>
      <c r="AV277" s="2101">
        <f t="shared" ref="AV277" si="257">IF(AND($AH268="V",$AH276="F"),AV268,IF(AND($AH268="F",$AH276="V"),AV276,IF(AND($AH268="V",$AH276="V"),AV268+AV276,0)))</f>
        <v>40</v>
      </c>
      <c r="BD277" s="816"/>
      <c r="BE277" s="110"/>
      <c r="BF277" s="477"/>
      <c r="BG277" s="113"/>
      <c r="BH277" s="481"/>
      <c r="BI277" s="113"/>
      <c r="BJ277" s="482"/>
      <c r="BK277" s="478"/>
    </row>
    <row r="278" spans="2:63" ht="32" customHeight="1" x14ac:dyDescent="0.3">
      <c r="D278" s="16"/>
      <c r="E278" s="16"/>
      <c r="F278" s="89"/>
      <c r="G278" s="473"/>
      <c r="H278" s="473"/>
      <c r="I278" s="1616"/>
      <c r="J278" s="1617"/>
      <c r="K278" s="1618"/>
      <c r="L278" s="2268"/>
      <c r="M278" s="2268"/>
      <c r="N278" s="2268"/>
      <c r="O278" s="1619"/>
      <c r="P278" s="1636"/>
      <c r="Q278" s="1618"/>
      <c r="R278" s="1619"/>
      <c r="S278" s="1636"/>
      <c r="T278" s="1618"/>
      <c r="U278" s="1619"/>
      <c r="V278" s="170"/>
      <c r="W278" s="170"/>
      <c r="AD278" s="1668"/>
      <c r="AE278" s="1669"/>
      <c r="AF278" s="1409"/>
      <c r="AG278" s="1409"/>
      <c r="AH278" s="1409"/>
      <c r="AI278" s="1409"/>
      <c r="AK278" s="10"/>
      <c r="AL278" s="10"/>
      <c r="AM278" s="10"/>
      <c r="BD278" s="816"/>
      <c r="BE278" s="110"/>
      <c r="BF278" s="477"/>
      <c r="BG278" s="113"/>
      <c r="BH278" s="481"/>
      <c r="BI278" s="113"/>
      <c r="BJ278" s="482"/>
      <c r="BK278" s="478"/>
    </row>
    <row r="279" spans="2:63" ht="32" customHeight="1" x14ac:dyDescent="0.3">
      <c r="B279" s="2029">
        <v>14</v>
      </c>
      <c r="D279" s="476" t="str">
        <f>'Action-Réaction finale'!F46</f>
        <v>Organise des activités hors de sa garde</v>
      </c>
      <c r="E279" s="107"/>
      <c r="F279" s="65"/>
      <c r="G279" s="18"/>
      <c r="H279" s="18"/>
      <c r="I279" s="2255" t="s">
        <v>734</v>
      </c>
      <c r="J279" s="2256"/>
      <c r="K279" s="2256"/>
      <c r="L279" s="2257" t="s">
        <v>1378</v>
      </c>
      <c r="M279" s="2257"/>
      <c r="N279" s="2257"/>
      <c r="O279" s="2258"/>
      <c r="P279" s="2259" t="s">
        <v>733</v>
      </c>
      <c r="Q279" s="2260"/>
      <c r="R279" s="2261"/>
      <c r="S279" s="2262" t="s">
        <v>735</v>
      </c>
      <c r="T279" s="2263"/>
      <c r="U279" s="2264"/>
      <c r="V279" s="15"/>
      <c r="W279" s="15"/>
      <c r="AD279" s="956"/>
      <c r="AE279" s="956"/>
      <c r="AF279" s="956"/>
      <c r="AG279" s="956"/>
      <c r="AH279" s="956"/>
      <c r="AI279" s="957"/>
      <c r="AK279" s="10"/>
      <c r="AL279" s="10"/>
      <c r="AM279" s="10"/>
      <c r="AN279" s="1659" t="s">
        <v>734</v>
      </c>
      <c r="AO279" s="1659" t="s">
        <v>733</v>
      </c>
      <c r="AP279" s="1659" t="s">
        <v>735</v>
      </c>
      <c r="AQ279" s="2254" t="s">
        <v>734</v>
      </c>
      <c r="AR279" s="2254"/>
      <c r="AS279" s="2254" t="s">
        <v>733</v>
      </c>
      <c r="AT279" s="2254"/>
      <c r="AU279" s="2254" t="s">
        <v>735</v>
      </c>
      <c r="AV279" s="2254"/>
      <c r="BD279" s="816"/>
      <c r="BE279" s="110"/>
      <c r="BF279" s="477"/>
      <c r="BG279" s="113"/>
      <c r="BH279" s="481"/>
      <c r="BI279" s="113"/>
      <c r="BJ279" s="482"/>
      <c r="BK279" s="478"/>
    </row>
    <row r="280" spans="2:63" ht="32" customHeight="1" x14ac:dyDescent="0.3">
      <c r="D280" s="102" t="s">
        <v>998</v>
      </c>
      <c r="E280" s="983" t="s">
        <v>997</v>
      </c>
      <c r="F280" s="32" t="s">
        <v>748</v>
      </c>
      <c r="G280" s="32" t="s">
        <v>749</v>
      </c>
      <c r="H280" s="32" t="s">
        <v>750</v>
      </c>
      <c r="I280" s="1620" t="s">
        <v>306</v>
      </c>
      <c r="J280" s="43" t="s">
        <v>307</v>
      </c>
      <c r="K280" s="43" t="s">
        <v>308</v>
      </c>
      <c r="L280" s="43" t="s">
        <v>413</v>
      </c>
      <c r="M280" s="43" t="s">
        <v>388</v>
      </c>
      <c r="N280" s="43" t="s">
        <v>389</v>
      </c>
      <c r="O280" s="1621" t="s">
        <v>390</v>
      </c>
      <c r="P280" s="1620" t="s">
        <v>306</v>
      </c>
      <c r="Q280" s="43" t="s">
        <v>307</v>
      </c>
      <c r="R280" s="1621" t="s">
        <v>308</v>
      </c>
      <c r="S280" s="1620" t="s">
        <v>306</v>
      </c>
      <c r="T280" s="43" t="s">
        <v>307</v>
      </c>
      <c r="U280" s="1621" t="s">
        <v>308</v>
      </c>
      <c r="V280" s="818"/>
      <c r="W280" s="955" t="s">
        <v>928</v>
      </c>
      <c r="X280" s="1391" t="s">
        <v>734</v>
      </c>
      <c r="Y280" s="955" t="s">
        <v>928</v>
      </c>
      <c r="Z280" s="1395" t="s">
        <v>733</v>
      </c>
      <c r="AA280" s="955"/>
      <c r="AB280" s="1399" t="s">
        <v>735</v>
      </c>
      <c r="AD280" s="970" t="s">
        <v>734</v>
      </c>
      <c r="AE280" s="971" t="s">
        <v>946</v>
      </c>
      <c r="AF280" s="970" t="s">
        <v>733</v>
      </c>
      <c r="AG280" s="971" t="s">
        <v>947</v>
      </c>
      <c r="AH280" s="970" t="s">
        <v>735</v>
      </c>
      <c r="AI280" s="971" t="s">
        <v>948</v>
      </c>
      <c r="AK280" s="10"/>
      <c r="AL280" s="10"/>
      <c r="AM280" s="10"/>
      <c r="AN280" s="10"/>
      <c r="AO280" s="10"/>
      <c r="AP280" s="10"/>
      <c r="AQ280" s="1806" t="s">
        <v>1322</v>
      </c>
      <c r="AR280" s="1806" t="s">
        <v>1323</v>
      </c>
      <c r="AS280" s="1806" t="s">
        <v>1322</v>
      </c>
      <c r="AT280" s="1806" t="s">
        <v>1323</v>
      </c>
      <c r="AU280" s="1806" t="s">
        <v>1322</v>
      </c>
      <c r="AV280" s="1806" t="s">
        <v>1323</v>
      </c>
      <c r="BD280" s="816"/>
      <c r="BE280" s="110"/>
      <c r="BF280" s="477"/>
      <c r="BG280" s="113"/>
      <c r="BH280" s="481"/>
      <c r="BI280" s="113"/>
      <c r="BJ280" s="482"/>
      <c r="BK280" s="478"/>
    </row>
    <row r="281" spans="2:63" ht="48" x14ac:dyDescent="0.2">
      <c r="B281" s="2030" t="str">
        <f>'Action-Réaction finale'!I46</f>
        <v>E: Interférence temps et/ou communication</v>
      </c>
      <c r="C281" s="414" t="str">
        <f>'Action-Réaction finale'!G46</f>
        <v>PFA16b</v>
      </c>
      <c r="D281" s="26" t="str">
        <f>Test_Bible!B195</f>
        <v/>
      </c>
      <c r="E281" s="101" t="s">
        <v>400</v>
      </c>
      <c r="F281" s="790">
        <f>Test_Bible!P195</f>
        <v>0</v>
      </c>
      <c r="G281" s="789">
        <f>Test_Bible!D195</f>
        <v>2</v>
      </c>
      <c r="H281" s="790">
        <f>F281*G281</f>
        <v>0</v>
      </c>
      <c r="I281" s="1622">
        <v>4</v>
      </c>
      <c r="J281" s="1615">
        <v>10</v>
      </c>
      <c r="K281" s="45" t="b">
        <f>IF(AND(F281&gt;=I281,F281&lt;=J281),TRUE,FALSE)</f>
        <v>0</v>
      </c>
      <c r="L281" s="45"/>
      <c r="M281" s="45"/>
      <c r="N281" s="45"/>
      <c r="O281" s="1623"/>
      <c r="P281" s="1622">
        <v>4</v>
      </c>
      <c r="Q281" s="1615">
        <v>7</v>
      </c>
      <c r="R281" s="1623" t="b">
        <f>IF(AND(F281&gt;=P281,F281&lt;=Q281),TRUE,FALSE)</f>
        <v>0</v>
      </c>
      <c r="S281" s="1647">
        <v>11</v>
      </c>
      <c r="T281" s="1648">
        <v>11</v>
      </c>
      <c r="U281" s="1623" t="b">
        <f>IF(AND(F281&gt;=S281,F281&lt;=T281),TRUE,FALSE)</f>
        <v>0</v>
      </c>
      <c r="V281" s="1593"/>
      <c r="W281" s="1403"/>
      <c r="X281" s="1404">
        <v>4</v>
      </c>
      <c r="Y281" s="1405"/>
      <c r="Z281" s="1408">
        <v>4</v>
      </c>
      <c r="AA281" s="1405"/>
      <c r="AB281" s="1415">
        <v>4</v>
      </c>
      <c r="AD281" s="958"/>
      <c r="AE281" s="959"/>
      <c r="AF281" s="958"/>
      <c r="AG281" s="959"/>
      <c r="AH281" s="958"/>
      <c r="AI281" s="959"/>
      <c r="AK281" s="10"/>
      <c r="AL281" s="10"/>
      <c r="AM281" s="10"/>
      <c r="AN281" s="975">
        <f>IF($K281=TRUE,H281,0)</f>
        <v>0</v>
      </c>
      <c r="AO281" s="975">
        <f>IF($R281=TRUE,H281,0)</f>
        <v>0</v>
      </c>
      <c r="AP281" s="975">
        <f>IF($U281=TRUE,H281,0)</f>
        <v>0</v>
      </c>
      <c r="AQ281" s="1806">
        <f>IF(I281=11,0,G281*I281)</f>
        <v>8</v>
      </c>
      <c r="AR281" s="1806">
        <f>IF(J281=11,0,G281*J281)</f>
        <v>20</v>
      </c>
      <c r="AS281" s="1806">
        <f>IF(P281=11,0,G281*P281)</f>
        <v>8</v>
      </c>
      <c r="AT281" s="1806">
        <f>IF(Q281=11,0,G281*Q281)</f>
        <v>14</v>
      </c>
      <c r="AU281" s="1806">
        <f>IF(S281=11,0,S281*G281)</f>
        <v>0</v>
      </c>
      <c r="AV281" s="1806">
        <f>IF(T281=11,0,T281*G281)</f>
        <v>0</v>
      </c>
      <c r="BD281" s="816"/>
      <c r="BE281" s="110"/>
      <c r="BF281" s="477"/>
      <c r="BG281" s="113"/>
      <c r="BH281" s="481"/>
      <c r="BI281" s="113"/>
      <c r="BJ281" s="482"/>
      <c r="BK281" s="478"/>
    </row>
    <row r="282" spans="2:63" ht="51" x14ac:dyDescent="0.2">
      <c r="B282" s="2030" t="str">
        <f>'Action-Réaction finale'!I47</f>
        <v>E: Interférence temps et/ou communication</v>
      </c>
      <c r="C282" s="414" t="str">
        <f>'Action-Réaction finale'!G47</f>
        <v>PFA16b1</v>
      </c>
      <c r="D282" s="767" t="str">
        <f>Test_Bible!B196</f>
        <v/>
      </c>
      <c r="E282" s="101" t="s">
        <v>777</v>
      </c>
      <c r="F282" s="790">
        <f>Test_Bible!P196</f>
        <v>0</v>
      </c>
      <c r="G282" s="789">
        <f>Test_Bible!D196</f>
        <v>3</v>
      </c>
      <c r="H282" s="790">
        <f>F282*G282</f>
        <v>0</v>
      </c>
      <c r="I282" s="1622">
        <v>2</v>
      </c>
      <c r="J282" s="1615">
        <v>10</v>
      </c>
      <c r="K282" s="45" t="b">
        <f>IF(AND(F282&gt;=I282,F282&lt;=J282),TRUE,FALSE)</f>
        <v>0</v>
      </c>
      <c r="L282" s="45"/>
      <c r="M282" s="45"/>
      <c r="N282" s="45"/>
      <c r="O282" s="1623"/>
      <c r="P282" s="1622">
        <v>4</v>
      </c>
      <c r="Q282" s="1615">
        <v>7</v>
      </c>
      <c r="R282" s="1623" t="b">
        <f>IF(AND(F282&gt;=P282,F282&lt;=Q282),TRUE,FALSE)</f>
        <v>0</v>
      </c>
      <c r="S282" s="1622">
        <v>4</v>
      </c>
      <c r="T282" s="1615">
        <v>7</v>
      </c>
      <c r="U282" s="1623" t="b">
        <f>IF(AND(F282&gt;=S282,F282&lt;=T282),TRUE,FALSE)</f>
        <v>0</v>
      </c>
      <c r="V282" s="931"/>
      <c r="W282" s="1406" t="s">
        <v>943</v>
      </c>
      <c r="X282" s="1411">
        <v>2</v>
      </c>
      <c r="Y282" s="1412"/>
      <c r="Z282" s="1413">
        <v>4</v>
      </c>
      <c r="AA282" s="1412"/>
      <c r="AB282" s="1414">
        <v>4</v>
      </c>
      <c r="AD282" s="960"/>
      <c r="AE282" s="961"/>
      <c r="AF282" s="960"/>
      <c r="AG282" s="961"/>
      <c r="AH282" s="960"/>
      <c r="AI282" s="961"/>
      <c r="AK282" s="10"/>
      <c r="AL282" s="10"/>
      <c r="AM282" s="10"/>
      <c r="AN282" s="975">
        <f>IF($K282=TRUE,H282,0)</f>
        <v>0</v>
      </c>
      <c r="AO282" s="975">
        <f>IF($R282=TRUE,H282,0)</f>
        <v>0</v>
      </c>
      <c r="AP282" s="975">
        <f>IF($U282=TRUE,H282,0)</f>
        <v>0</v>
      </c>
      <c r="AQ282" s="1806">
        <f>IF(I282=11,0,G282*I282)</f>
        <v>6</v>
      </c>
      <c r="AR282" s="1806">
        <f>IF(J282=11,0,G282*J282)</f>
        <v>30</v>
      </c>
      <c r="AS282" s="1806">
        <f>IF(P282=11,0,G282*P282)</f>
        <v>12</v>
      </c>
      <c r="AT282" s="1806">
        <f>IF(Q282=11,0,G282*Q282)</f>
        <v>21</v>
      </c>
      <c r="AU282" s="1806">
        <f>IF(S282=11,0,S282*G282)</f>
        <v>12</v>
      </c>
      <c r="AV282" s="1806">
        <f>IF(T282=11,0,T282*G282)</f>
        <v>21</v>
      </c>
      <c r="BD282" s="816"/>
      <c r="BE282" s="110"/>
      <c r="BF282" s="477"/>
      <c r="BG282" s="113"/>
      <c r="BH282" s="481"/>
      <c r="BI282" s="113"/>
      <c r="BJ282" s="482"/>
      <c r="BK282" s="478"/>
    </row>
    <row r="283" spans="2:63" ht="32" customHeight="1" x14ac:dyDescent="0.2">
      <c r="B283" s="2032"/>
      <c r="C283" s="792" t="s">
        <v>745</v>
      </c>
      <c r="D283" s="793" t="str">
        <f>_xlfn.XLOOKUP(H283,H281:H282,D281:D282)</f>
        <v/>
      </c>
      <c r="E283" s="794" t="str">
        <f>_xlfn.XLOOKUP(H283,H281:H282,E281:E282)</f>
        <v>organise des activités hors de son temps de garde</v>
      </c>
      <c r="F283" s="795"/>
      <c r="G283" s="795"/>
      <c r="H283" s="795">
        <f>IF(AND(K281=TRUE,K282=FALSE),H281,IF(AND(K281=FALSE,K282=TRUE),H282,MAX(H281,H282)))</f>
        <v>0</v>
      </c>
      <c r="I283" s="1624"/>
      <c r="J283" s="796"/>
      <c r="K283" s="797" t="b">
        <f>IF(AND(K281=FALSE,K282=FALSE),FALSE,TRUE)</f>
        <v>0</v>
      </c>
      <c r="L283" s="45"/>
      <c r="M283" s="45"/>
      <c r="N283" s="45"/>
      <c r="O283" s="1623"/>
      <c r="P283" s="1624"/>
      <c r="Q283" s="796"/>
      <c r="R283" s="1637" t="b">
        <f>IF(AND(R281=FALSE,R282=FALSE),FALSE,TRUE)</f>
        <v>0</v>
      </c>
      <c r="S283" s="1624"/>
      <c r="T283" s="796"/>
      <c r="U283" s="1637" t="b">
        <f>IF(AND(U281=FALSE,U282=FALSE),FALSE,TRUE)</f>
        <v>0</v>
      </c>
      <c r="V283" s="931"/>
      <c r="W283" s="931" t="s">
        <v>943</v>
      </c>
      <c r="X283" s="1392"/>
      <c r="Y283" s="8"/>
      <c r="Z283" s="1397"/>
      <c r="AA283" s="8"/>
      <c r="AB283" s="1400"/>
      <c r="AD283" s="960"/>
      <c r="AE283" s="961"/>
      <c r="AF283" s="960"/>
      <c r="AG283" s="961"/>
      <c r="AH283" s="960"/>
      <c r="AI283" s="961"/>
      <c r="AK283" s="10"/>
      <c r="AL283" s="10"/>
      <c r="AM283" s="10"/>
      <c r="AN283" s="2100">
        <f>IF($K283=TRUE,MAX(AN281:AN282),0)</f>
        <v>0</v>
      </c>
      <c r="AO283" s="2100">
        <f>IF($R283=TRUE,MAX(AO281:AO282),0)</f>
        <v>0</v>
      </c>
      <c r="AP283" s="2100">
        <f>IF($U283=TRUE,MAX(AP281:AP282),0)</f>
        <v>0</v>
      </c>
      <c r="AQ283" s="2099">
        <f>MAX(AQ281:AQ282)</f>
        <v>8</v>
      </c>
      <c r="AR283" s="2099">
        <f t="shared" ref="AR283" si="258">MAX(AR281:AR282)</f>
        <v>30</v>
      </c>
      <c r="AS283" s="2099">
        <f t="shared" ref="AS283" si="259">MAX(AS281:AS282)</f>
        <v>12</v>
      </c>
      <c r="AT283" s="2099">
        <f t="shared" ref="AT283" si="260">MAX(AT281:AT282)</f>
        <v>21</v>
      </c>
      <c r="AU283" s="2099">
        <f t="shared" ref="AU283" si="261">MAX(AU281:AU282)</f>
        <v>12</v>
      </c>
      <c r="AV283" s="2099">
        <f t="shared" ref="AV283" si="262">MAX(AV281:AV282)</f>
        <v>21</v>
      </c>
      <c r="BD283" s="816"/>
      <c r="BE283" s="110"/>
      <c r="BF283" s="477"/>
      <c r="BG283" s="113"/>
      <c r="BH283" s="481"/>
      <c r="BI283" s="113"/>
      <c r="BJ283" s="482"/>
      <c r="BK283" s="478"/>
    </row>
    <row r="284" spans="2:63" ht="51" x14ac:dyDescent="0.2">
      <c r="B284" s="1847" t="str">
        <f>'Action-Réaction finale'!M43</f>
        <v>E: Interférence temps et/ou communication</v>
      </c>
      <c r="C284" s="52" t="str">
        <f>'Action-Réaction finale'!K46</f>
        <v>NC07a</v>
      </c>
      <c r="D284" s="26" t="str">
        <f>Test_Bible!B418</f>
        <v xml:space="preserve">Arrive-t-il que le nouveau ou nouvelle conjoint·e organise des activités sur votre temps de garde ? </v>
      </c>
      <c r="E284" s="101" t="s">
        <v>796</v>
      </c>
      <c r="F284" s="790">
        <f>Test_Bible!P418</f>
        <v>7</v>
      </c>
      <c r="G284" s="789">
        <f>Test_Bible!D418</f>
        <v>2</v>
      </c>
      <c r="H284" s="790">
        <f>F284*G284</f>
        <v>14</v>
      </c>
      <c r="I284" s="1622">
        <v>4</v>
      </c>
      <c r="J284" s="1615">
        <v>10</v>
      </c>
      <c r="K284" s="45" t="b">
        <f>IF(AND(F284&gt;=I284,F284&lt;=J284),TRUE,FALSE)</f>
        <v>1</v>
      </c>
      <c r="L284" s="45"/>
      <c r="M284" s="45"/>
      <c r="N284" s="45"/>
      <c r="O284" s="1623"/>
      <c r="P284" s="1647">
        <v>11</v>
      </c>
      <c r="Q284" s="1648">
        <v>11</v>
      </c>
      <c r="R284" s="1623" t="b">
        <f>IF(AND(F284&gt;=P284,F284&lt;=Q284),TRUE,FALSE)</f>
        <v>0</v>
      </c>
      <c r="S284" s="1622">
        <v>4</v>
      </c>
      <c r="T284" s="1615">
        <v>10</v>
      </c>
      <c r="U284" s="1623" t="b">
        <f>IF(AND(F284&gt;=S284,F284&lt;=T284),TRUE,FALSE)</f>
        <v>1</v>
      </c>
      <c r="V284" s="931"/>
      <c r="W284" s="1403"/>
      <c r="X284" s="1404">
        <v>4</v>
      </c>
      <c r="Y284" s="1405"/>
      <c r="Z284" s="1424">
        <v>11</v>
      </c>
      <c r="AA284" s="1405"/>
      <c r="AB284" s="1415">
        <v>2</v>
      </c>
      <c r="AD284" s="960"/>
      <c r="AE284" s="961"/>
      <c r="AF284" s="960"/>
      <c r="AG284" s="961"/>
      <c r="AH284" s="960"/>
      <c r="AI284" s="961"/>
      <c r="AK284" s="10"/>
      <c r="AL284" s="10"/>
      <c r="AM284" s="10"/>
      <c r="AN284" s="975">
        <f>IF(K284=TRUE,H284,0)</f>
        <v>14</v>
      </c>
      <c r="AO284" s="975">
        <f>IF(R284=TRUE,H284,0)</f>
        <v>0</v>
      </c>
      <c r="AP284" s="975">
        <f>IF(U284=TRUE,H284,0)</f>
        <v>14</v>
      </c>
      <c r="AQ284" s="1806">
        <f>IF(I284=11,0,G284*I284)</f>
        <v>8</v>
      </c>
      <c r="AR284" s="1806">
        <f>IF(J284=11,0,G284*J284)</f>
        <v>20</v>
      </c>
      <c r="AS284" s="1806">
        <f>IF(P284=11,0,G284*P284)</f>
        <v>0</v>
      </c>
      <c r="AT284" s="1806">
        <f>IF(Q284=11,0,G284*Q284)</f>
        <v>0</v>
      </c>
      <c r="AU284" s="1806">
        <f>IF(S284=11,0,S284*G284)</f>
        <v>8</v>
      </c>
      <c r="AV284" s="1806">
        <f>IF(T284=11,0,T284*G284)</f>
        <v>20</v>
      </c>
      <c r="BD284" s="816"/>
      <c r="BE284" s="110"/>
      <c r="BF284" s="477"/>
      <c r="BG284" s="113"/>
      <c r="BH284" s="481"/>
      <c r="BI284" s="113"/>
      <c r="BJ284" s="482"/>
      <c r="BK284" s="478"/>
    </row>
    <row r="285" spans="2:63" ht="32" customHeight="1" x14ac:dyDescent="0.2">
      <c r="B285" s="2030"/>
      <c r="C285" s="52" t="s">
        <v>247</v>
      </c>
      <c r="D285" s="26"/>
      <c r="E285" s="62"/>
      <c r="F285" s="35"/>
      <c r="G285" s="35"/>
      <c r="H285" s="35">
        <f>F285*G285</f>
        <v>0</v>
      </c>
      <c r="I285" s="1647">
        <v>11</v>
      </c>
      <c r="J285" s="1648">
        <v>11</v>
      </c>
      <c r="K285" s="45" t="b">
        <f>IF(AND(F285&gt;=I285,F285&lt;=J285),TRUE,FALSE)</f>
        <v>0</v>
      </c>
      <c r="L285" s="45"/>
      <c r="M285" s="45"/>
      <c r="N285" s="45"/>
      <c r="O285" s="1623"/>
      <c r="P285" s="1647">
        <v>11</v>
      </c>
      <c r="Q285" s="1648">
        <v>11</v>
      </c>
      <c r="R285" s="1623" t="b">
        <f>IF(AND(F285&gt;=P285,F285&lt;=Q285),TRUE,FALSE)</f>
        <v>0</v>
      </c>
      <c r="S285" s="1647">
        <v>11</v>
      </c>
      <c r="T285" s="1648">
        <v>11</v>
      </c>
      <c r="U285" s="1623" t="b">
        <f>IF(AND(F285&gt;=S285,F285&lt;=T285),TRUE,FALSE)</f>
        <v>0</v>
      </c>
      <c r="V285" s="931"/>
      <c r="W285" s="1406" t="s">
        <v>943</v>
      </c>
      <c r="X285" s="1425">
        <v>11</v>
      </c>
      <c r="Y285" s="1426"/>
      <c r="Z285" s="1427">
        <v>11</v>
      </c>
      <c r="AA285" s="1426"/>
      <c r="AB285" s="1421">
        <v>11</v>
      </c>
      <c r="AD285" s="960"/>
      <c r="AE285" s="961"/>
      <c r="AF285" s="960"/>
      <c r="AG285" s="961"/>
      <c r="AH285" s="960"/>
      <c r="AI285" s="961"/>
      <c r="AK285" s="10"/>
      <c r="AL285" s="10"/>
      <c r="AM285" s="10"/>
      <c r="AN285" s="975">
        <f>IF(K285=TRUE,H285,0)</f>
        <v>0</v>
      </c>
      <c r="AO285" s="975">
        <f>IF(R285=TRUE,H285,0)</f>
        <v>0</v>
      </c>
      <c r="AP285" s="975">
        <f>IF(U285=TRUE,H285,0)</f>
        <v>0</v>
      </c>
      <c r="AQ285" s="1806">
        <f>IF(I285=11,0,G285*I285)</f>
        <v>0</v>
      </c>
      <c r="AR285" s="1806">
        <f>IF(J285=11,0,G285*J285)</f>
        <v>0</v>
      </c>
      <c r="AS285" s="1806">
        <f>IF(P285=11,0,G285*P285)</f>
        <v>0</v>
      </c>
      <c r="AT285" s="1806">
        <f>IF(Q285=11,0,G285*Q285)</f>
        <v>0</v>
      </c>
      <c r="AU285" s="1806">
        <f>IF(S285=11,0,S285*G285)</f>
        <v>0</v>
      </c>
      <c r="AV285" s="1806">
        <f>IF(T285=11,0,T285*G285)</f>
        <v>0</v>
      </c>
      <c r="BC285" s="7"/>
      <c r="BD285" s="816"/>
      <c r="BE285" s="110"/>
      <c r="BF285" s="477"/>
      <c r="BG285" s="113"/>
      <c r="BH285" s="481"/>
      <c r="BI285" s="113"/>
      <c r="BJ285" s="482"/>
      <c r="BK285" s="478"/>
    </row>
    <row r="286" spans="2:63" ht="32" customHeight="1" thickBot="1" x14ac:dyDescent="0.25">
      <c r="B286" s="2030"/>
      <c r="C286" s="798" t="s">
        <v>746</v>
      </c>
      <c r="D286" s="799" t="str">
        <f>_xlfn.XLOOKUP(H286,H284:H285,D284:D285)</f>
        <v xml:space="preserve">Arrive-t-il que le nouveau ou nouvelle conjoint·e organise des activités sur votre temps de garde ? </v>
      </c>
      <c r="E286" s="800" t="str">
        <f>_xlfn.XLOOKUP(H286,H284:H285,E284:E285)</f>
        <v>Le nouveau conjoint.e organise des activités hors de son temps de garde</v>
      </c>
      <c r="F286" s="801"/>
      <c r="G286" s="801"/>
      <c r="H286" s="795">
        <f>IF(AND(K284=TRUE,K285=FALSE),H284,IF(AND(K284=FALSE,K285=TRUE),H285,MAX(H284,H285)))</f>
        <v>14</v>
      </c>
      <c r="I286" s="1625"/>
      <c r="J286" s="802"/>
      <c r="K286" s="803" t="b">
        <f>IF(AND(K284=FALSE,K285=FALSE),FALSE,TRUE)</f>
        <v>1</v>
      </c>
      <c r="L286" s="45"/>
      <c r="M286" s="45"/>
      <c r="N286" s="45"/>
      <c r="O286" s="1623"/>
      <c r="P286" s="1625"/>
      <c r="Q286" s="802"/>
      <c r="R286" s="1638" t="b">
        <f>IF(AND(R284=FALSE,R285=FALSE),FALSE,TRUE)</f>
        <v>0</v>
      </c>
      <c r="S286" s="1625"/>
      <c r="T286" s="802"/>
      <c r="U286" s="1638" t="b">
        <f>IF(AND(U284=FALSE,U285=FALSE),FALSE,TRUE)</f>
        <v>1</v>
      </c>
      <c r="V286" s="931"/>
      <c r="W286" s="931"/>
      <c r="X286" s="1392"/>
      <c r="Y286" s="8"/>
      <c r="Z286" s="1397"/>
      <c r="AA286" s="8"/>
      <c r="AB286" s="1400"/>
      <c r="AD286" s="960"/>
      <c r="AE286" s="961"/>
      <c r="AF286" s="960"/>
      <c r="AG286" s="961"/>
      <c r="AH286" s="960"/>
      <c r="AI286" s="961"/>
      <c r="AK286" s="10"/>
      <c r="AL286" s="10"/>
      <c r="AM286" s="10"/>
      <c r="AN286" s="2100">
        <f>IF($K286=TRUE,MAX(AN284:AN285),0)</f>
        <v>14</v>
      </c>
      <c r="AO286" s="2100">
        <f>IF($R286=TRUE,MAX(AO284:AO285),0)</f>
        <v>0</v>
      </c>
      <c r="AP286" s="2100">
        <f>IF($U286=TRUE,MAX(AP284:AP285),0)</f>
        <v>14</v>
      </c>
      <c r="AQ286" s="2099">
        <f>MAX(AQ284:AQ285)</f>
        <v>8</v>
      </c>
      <c r="AR286" s="2099">
        <f t="shared" ref="AR286" si="263">MAX(AR284:AR285)</f>
        <v>20</v>
      </c>
      <c r="AS286" s="2099">
        <f t="shared" ref="AS286" si="264">MAX(AS284:AS285)</f>
        <v>0</v>
      </c>
      <c r="AT286" s="2099">
        <f t="shared" ref="AT286" si="265">MAX(AT284:AT285)</f>
        <v>0</v>
      </c>
      <c r="AU286" s="2099">
        <f t="shared" ref="AU286" si="266">MAX(AU284:AU285)</f>
        <v>8</v>
      </c>
      <c r="AV286" s="2099">
        <f t="shared" ref="AV286" si="267">MAX(AV284:AV285)</f>
        <v>20</v>
      </c>
      <c r="BC286" s="7"/>
      <c r="BD286" s="816"/>
      <c r="BE286" s="110"/>
      <c r="BF286" s="477"/>
      <c r="BG286" s="113"/>
      <c r="BH286" s="481"/>
      <c r="BI286" s="113"/>
      <c r="BJ286" s="482"/>
      <c r="BK286" s="478"/>
    </row>
    <row r="287" spans="2:63" ht="32" customHeight="1" thickBot="1" x14ac:dyDescent="0.25">
      <c r="B287" s="2030"/>
      <c r="C287" s="804" t="s">
        <v>754</v>
      </c>
      <c r="D287" s="805"/>
      <c r="E287" s="805" t="str">
        <f>IF(H287=H283,E283,E286)</f>
        <v>Le nouveau conjoint.e organise des activités hors de son temps de garde</v>
      </c>
      <c r="F287" s="806"/>
      <c r="G287" s="806"/>
      <c r="H287" s="806">
        <f>IF(AND(K283=TRUE,K286=FALSE),H283,IF(AND(K283=FALSE,K286=TRUE),H286,IF(AND(K283=TRUE,K286=TRUE),H283+H286,MAX(H283,H286))))</f>
        <v>14</v>
      </c>
      <c r="I287" s="1626"/>
      <c r="J287" s="807"/>
      <c r="K287" s="808" t="b">
        <f>IF(AND(K283=FALSE,K286=FALSE),FALSE,TRUE)</f>
        <v>1</v>
      </c>
      <c r="L287" s="1610"/>
      <c r="M287" s="1610"/>
      <c r="N287" s="1610"/>
      <c r="O287" s="1627"/>
      <c r="P287" s="1626"/>
      <c r="Q287" s="807"/>
      <c r="R287" s="808" t="b">
        <f>IF(AND(R283=FALSE,R286=FALSE),FALSE,TRUE)</f>
        <v>0</v>
      </c>
      <c r="S287" s="1626"/>
      <c r="T287" s="807"/>
      <c r="U287" s="808" t="b">
        <f>IF(AND(U283=FALSE,U286=FALSE),FALSE,TRUE)</f>
        <v>1</v>
      </c>
      <c r="V287" s="931"/>
      <c r="W287" s="931" t="s">
        <v>942</v>
      </c>
      <c r="X287" s="1392"/>
      <c r="Y287" s="8"/>
      <c r="Z287" s="1397"/>
      <c r="AA287" s="8"/>
      <c r="AB287" s="1400"/>
      <c r="AD287" s="960" t="str">
        <f>IF(K287=TRUE,"V","F")</f>
        <v>V</v>
      </c>
      <c r="AE287" s="961"/>
      <c r="AF287" s="960" t="str">
        <f>IF(R287=TRUE,"V","F")</f>
        <v>F</v>
      </c>
      <c r="AG287" s="961"/>
      <c r="AH287" s="960" t="str">
        <f>IF(U287=TRUE,"V","F")</f>
        <v>V</v>
      </c>
      <c r="AI287" s="961"/>
      <c r="AJ287" t="str">
        <f>IF(OR(AD287="V",AF287="V"),IF(H286&gt;H283,"Le NC contribue plus que le coparent","Le coparent joue un plus grand rôle que le NC"),"pas de contexte significatif de la part du coparent et NC")</f>
        <v>Le NC contribue plus que le coparent</v>
      </c>
      <c r="AK287" s="10"/>
      <c r="AL287" s="10"/>
      <c r="AM287" s="10"/>
      <c r="AN287" s="631">
        <f>IF(AND($K283=TRUE,$K286=FALSE),AN283,IF(AND($K283=FALSE,$K286=TRUE),AN286,IF(AND($K283=TRUE,$K286=TRUE),AN283+AN286,0)))</f>
        <v>14</v>
      </c>
      <c r="AO287" s="631">
        <f>IF(AND($R283=TRUE,$R286=FALSE),AO283,IF(AND($R283=FALSE,$R286=TRUE),AO286,IF(AND($R283=TRUE,$R286=TRUE),AO283+AO286,0)))</f>
        <v>0</v>
      </c>
      <c r="AP287" s="631">
        <f>IF(AND($U283=TRUE,$U286=FALSE),AP283,IF(AND($U283=FALSE,$U286=TRUE),AP286,IF(AND($U283=TRUE,$U286=TRUE),AP283+AP286,0)))</f>
        <v>14</v>
      </c>
      <c r="AQ287" s="631">
        <f>IF(AND($K283=TRUE,$K286=FALSE),AQ283,IF(AND($K283=FALSE,$K286=TRUE),AQ286,IF(AND($K283=TRUE,$K286=TRUE),AQ283+AQ286,MAX(AQ283,AQ286))))</f>
        <v>8</v>
      </c>
      <c r="AR287" s="631">
        <f>IF(AND($K283=TRUE,$K286=FALSE),AR283,IF(AND($K283=FALSE,$K286=TRUE),AR286,IF(AND($K283=TRUE,$K286=TRUE),AR283+AR286,MAX(AR283,AR286))))</f>
        <v>20</v>
      </c>
      <c r="AS287" s="631">
        <f t="shared" ref="AS287" si="268">IF(AND($R283=TRUE,$R286=FALSE),AS283,IF(AND($R283=FALSE,$R286=TRUE),AS286,IF(AND($R283=TRUE,$R286=TRUE),AS283+AS286,MAX(AS283,AS286))))</f>
        <v>12</v>
      </c>
      <c r="AT287" s="631">
        <f t="shared" ref="AT287" si="269">IF(AND($R283=TRUE,$R286=FALSE),AT283,IF(AND($R283=FALSE,$R286=TRUE),AT286,IF(AND($R283=TRUE,$R286=TRUE),AT283+AT286,MAX(AT283,AT286))))</f>
        <v>21</v>
      </c>
      <c r="AU287" s="631">
        <f t="shared" ref="AU287" si="270">IF(AND($U283=TRUE,$U286=FALSE),AU283,IF(AND($U283=FALSE,$U286=TRUE),AU286,IF(AND($U283=TRUE,$U286=TRUE),AU283+AU286,MAX(AU283,AU286))))</f>
        <v>8</v>
      </c>
      <c r="AV287" s="631">
        <f t="shared" ref="AV287" si="271">IF(AND($U283=TRUE,$U286=FALSE),AV283,IF(AND($U283=FALSE,$U286=TRUE),AV286,IF(AND($U283=TRUE,$U286=TRUE),AV283+AV286,MAX(AV283,AV286))))</f>
        <v>20</v>
      </c>
      <c r="BC287" s="7"/>
      <c r="BD287" s="816"/>
      <c r="BE287" s="110"/>
      <c r="BF287" s="477"/>
      <c r="BG287" s="113"/>
      <c r="BH287" s="481"/>
      <c r="BI287" s="113"/>
      <c r="BJ287" s="482"/>
      <c r="BK287" s="478"/>
    </row>
    <row r="288" spans="2:63" ht="68" x14ac:dyDescent="0.2">
      <c r="B288" s="2030" t="str">
        <f>'Action-Réaction finale'!Q46</f>
        <v>E: Interférence temps et/ou communication</v>
      </c>
      <c r="C288" s="313" t="str">
        <f>'Action-Réaction finale'!O46</f>
        <v>E16a2</v>
      </c>
      <c r="D288" s="767" t="str">
        <f>Test_Bible!B297</f>
        <v>Arrive-t-il à votre enfant de changer d’idée concernant une activité prévue à l’horaire avec vous ?  D’abord enthousiaste, votre enfant trouve subitement (dernière minute) des excuses pour ne pas participer à l’activité ?</v>
      </c>
      <c r="E288" s="101" t="s">
        <v>778</v>
      </c>
      <c r="F288" s="790">
        <f>Test_Bible!P297</f>
        <v>4</v>
      </c>
      <c r="G288" s="789">
        <f>Test_Bible!D297</f>
        <v>3</v>
      </c>
      <c r="H288" s="790">
        <f>F288*G288</f>
        <v>12</v>
      </c>
      <c r="I288" s="1622">
        <v>2</v>
      </c>
      <c r="J288" s="1615">
        <f>$J$18</f>
        <v>10</v>
      </c>
      <c r="K288" s="45" t="b">
        <f>IF(AND(F288&gt;=I288,F288&lt;=J288),TRUE,FALSE)</f>
        <v>1</v>
      </c>
      <c r="L288" s="45"/>
      <c r="M288" s="45"/>
      <c r="N288" s="45"/>
      <c r="O288" s="1623"/>
      <c r="P288" s="1622">
        <v>2</v>
      </c>
      <c r="Q288" s="1615">
        <v>7</v>
      </c>
      <c r="R288" s="1623" t="b">
        <f>IF(AND(F288&gt;=P288,F288&lt;=Q288),TRUE,FALSE)</f>
        <v>1</v>
      </c>
      <c r="S288" s="1622"/>
      <c r="T288" s="1615"/>
      <c r="U288" s="1623"/>
      <c r="V288" s="931"/>
      <c r="W288" s="1403"/>
      <c r="X288" s="1404">
        <v>2</v>
      </c>
      <c r="Y288" s="1405"/>
      <c r="Z288" s="1408">
        <v>4</v>
      </c>
      <c r="AA288" s="1405"/>
      <c r="AB288" s="1416">
        <v>11</v>
      </c>
      <c r="AD288" s="960" t="s">
        <v>945</v>
      </c>
      <c r="AE288" s="961"/>
      <c r="AF288" s="960"/>
      <c r="AG288" s="961"/>
      <c r="AH288" s="960"/>
      <c r="AI288" s="961"/>
      <c r="AK288" s="10"/>
      <c r="AL288" s="10"/>
      <c r="AM288" s="10"/>
      <c r="AN288" s="975">
        <f>IF($K288=TRUE,H288,0)</f>
        <v>12</v>
      </c>
      <c r="AO288" s="975">
        <f>IF($R288=TRUE,H288,0)</f>
        <v>12</v>
      </c>
      <c r="AP288" s="975"/>
      <c r="AQ288" s="1806">
        <f>IF(I288=11,0,G288*I288)</f>
        <v>6</v>
      </c>
      <c r="AR288" s="1806">
        <f>IF(J288=11,0,G288*J288)</f>
        <v>30</v>
      </c>
      <c r="AS288" s="1806">
        <f>IF(P288=11,0,G288*P288)</f>
        <v>6</v>
      </c>
      <c r="AT288" s="1806">
        <f>IF(Q288=11,0,G288*Q288)</f>
        <v>21</v>
      </c>
      <c r="AU288" s="1806"/>
      <c r="AV288" s="1806"/>
      <c r="BC288" s="7"/>
      <c r="BD288" s="816"/>
      <c r="BE288" s="110"/>
      <c r="BF288" s="477"/>
      <c r="BG288" s="113"/>
      <c r="BH288" s="481"/>
      <c r="BI288" s="113"/>
      <c r="BJ288" s="482"/>
      <c r="BK288" s="478"/>
    </row>
    <row r="289" spans="2:63" ht="49" thickBot="1" x14ac:dyDescent="0.25">
      <c r="B289" s="2030" t="str">
        <f>'Action-Réaction finale'!Q47</f>
        <v>E: Interférence temps et/ou communication</v>
      </c>
      <c r="C289" s="313" t="str">
        <f>'Action-Réaction finale'!O47</f>
        <v>E16a3</v>
      </c>
      <c r="D289" s="767" t="str">
        <f>Test_Bible!B298</f>
        <v>Votre enfant subit une pression pour passer plus de temps chez l'autre parent.</v>
      </c>
      <c r="E289" s="101" t="s">
        <v>776</v>
      </c>
      <c r="F289" s="790">
        <f>Test_Bible!P298</f>
        <v>10</v>
      </c>
      <c r="G289" s="789">
        <f>Test_Bible!D298</f>
        <v>2</v>
      </c>
      <c r="H289" s="790">
        <f>F289*G289</f>
        <v>20</v>
      </c>
      <c r="I289" s="1622">
        <v>4</v>
      </c>
      <c r="J289" s="1615">
        <v>10</v>
      </c>
      <c r="K289" s="45" t="b">
        <f>IF(AND(F289&gt;=I289,F289&lt;=J289),TRUE,FALSE)</f>
        <v>1</v>
      </c>
      <c r="L289" s="45"/>
      <c r="M289" s="45"/>
      <c r="N289" s="45"/>
      <c r="O289" s="1623"/>
      <c r="P289" s="1622">
        <v>2</v>
      </c>
      <c r="Q289" s="1615">
        <v>7</v>
      </c>
      <c r="R289" s="1623" t="b">
        <f>IF(AND(F289&gt;=P289,F289&lt;=Q289),TRUE,FALSE)</f>
        <v>0</v>
      </c>
      <c r="S289" s="1647"/>
      <c r="T289" s="1648"/>
      <c r="U289" s="1623"/>
      <c r="V289" s="931"/>
      <c r="W289" s="1406" t="s">
        <v>943</v>
      </c>
      <c r="X289" s="1411">
        <v>4</v>
      </c>
      <c r="Y289" s="1412"/>
      <c r="Z289" s="1413">
        <v>2</v>
      </c>
      <c r="AA289" s="1412"/>
      <c r="AB289" s="1421">
        <v>11</v>
      </c>
      <c r="AD289" s="960"/>
      <c r="AE289" s="961"/>
      <c r="AF289" s="960"/>
      <c r="AG289" s="961"/>
      <c r="AH289" s="960"/>
      <c r="AI289" s="961"/>
      <c r="AK289" s="10"/>
      <c r="AL289" s="10"/>
      <c r="AM289" s="10"/>
      <c r="AN289" s="975">
        <f>IF($K289=TRUE,H289,0)</f>
        <v>20</v>
      </c>
      <c r="AO289" s="975">
        <f>IF($R289=TRUE,H289,0)</f>
        <v>0</v>
      </c>
      <c r="AP289" s="975"/>
      <c r="AQ289" s="1806">
        <f>IF(I289=11,0,G289*I289)</f>
        <v>8</v>
      </c>
      <c r="AR289" s="1806">
        <f>IF(J289=11,0,G289*J289)</f>
        <v>20</v>
      </c>
      <c r="AS289" s="1806">
        <f>IF(P289=11,0,G289*P289)</f>
        <v>4</v>
      </c>
      <c r="AT289" s="1806">
        <f>IF(Q289=11,0,G289*Q289)</f>
        <v>14</v>
      </c>
      <c r="AU289" s="1806"/>
      <c r="AV289" s="1806"/>
      <c r="BC289" s="7"/>
      <c r="BD289" s="816"/>
      <c r="BE289" s="110"/>
      <c r="BF289" s="477"/>
      <c r="BG289" s="113"/>
      <c r="BH289" s="481"/>
      <c r="BI289" s="113"/>
      <c r="BJ289" s="482"/>
      <c r="BK289" s="478"/>
    </row>
    <row r="290" spans="2:63" ht="32" customHeight="1" thickBot="1" x14ac:dyDescent="0.25">
      <c r="B290" s="2030"/>
      <c r="C290" s="809" t="s">
        <v>747</v>
      </c>
      <c r="D290" s="810" t="str">
        <f>_xlfn.XLOOKUP(H290,H288:H289,D288:D289)</f>
        <v>Votre enfant subit une pression pour passer plus de temps chez l'autre parent.</v>
      </c>
      <c r="E290" s="810" t="str">
        <f>_xlfn.XLOOKUP(H290,H288:H289,E288:E289)</f>
        <v>subit de la pression pour passer plus de temps chez l'autre</v>
      </c>
      <c r="F290" s="811"/>
      <c r="G290" s="811"/>
      <c r="H290" s="811">
        <f>IF(AND(K288=TRUE,K289=FALSE),H288,IF(AND(K288=FALSE,K289=TRUE),H289,MAX(H288,H289)))</f>
        <v>20</v>
      </c>
      <c r="I290" s="1628"/>
      <c r="J290" s="812"/>
      <c r="K290" s="813" t="b">
        <f>IF(AND(K288=FALSE,K289=FALSE),FALSE,TRUE)</f>
        <v>1</v>
      </c>
      <c r="L290" s="1611"/>
      <c r="M290" s="1611"/>
      <c r="N290" s="1611"/>
      <c r="O290" s="1629"/>
      <c r="P290" s="1628"/>
      <c r="Q290" s="812"/>
      <c r="R290" s="813" t="b">
        <f>IF(AND(R288=FALSE,R289=FALSE),FALSE,TRUE)</f>
        <v>1</v>
      </c>
      <c r="S290" s="1628"/>
      <c r="T290" s="812"/>
      <c r="U290" s="813"/>
      <c r="V290" s="931"/>
      <c r="W290" s="931"/>
      <c r="X290" s="1394"/>
      <c r="Z290" s="1398"/>
      <c r="AB290" s="1402"/>
      <c r="AD290" s="960" t="str">
        <f>IF(K290=TRUE,"V","F")</f>
        <v>V</v>
      </c>
      <c r="AE290" s="961"/>
      <c r="AF290" s="960" t="str">
        <f>IF(R290=TRUE,"V","F")</f>
        <v>V</v>
      </c>
      <c r="AG290" s="961"/>
      <c r="AH290" s="960"/>
      <c r="AI290" s="961"/>
      <c r="AK290" s="10"/>
      <c r="AL290" s="10"/>
      <c r="AM290" s="10"/>
      <c r="AN290" s="2102">
        <f>IF(AND($K288=TRUE,$K289=FALSE),AN288,IF(AND($K288=FALSE,$K289=TRUE),AN289,IF(AND($K288=TRUE,$K289=TRUE),MAX(AN288,AN289),0)))</f>
        <v>20</v>
      </c>
      <c r="AO290" s="2102">
        <f>IF(AND($R288=TRUE,$R289=FALSE),AO288,IF(AND($R288=FALSE,$R289=TRUE),AO289,IF(AND($R288=TRUE,$R289=TRUE),MAX(AO288,AO289),0)))</f>
        <v>12</v>
      </c>
      <c r="AP290" s="2102"/>
      <c r="AQ290" s="2102">
        <f>IF(AND($K288=TRUE,$K289=FALSE),AQ288,IF(AND($K288=FALSE,$K289=TRUE),AQ289,IF(AND($K288=TRUE,$K289=TRUE),MAX(AQ288,AQ289),0)))</f>
        <v>8</v>
      </c>
      <c r="AR290" s="2102">
        <f>IF(AND($K288=TRUE,$K289=FALSE),AR288,IF(AND($K288=FALSE,$K289=TRUE),AR289,IF(AND($K288=TRUE,$K289=TRUE),MAX(AR288,AR289),0)))</f>
        <v>30</v>
      </c>
      <c r="AS290" s="2102">
        <f t="shared" ref="AS290" si="272">IF(AND($R288=TRUE,$R289=FALSE),AS288,IF(AND($R288=FALSE,$R289=TRUE),AS289,IF(AND($R288=TRUE,$R289=TRUE),MAX(AS288,AS289),0)))</f>
        <v>6</v>
      </c>
      <c r="AT290" s="2102">
        <f t="shared" ref="AT290" si="273">IF(AND($R288=TRUE,$R289=FALSE),AT288,IF(AND($R288=FALSE,$R289=TRUE),AT289,IF(AND($R288=TRUE,$R289=TRUE),MAX(AT288,AT289),0)))</f>
        <v>21</v>
      </c>
      <c r="AU290" s="2102"/>
      <c r="AV290" s="2102"/>
      <c r="BD290" s="816"/>
      <c r="BE290" s="110"/>
      <c r="BF290" s="477"/>
      <c r="BG290" s="113"/>
      <c r="BH290" s="481"/>
      <c r="BI290" s="113"/>
      <c r="BJ290" s="482"/>
      <c r="BK290" s="478"/>
    </row>
    <row r="291" spans="2:63" ht="32" customHeight="1" x14ac:dyDescent="0.2">
      <c r="B291" s="2030"/>
      <c r="D291" s="421" t="s">
        <v>310</v>
      </c>
      <c r="E291" s="785"/>
      <c r="F291" s="474" t="s">
        <v>398</v>
      </c>
      <c r="G291" s="47"/>
      <c r="H291" s="47">
        <f>IF(AND(K287=TRUE,K290=FALSE),H287,IF(AND(K287=FALSE,K290=TRUE),H290,IF(AND(K287=TRUE,K290=TRUE),H287+H290,MAX(H287,H290))))</f>
        <v>34</v>
      </c>
      <c r="I291" s="1630"/>
      <c r="J291" s="475"/>
      <c r="K291" s="1613"/>
      <c r="L291" s="1614" t="str">
        <f>IF(AND(K290=TRUE,K287=TRUE),E290,"")</f>
        <v>subit de la pression pour passer plus de temps chez l'autre</v>
      </c>
      <c r="M291" s="1614" t="str">
        <f>IF(AND(K287=TRUE,K290=FALSE),"Bien que le parent "&amp;E287&amp;" l'enfant ne semble pas s'ingérer","")</f>
        <v/>
      </c>
      <c r="N291" s="1614" t="str">
        <f>IF(AND(K287=FALSE,K290=TRUE),E290&amp;" sans signe de la participation du parent favorisé et|ou nouveau conjoint.e","")</f>
        <v/>
      </c>
      <c r="O291" s="1631" t="str">
        <f>IF(AND(K287=FALSE,K290=FALSE),"aucun comportement significatif de cette nature","")</f>
        <v/>
      </c>
      <c r="P291" s="1630"/>
      <c r="Q291" s="475"/>
      <c r="R291" s="1639"/>
      <c r="S291" s="1630"/>
      <c r="T291" s="475"/>
      <c r="U291" s="1639"/>
      <c r="V291" s="170"/>
      <c r="W291" s="170"/>
      <c r="X291" s="1394"/>
      <c r="Z291" s="1398"/>
      <c r="AB291" s="1402"/>
      <c r="AD291" s="962"/>
      <c r="AE291" s="963">
        <f>IF(AND(AD287="V",AD290="V"),2,IF(OR(AD287="V",AD290="V"),1,0))</f>
        <v>2</v>
      </c>
      <c r="AF291" s="962"/>
      <c r="AG291" s="963">
        <f>IF(OR(AF287="V",AF290="V"),1,0)</f>
        <v>1</v>
      </c>
      <c r="AH291" s="962"/>
      <c r="AI291" s="963"/>
      <c r="AK291" s="10"/>
      <c r="AL291" s="10"/>
      <c r="AM291" s="10"/>
      <c r="AN291" s="2097">
        <f>IF(AND($AD287="V",$AD290="F"),AN287,IF(AND($AD287="F",$AD290="V"),AN290,IF(AND($AD287="V",$AD290="V"),AN287+AN290,0)))</f>
        <v>34</v>
      </c>
      <c r="AO291" s="2097">
        <f>IF(AND($AF287="V",$AF290="F"),AO287,IF(AND($AF287="F",$AF290="V"),AO290,IF(AND($AF287="V",$AF290="V"),AO287+AO290,0)))</f>
        <v>12</v>
      </c>
      <c r="AP291" s="2097"/>
      <c r="AQ291" s="2097">
        <f>IF(AND($AD287="V",$AD290="F"),AQ287,IF(AND($AD287="F",$AD290="V"),AQ290,IF(AND($AD287="V",$AD290="V"),AQ287+AQ290,0)))</f>
        <v>16</v>
      </c>
      <c r="AR291" s="2097">
        <f>IF(AND($AD287="V",$AD290="F"),AR287,IF(AND($AD287="F",$AD290="V"),AR290,IF(AND($AD287="V",$AD290="V"),AR287+AR290,0)))</f>
        <v>50</v>
      </c>
      <c r="AS291" s="2097">
        <f>IF(AND($AF287="V",$AF290="F"),AS287,IF(AND($AF287="F",$AF290="V"),AS290,IF(AND($AF287="V",$AF290="V"),AS287+AS290,0)))</f>
        <v>6</v>
      </c>
      <c r="AT291" s="2097">
        <f>IF(AND($AF287="V",$AF290="F"),AT287,IF(AND($AF287="F",$AF290="V"),AT290,IF(AND($AF287="V",$AF290="V"),AT287+AT290,0)))</f>
        <v>21</v>
      </c>
      <c r="AU291" s="2097"/>
      <c r="AV291" s="2097"/>
      <c r="BD291" s="816"/>
      <c r="BE291" s="110"/>
      <c r="BF291" s="477"/>
      <c r="BG291" s="113"/>
      <c r="BH291" s="481"/>
      <c r="BI291" s="113"/>
      <c r="BJ291" s="482"/>
      <c r="BK291" s="478"/>
    </row>
    <row r="292" spans="2:63" ht="32" customHeight="1" x14ac:dyDescent="0.2">
      <c r="B292" s="2030"/>
      <c r="C292" t="s">
        <v>243</v>
      </c>
      <c r="I292" s="146"/>
      <c r="L292" s="46"/>
      <c r="M292" s="46"/>
      <c r="N292" s="46"/>
      <c r="O292" s="1652"/>
      <c r="P292" s="146"/>
      <c r="R292" s="326"/>
      <c r="S292" s="146"/>
      <c r="U292" s="326"/>
      <c r="V292" s="46"/>
      <c r="X292" s="1394"/>
      <c r="Z292" s="1398"/>
      <c r="AB292" s="1402"/>
      <c r="AD292" s="960"/>
      <c r="AE292" s="961"/>
      <c r="AF292" s="960"/>
      <c r="AG292" s="961"/>
      <c r="AH292" s="960"/>
      <c r="AI292" s="961"/>
      <c r="AK292" s="10"/>
      <c r="AL292" s="10"/>
      <c r="AM292" s="10"/>
      <c r="AN292" s="975"/>
      <c r="AO292" s="975"/>
      <c r="AP292" s="975"/>
      <c r="AQ292" s="1806"/>
      <c r="AR292" s="1806"/>
      <c r="AS292" s="1806"/>
      <c r="AT292" s="1806"/>
      <c r="AU292" s="1806"/>
      <c r="AV292" s="1806"/>
      <c r="BD292" s="816"/>
      <c r="BE292" s="110"/>
      <c r="BF292" s="477"/>
      <c r="BG292" s="113"/>
      <c r="BH292" s="481"/>
      <c r="BI292" s="113"/>
      <c r="BJ292" s="482"/>
      <c r="BK292" s="478"/>
    </row>
    <row r="293" spans="2:63" ht="32" customHeight="1" x14ac:dyDescent="0.2">
      <c r="B293" s="2030"/>
      <c r="C293" s="964"/>
      <c r="D293" s="972"/>
      <c r="E293" s="965"/>
      <c r="F293" s="973"/>
      <c r="G293" s="973"/>
      <c r="H293" s="973">
        <f>F293*G293</f>
        <v>0</v>
      </c>
      <c r="I293" s="1647">
        <v>11</v>
      </c>
      <c r="J293" s="1648">
        <v>11</v>
      </c>
      <c r="K293" s="45" t="b">
        <f>IF(AND(F293&gt;=I293,F293&lt;=J293),TRUE,FALSE)</f>
        <v>0</v>
      </c>
      <c r="L293" s="32"/>
      <c r="M293" s="32"/>
      <c r="N293" s="32"/>
      <c r="O293" s="1632"/>
      <c r="P293" s="1647">
        <v>11</v>
      </c>
      <c r="Q293" s="1648">
        <v>11</v>
      </c>
      <c r="R293" s="1623" t="b">
        <f>IF(AND(F293&gt;=P293,F293&lt;=Q293),TRUE,FALSE)</f>
        <v>0</v>
      </c>
      <c r="S293" s="1647">
        <v>11</v>
      </c>
      <c r="T293" s="1648">
        <v>11</v>
      </c>
      <c r="U293" s="1623" t="b">
        <f>IF(AND(F293&gt;=S293,F293&lt;=T293),TRUE,FALSE)</f>
        <v>0</v>
      </c>
      <c r="V293" s="46"/>
      <c r="W293" s="1428"/>
      <c r="X293" s="1422">
        <v>11</v>
      </c>
      <c r="Y293" s="1423"/>
      <c r="Z293" s="1424">
        <v>11</v>
      </c>
      <c r="AA293" s="1423"/>
      <c r="AB293" s="1416">
        <v>11</v>
      </c>
      <c r="AD293" s="960"/>
      <c r="AE293" s="961"/>
      <c r="AF293" s="960"/>
      <c r="AG293" s="961"/>
      <c r="AH293" s="960"/>
      <c r="AI293" s="961"/>
      <c r="AK293" s="10"/>
      <c r="AL293" s="10"/>
      <c r="AM293" s="10"/>
      <c r="AN293" s="975">
        <f>IF($K293=TRUE,H293,0)</f>
        <v>0</v>
      </c>
      <c r="AO293" s="975">
        <f>IF($R293=TRUE,H293,0)</f>
        <v>0</v>
      </c>
      <c r="AP293" s="975">
        <f>IF($U293=TRUE,H293,0)</f>
        <v>0</v>
      </c>
      <c r="AQ293" s="1806">
        <f>IF(I293=11,0,G293*I293)</f>
        <v>0</v>
      </c>
      <c r="AR293" s="1806">
        <f>IF(J293=11,0,G293*J293)</f>
        <v>0</v>
      </c>
      <c r="AS293" s="1806">
        <f>IF(P293=11,0,G293*P293)</f>
        <v>0</v>
      </c>
      <c r="AT293" s="1806">
        <f>IF(Q293=11,0,G293*Q293)</f>
        <v>0</v>
      </c>
      <c r="AU293" s="1806">
        <f>IF(S293=11,0,S293*G293)</f>
        <v>0</v>
      </c>
      <c r="AV293" s="1806">
        <f>IF(T293=11,0,T293*G293)</f>
        <v>0</v>
      </c>
      <c r="BD293" s="816"/>
      <c r="BE293" s="110"/>
      <c r="BF293" s="477"/>
      <c r="BG293" s="113"/>
      <c r="BH293" s="481"/>
      <c r="BI293" s="113"/>
      <c r="BJ293" s="482"/>
      <c r="BK293" s="478"/>
    </row>
    <row r="294" spans="2:63" ht="32" customHeight="1" thickBot="1" x14ac:dyDescent="0.25">
      <c r="B294" s="2030"/>
      <c r="C294" s="964"/>
      <c r="D294" s="972"/>
      <c r="E294" s="965"/>
      <c r="F294" s="973"/>
      <c r="G294" s="973"/>
      <c r="H294" s="973">
        <f>F294*G294</f>
        <v>0</v>
      </c>
      <c r="I294" s="1647">
        <v>11</v>
      </c>
      <c r="J294" s="1648">
        <v>11</v>
      </c>
      <c r="K294" s="45" t="b">
        <f>IF(AND(F294&gt;=I294,F294&lt;=J294),TRUE,FALSE)</f>
        <v>0</v>
      </c>
      <c r="L294" s="32"/>
      <c r="M294" s="32"/>
      <c r="N294" s="32"/>
      <c r="O294" s="1632"/>
      <c r="P294" s="1647">
        <v>11</v>
      </c>
      <c r="Q294" s="1648">
        <v>11</v>
      </c>
      <c r="R294" s="1623" t="b">
        <f>IF(AND(F294&gt;=P294,F294&lt;=Q294),TRUE,FALSE)</f>
        <v>0</v>
      </c>
      <c r="S294" s="1647">
        <v>11</v>
      </c>
      <c r="T294" s="1648">
        <v>11</v>
      </c>
      <c r="U294" s="1623" t="b">
        <f>IF(AND(F294&gt;=S294,F294&lt;=T294),TRUE,FALSE)</f>
        <v>0</v>
      </c>
      <c r="W294" s="1429"/>
      <c r="X294" s="1425">
        <v>11</v>
      </c>
      <c r="Y294" s="1426"/>
      <c r="Z294" s="1427">
        <v>11</v>
      </c>
      <c r="AA294" s="1426"/>
      <c r="AB294" s="1421">
        <v>11</v>
      </c>
      <c r="AD294" s="960"/>
      <c r="AE294" s="961"/>
      <c r="AF294" s="960"/>
      <c r="AG294" s="961"/>
      <c r="AH294" s="960"/>
      <c r="AI294" s="961"/>
      <c r="AK294" s="10"/>
      <c r="AL294" s="10"/>
      <c r="AM294" s="10"/>
      <c r="AN294" s="975">
        <f>IF($K294=TRUE,H294,0)</f>
        <v>0</v>
      </c>
      <c r="AO294" s="975">
        <f>IF($R294=TRUE,H294,0)</f>
        <v>0</v>
      </c>
      <c r="AP294" s="975">
        <f>IF($U294=TRUE,H294,0)</f>
        <v>0</v>
      </c>
      <c r="AQ294" s="1806">
        <f>IF(I294=11,0,G294*I294)</f>
        <v>0</v>
      </c>
      <c r="AR294" s="1806">
        <f>IF(J294=11,0,G294*J294)</f>
        <v>0</v>
      </c>
      <c r="AS294" s="1806">
        <f>IF(P294=11,0,G294*P294)</f>
        <v>0</v>
      </c>
      <c r="AT294" s="1806">
        <f>IF(Q294=11,0,G294*Q294)</f>
        <v>0</v>
      </c>
      <c r="AU294" s="1806">
        <f>IF(S294=11,0,S294*G294)</f>
        <v>0</v>
      </c>
      <c r="AV294" s="1806">
        <f>IF(T294=11,0,T294*G294)</f>
        <v>0</v>
      </c>
      <c r="BD294" s="816"/>
      <c r="BE294" s="110"/>
      <c r="BF294" s="477"/>
      <c r="BG294" s="113"/>
      <c r="BH294" s="481"/>
      <c r="BI294" s="113"/>
      <c r="BJ294" s="482"/>
      <c r="BK294" s="478"/>
    </row>
    <row r="295" spans="2:63" ht="32" customHeight="1" thickBot="1" x14ac:dyDescent="0.25">
      <c r="B295" s="2030"/>
      <c r="D295" s="16"/>
      <c r="E295" s="16"/>
      <c r="F295" s="89"/>
      <c r="G295" s="473"/>
      <c r="H295" s="47">
        <f>IF(AND(K293=TRUE,K294=FALSE),H293,IF(AND(K293=FALSE,K294=TRUE),H294,MAX(H293,H294)))</f>
        <v>0</v>
      </c>
      <c r="I295" s="1644"/>
      <c r="J295" s="1645"/>
      <c r="K295" s="1651" t="b">
        <f>IF(AND(K293=FALSE,K294=FALSE),FALSE,TRUE)</f>
        <v>0</v>
      </c>
      <c r="L295" s="1633"/>
      <c r="M295" s="1634"/>
      <c r="N295" s="1634"/>
      <c r="O295" s="1635"/>
      <c r="P295" s="1644"/>
      <c r="Q295" s="1645"/>
      <c r="R295" s="1651" t="b">
        <f>IF(AND(R293=FALSE,R294=FALSE),FALSE,TRUE)</f>
        <v>0</v>
      </c>
      <c r="S295" s="1656"/>
      <c r="T295" s="1657"/>
      <c r="U295" s="1658" t="b">
        <f>IF(AND(U293=FALSE,U294=FALSE),FALSE,TRUE)</f>
        <v>0</v>
      </c>
      <c r="V295" s="933"/>
      <c r="AD295" s="1564" t="str">
        <f>IF(K295=TRUE,"V","F")</f>
        <v>F</v>
      </c>
      <c r="AE295" s="1565"/>
      <c r="AF295" s="1564" t="str">
        <f>IF(R295=TRUE,"V","F")</f>
        <v>F</v>
      </c>
      <c r="AG295" s="1565"/>
      <c r="AH295" s="1564" t="str">
        <f>IF(U295=TRUE,"V","F")</f>
        <v>F</v>
      </c>
      <c r="AI295" s="1565"/>
      <c r="AK295" s="10"/>
      <c r="AL295" s="10"/>
      <c r="AM295" s="10"/>
      <c r="AN295" s="2102">
        <f>IF(AND($K293=TRUE,$K294=FALSE),AN293,IF(AND($K293=FALSE,$K294=TRUE),AN294,MAX(AN293,AN294)))</f>
        <v>0</v>
      </c>
      <c r="AO295" s="2102">
        <f>IF(AND($R293=TRUE,$R294=FALSE),AO293,IF(AND($R293=FALSE,$R294=TRUE),AO294,MAX(AO293,AO294)))</f>
        <v>0</v>
      </c>
      <c r="AP295" s="2102">
        <f>IF(AND($U293=TRUE,$U294=FALSE),AP293,IF(AND($U293=FALSE,$U294=TRUE),AP294,MAX(AP293,AP294)))</f>
        <v>0</v>
      </c>
      <c r="AQ295" s="2102">
        <f>IF(AND($K293=TRUE,$K294=FALSE),AQ293,IF(AND($K293=FALSE,$K294=TRUE),AQ294,MAX(AQ293,AQ294)))</f>
        <v>0</v>
      </c>
      <c r="AR295" s="2102">
        <f>IF(AND($K293=TRUE,$K294=FALSE),AR293,IF(AND($K293=FALSE,$K294=TRUE),AR294,MAX(AR293,AR294)))</f>
        <v>0</v>
      </c>
      <c r="AS295" s="2102">
        <f>IF(AND($R293=TRUE,$R294=FALSE),AS293,IF(AND($R293=FALSE,$R294=TRUE),AS294,MAX(AS293,AS294)))</f>
        <v>0</v>
      </c>
      <c r="AT295" s="2102">
        <f>IF(AND($R293=TRUE,$R294=FALSE),AT293,IF(AND($R293=FALSE,$R294=TRUE),AT294,MAX(AT293,AT294)))</f>
        <v>0</v>
      </c>
      <c r="AU295" s="2102">
        <f>IF(AND($U293=TRUE,$U294=FALSE),AU293,IF(AND($U293=FALSE,$U294=TRUE),AU294,MAX(AU293,AU294)))</f>
        <v>0</v>
      </c>
      <c r="AV295" s="2102">
        <f>IF(AND($U293=TRUE,$U294=FALSE),AV293,IF(AND($U293=FALSE,$U294=TRUE),AV294,MAX(AV293,AV294)))</f>
        <v>0</v>
      </c>
      <c r="BD295" s="816"/>
      <c r="BE295" s="110"/>
      <c r="BF295" s="477"/>
      <c r="BG295" s="113"/>
      <c r="BH295" s="481"/>
      <c r="BI295" s="113"/>
      <c r="BJ295" s="482"/>
      <c r="BK295" s="478"/>
    </row>
    <row r="296" spans="2:63" ht="32" customHeight="1" thickBot="1" x14ac:dyDescent="0.35">
      <c r="D296" s="16"/>
      <c r="E296" s="16"/>
      <c r="F296" s="89"/>
      <c r="G296" s="473"/>
      <c r="H296" s="473"/>
      <c r="I296" s="8"/>
      <c r="J296" s="8"/>
      <c r="K296" s="932"/>
      <c r="L296" s="933"/>
      <c r="M296" s="933"/>
      <c r="N296" s="933"/>
      <c r="O296" s="933"/>
      <c r="P296" s="933"/>
      <c r="Q296" s="933"/>
      <c r="R296" s="933"/>
      <c r="S296" s="933"/>
      <c r="T296" s="933"/>
      <c r="U296" s="933"/>
      <c r="V296" s="933"/>
      <c r="W296" s="933"/>
      <c r="AD296" s="1649"/>
      <c r="AE296" s="1650">
        <f>IF(AND(AD295="V",AD287="V"),AE291-1,AE291)</f>
        <v>2</v>
      </c>
      <c r="AF296" s="1649"/>
      <c r="AG296" s="1650">
        <f>IF(OR(AF287="V",AF290="V",AF295="V"),1,0)</f>
        <v>1</v>
      </c>
      <c r="AH296" s="1649"/>
      <c r="AI296" s="1650">
        <f>IF(AH287="V",1,IF(AH295="V",1,0))</f>
        <v>1</v>
      </c>
      <c r="AK296" s="10">
        <v>1</v>
      </c>
      <c r="AL296" s="10">
        <v>1</v>
      </c>
      <c r="AM296" s="10">
        <v>1</v>
      </c>
      <c r="AN296" s="2101">
        <f>IF($AD295="F",AN291,AN291+AN295)</f>
        <v>34</v>
      </c>
      <c r="AO296" s="2101">
        <f>IF($AF295="F",AO291,AO291+AO295)</f>
        <v>12</v>
      </c>
      <c r="AP296" s="2101">
        <f>IF(AND($AH287="V",$AH295="F"),AP287,IF(AND($AH287="F",$AH295="V"),AP295,IF(AND($AH287="V",$AH295="V"),AP287+AP295,0)))</f>
        <v>14</v>
      </c>
      <c r="AQ296" s="2101">
        <f>IF($AD295="F",AQ291,AQ291+AQ295)</f>
        <v>16</v>
      </c>
      <c r="AR296" s="2101">
        <f t="shared" ref="AR296" si="274">IF($AD295="F",AR291,AR291+AR295)</f>
        <v>50</v>
      </c>
      <c r="AS296" s="2101">
        <f t="shared" ref="AS296" si="275">IF($AF295="F",AS291,AS291+AS295)</f>
        <v>6</v>
      </c>
      <c r="AT296" s="2101">
        <f t="shared" ref="AT296" si="276">IF($AF295="F",AT291,AT291+AT295)</f>
        <v>21</v>
      </c>
      <c r="AU296" s="2101">
        <f t="shared" ref="AU296" si="277">IF(AND($AH287="V",$AH295="F"),AU287,IF(AND($AH287="F",$AH295="V"),AU295,IF(AND($AH287="V",$AH295="V"),AU287+AU295,0)))</f>
        <v>8</v>
      </c>
      <c r="AV296" s="2101">
        <f t="shared" ref="AV296" si="278">IF(AND($AH287="V",$AH295="F"),AV287,IF(AND($AH287="F",$AH295="V"),AV295,IF(AND($AH287="V",$AH295="V"),AV287+AV295,0)))</f>
        <v>20</v>
      </c>
      <c r="BD296" s="816"/>
      <c r="BE296" s="110"/>
      <c r="BF296" s="477"/>
      <c r="BG296" s="113"/>
      <c r="BH296" s="481"/>
      <c r="BI296" s="113"/>
      <c r="BJ296" s="482"/>
      <c r="BK296" s="478"/>
    </row>
    <row r="297" spans="2:63" ht="32" customHeight="1" x14ac:dyDescent="0.3">
      <c r="D297" s="16"/>
      <c r="E297" s="16"/>
      <c r="F297" s="89"/>
      <c r="G297" s="473"/>
      <c r="H297" s="473"/>
      <c r="I297" s="1616"/>
      <c r="J297" s="1617"/>
      <c r="K297" s="1618"/>
      <c r="L297" s="2268"/>
      <c r="M297" s="2268"/>
      <c r="N297" s="2268"/>
      <c r="O297" s="1619"/>
      <c r="P297" s="1636"/>
      <c r="Q297" s="1618"/>
      <c r="R297" s="1619"/>
      <c r="S297" s="1636"/>
      <c r="T297" s="1618"/>
      <c r="U297" s="1619"/>
      <c r="V297" s="170"/>
      <c r="W297" s="170"/>
      <c r="AD297" s="1668"/>
      <c r="AE297" s="1669"/>
      <c r="AF297" s="1409"/>
      <c r="AG297" s="1409"/>
      <c r="AH297" s="1409"/>
      <c r="AI297" s="1409"/>
      <c r="AK297" s="10"/>
      <c r="AL297" s="10"/>
      <c r="AM297" s="10"/>
      <c r="BD297" s="816"/>
      <c r="BE297" s="110"/>
      <c r="BF297" s="477"/>
      <c r="BG297" s="113"/>
      <c r="BH297" s="481"/>
      <c r="BI297" s="113"/>
      <c r="BJ297" s="482"/>
      <c r="BK297" s="478"/>
    </row>
    <row r="298" spans="2:63" ht="32" customHeight="1" x14ac:dyDescent="0.3">
      <c r="B298" s="2029">
        <v>15</v>
      </c>
      <c r="D298" s="476" t="str">
        <f>'Action-Réaction finale'!F49</f>
        <v>Impose sa présence (appel, texto)</v>
      </c>
      <c r="E298" s="107"/>
      <c r="F298" s="65"/>
      <c r="G298" s="18"/>
      <c r="H298" s="18"/>
      <c r="I298" s="2255" t="s">
        <v>734</v>
      </c>
      <c r="J298" s="2256"/>
      <c r="K298" s="2256"/>
      <c r="L298" s="2257" t="s">
        <v>1378</v>
      </c>
      <c r="M298" s="2257"/>
      <c r="N298" s="2257"/>
      <c r="O298" s="2258"/>
      <c r="P298" s="2259" t="s">
        <v>733</v>
      </c>
      <c r="Q298" s="2260"/>
      <c r="R298" s="2261"/>
      <c r="S298" s="2262" t="s">
        <v>735</v>
      </c>
      <c r="T298" s="2263"/>
      <c r="U298" s="2264"/>
      <c r="V298" s="15"/>
      <c r="W298" s="15"/>
      <c r="AD298" s="956"/>
      <c r="AE298" s="956"/>
      <c r="AF298" s="956"/>
      <c r="AG298" s="956"/>
      <c r="AH298" s="956"/>
      <c r="AI298" s="957"/>
      <c r="AK298" s="10"/>
      <c r="AL298" s="10"/>
      <c r="AM298" s="10"/>
      <c r="AN298" s="1659" t="s">
        <v>734</v>
      </c>
      <c r="AO298" s="1659" t="s">
        <v>733</v>
      </c>
      <c r="AP298" s="1659" t="s">
        <v>735</v>
      </c>
      <c r="AQ298" s="2254" t="s">
        <v>734</v>
      </c>
      <c r="AR298" s="2254"/>
      <c r="AS298" s="2254" t="s">
        <v>733</v>
      </c>
      <c r="AT298" s="2254"/>
      <c r="AU298" s="2254" t="s">
        <v>735</v>
      </c>
      <c r="AV298" s="2254"/>
      <c r="BD298" s="816"/>
      <c r="BE298" s="110"/>
      <c r="BF298" s="477"/>
      <c r="BG298" s="113"/>
      <c r="BH298" s="481"/>
      <c r="BI298" s="113"/>
      <c r="BJ298" s="482"/>
      <c r="BK298" s="478"/>
    </row>
    <row r="299" spans="2:63" ht="32" customHeight="1" x14ac:dyDescent="0.3">
      <c r="D299" s="102" t="s">
        <v>998</v>
      </c>
      <c r="E299" s="983" t="s">
        <v>997</v>
      </c>
      <c r="F299" s="32" t="s">
        <v>748</v>
      </c>
      <c r="G299" s="32" t="s">
        <v>749</v>
      </c>
      <c r="H299" s="32" t="s">
        <v>750</v>
      </c>
      <c r="I299" s="1620" t="s">
        <v>306</v>
      </c>
      <c r="J299" s="43" t="s">
        <v>307</v>
      </c>
      <c r="K299" s="43" t="s">
        <v>308</v>
      </c>
      <c r="L299" s="43" t="s">
        <v>413</v>
      </c>
      <c r="M299" s="43" t="s">
        <v>388</v>
      </c>
      <c r="N299" s="43" t="s">
        <v>389</v>
      </c>
      <c r="O299" s="1621" t="s">
        <v>390</v>
      </c>
      <c r="P299" s="1620" t="s">
        <v>306</v>
      </c>
      <c r="Q299" s="43" t="s">
        <v>307</v>
      </c>
      <c r="R299" s="1621" t="s">
        <v>308</v>
      </c>
      <c r="S299" s="1620" t="s">
        <v>306</v>
      </c>
      <c r="T299" s="43" t="s">
        <v>307</v>
      </c>
      <c r="U299" s="1621" t="s">
        <v>308</v>
      </c>
      <c r="V299" s="818"/>
      <c r="W299" s="955" t="s">
        <v>928</v>
      </c>
      <c r="X299" s="1391" t="s">
        <v>734</v>
      </c>
      <c r="Y299" s="955" t="s">
        <v>928</v>
      </c>
      <c r="Z299" s="1395" t="s">
        <v>733</v>
      </c>
      <c r="AA299" s="955"/>
      <c r="AB299" s="1399" t="s">
        <v>735</v>
      </c>
      <c r="AD299" s="970" t="s">
        <v>734</v>
      </c>
      <c r="AE299" s="971" t="s">
        <v>946</v>
      </c>
      <c r="AF299" s="970" t="s">
        <v>733</v>
      </c>
      <c r="AG299" s="971" t="s">
        <v>947</v>
      </c>
      <c r="AH299" s="970" t="s">
        <v>735</v>
      </c>
      <c r="AI299" s="971" t="s">
        <v>948</v>
      </c>
      <c r="AK299" s="10"/>
      <c r="AL299" s="10"/>
      <c r="AM299" s="10"/>
      <c r="AN299" s="10"/>
      <c r="AO299" s="10"/>
      <c r="AP299" s="10"/>
      <c r="AQ299" s="1806" t="s">
        <v>1322</v>
      </c>
      <c r="AR299" s="1806" t="s">
        <v>1323</v>
      </c>
      <c r="AS299" s="1806" t="s">
        <v>1322</v>
      </c>
      <c r="AT299" s="1806" t="s">
        <v>1323</v>
      </c>
      <c r="AU299" s="1806" t="s">
        <v>1322</v>
      </c>
      <c r="AV299" s="1806" t="s">
        <v>1323</v>
      </c>
      <c r="BD299" s="816"/>
      <c r="BE299" s="110"/>
      <c r="BF299" s="477"/>
      <c r="BG299" s="113"/>
      <c r="BH299" s="481"/>
      <c r="BI299" s="113"/>
      <c r="BJ299" s="482"/>
      <c r="BK299" s="478"/>
    </row>
    <row r="300" spans="2:63" ht="53" customHeight="1" x14ac:dyDescent="0.2">
      <c r="B300" s="2030" t="str">
        <f>'Action-Réaction finale'!I49</f>
        <v>E: Interférence temps et/ou communication</v>
      </c>
      <c r="C300" s="414" t="str">
        <f>'Action-Réaction finale'!G49</f>
        <v>PFA18</v>
      </c>
      <c r="D300" s="26" t="str">
        <f>Test_Bible!B198</f>
        <v>À quelle fréquence l’autre parent communique-t-il ou elle avec votre enfant durant votre temps de garde ? (tél., textos, réseaux sociaux, etc.)</v>
      </c>
      <c r="E300" s="101" t="s">
        <v>779</v>
      </c>
      <c r="F300" s="790">
        <f>Test_Bible!P198</f>
        <v>7</v>
      </c>
      <c r="G300" s="789">
        <f>Test_Bible!D198</f>
        <v>3</v>
      </c>
      <c r="H300" s="790">
        <f>F300*G300</f>
        <v>21</v>
      </c>
      <c r="I300" s="1622">
        <v>7</v>
      </c>
      <c r="J300" s="1615">
        <v>10</v>
      </c>
      <c r="K300" s="45" t="b">
        <f>IF(AND(F300&gt;=I300,F300&lt;=J300),TRUE,FALSE)</f>
        <v>1</v>
      </c>
      <c r="L300" s="45"/>
      <c r="M300" s="45"/>
      <c r="N300" s="45"/>
      <c r="O300" s="1623"/>
      <c r="P300" s="1647">
        <v>11</v>
      </c>
      <c r="Q300" s="1648">
        <v>11</v>
      </c>
      <c r="R300" s="1623" t="b">
        <f>IF(AND(F300&gt;=P300,F300&lt;=Q300),TRUE,FALSE)</f>
        <v>0</v>
      </c>
      <c r="S300" s="1647">
        <v>11</v>
      </c>
      <c r="T300" s="1648">
        <v>11</v>
      </c>
      <c r="U300" s="1623" t="b">
        <f>IF(AND(F300&gt;=S300,F300&lt;=T300),TRUE,FALSE)</f>
        <v>0</v>
      </c>
      <c r="V300" s="931"/>
      <c r="W300" s="1403"/>
      <c r="X300" s="1404">
        <v>7</v>
      </c>
      <c r="Y300" s="1405"/>
      <c r="Z300" s="1424">
        <v>11</v>
      </c>
      <c r="AA300" s="1405"/>
      <c r="AB300" s="1416">
        <v>11</v>
      </c>
      <c r="AD300" s="958"/>
      <c r="AE300" s="959"/>
      <c r="AF300" s="958"/>
      <c r="AG300" s="959"/>
      <c r="AH300" s="958"/>
      <c r="AI300" s="959"/>
      <c r="AK300" s="10"/>
      <c r="AL300" s="10"/>
      <c r="AM300" s="10"/>
      <c r="AN300" s="975">
        <f>IF($K300=TRUE,H300,0)</f>
        <v>21</v>
      </c>
      <c r="AO300" s="975">
        <f>IF($R300=TRUE,H300,0)</f>
        <v>0</v>
      </c>
      <c r="AP300" s="975">
        <f>IF($U300=TRUE,H300,0)</f>
        <v>0</v>
      </c>
      <c r="AQ300" s="1806">
        <f>IF(I300=11,0,G300*I300)</f>
        <v>21</v>
      </c>
      <c r="AR300" s="1806">
        <f>IF(J300=11,0,G300*J300)</f>
        <v>30</v>
      </c>
      <c r="AS300" s="1806">
        <f>IF(P300=11,0,G300*P300)</f>
        <v>0</v>
      </c>
      <c r="AT300" s="1806">
        <f>IF(Q300=11,0,G300*Q300)</f>
        <v>0</v>
      </c>
      <c r="AU300" s="1806">
        <f>IF(S300=11,0,S300*G300)</f>
        <v>0</v>
      </c>
      <c r="AV300" s="1806">
        <f>IF(T300=11,0,T300*G300)</f>
        <v>0</v>
      </c>
      <c r="BD300" s="816"/>
      <c r="BE300" s="110"/>
      <c r="BF300" s="477"/>
      <c r="BG300" s="113"/>
      <c r="BH300" s="481"/>
      <c r="BI300" s="113"/>
      <c r="BJ300" s="482"/>
      <c r="BK300" s="478"/>
    </row>
    <row r="301" spans="2:63" ht="32" customHeight="1" x14ac:dyDescent="0.2">
      <c r="B301" s="1847"/>
      <c r="C301" s="414" t="s">
        <v>293</v>
      </c>
      <c r="D301" s="26"/>
      <c r="E301" s="101"/>
      <c r="F301" s="790"/>
      <c r="G301" s="789"/>
      <c r="H301" s="790">
        <f>F301*G301</f>
        <v>0</v>
      </c>
      <c r="I301" s="1647">
        <v>11</v>
      </c>
      <c r="J301" s="1648">
        <v>11</v>
      </c>
      <c r="K301" s="45" t="b">
        <f>IF(AND(F301&gt;=I301,F301&lt;=J301),TRUE,FALSE)</f>
        <v>0</v>
      </c>
      <c r="L301" s="45"/>
      <c r="M301" s="45"/>
      <c r="N301" s="45"/>
      <c r="O301" s="1623"/>
      <c r="P301" s="1647">
        <v>11</v>
      </c>
      <c r="Q301" s="1648">
        <v>11</v>
      </c>
      <c r="R301" s="1623" t="b">
        <f>IF(AND(F301&gt;=P301,F301&lt;=Q301),TRUE,FALSE)</f>
        <v>0</v>
      </c>
      <c r="S301" s="1647">
        <v>11</v>
      </c>
      <c r="T301" s="1648">
        <v>11</v>
      </c>
      <c r="U301" s="1623" t="b">
        <f>IF(AND(F301&gt;=S301,F301&lt;=T301),TRUE,FALSE)</f>
        <v>0</v>
      </c>
      <c r="V301" s="931"/>
      <c r="W301" s="1406" t="s">
        <v>943</v>
      </c>
      <c r="X301" s="1425">
        <v>11</v>
      </c>
      <c r="Y301" s="1426"/>
      <c r="Z301" s="1427">
        <v>11</v>
      </c>
      <c r="AA301" s="1426"/>
      <c r="AB301" s="1421">
        <v>11</v>
      </c>
      <c r="AD301" s="960"/>
      <c r="AE301" s="961"/>
      <c r="AF301" s="960"/>
      <c r="AG301" s="961"/>
      <c r="AH301" s="960"/>
      <c r="AI301" s="961"/>
      <c r="AK301" s="10"/>
      <c r="AL301" s="10"/>
      <c r="AM301" s="10"/>
      <c r="AN301" s="975">
        <f>IF($K301=TRUE,H301,0)</f>
        <v>0</v>
      </c>
      <c r="AO301" s="975">
        <f>IF($R301=TRUE,H301,0)</f>
        <v>0</v>
      </c>
      <c r="AP301" s="975">
        <f>IF($U301=TRUE,H301,0)</f>
        <v>0</v>
      </c>
      <c r="AQ301" s="1806">
        <f>IF(I301=11,0,G301*I301)</f>
        <v>0</v>
      </c>
      <c r="AR301" s="1806">
        <f>IF(J301=11,0,G301*J301)</f>
        <v>0</v>
      </c>
      <c r="AS301" s="1806">
        <f>IF(P301=11,0,G301*P301)</f>
        <v>0</v>
      </c>
      <c r="AT301" s="1806">
        <f>IF(Q301=11,0,G301*Q301)</f>
        <v>0</v>
      </c>
      <c r="AU301" s="1806">
        <f>IF(S301=11,0,S301*G301)</f>
        <v>0</v>
      </c>
      <c r="AV301" s="1806">
        <f>IF(T301=11,0,T301*G301)</f>
        <v>0</v>
      </c>
      <c r="BD301" s="816"/>
      <c r="BE301" s="110"/>
      <c r="BF301" s="477"/>
      <c r="BG301" s="113"/>
      <c r="BH301" s="481"/>
      <c r="BI301" s="113"/>
      <c r="BJ301" s="482"/>
      <c r="BK301" s="478"/>
    </row>
    <row r="302" spans="2:63" ht="32" customHeight="1" x14ac:dyDescent="0.2">
      <c r="B302" s="2032"/>
      <c r="C302" s="792" t="s">
        <v>745</v>
      </c>
      <c r="D302" s="793" t="str">
        <f>_xlfn.XLOOKUP(H302,H300:H301,D300:D301)</f>
        <v>À quelle fréquence l’autre parent communique-t-il ou elle avec votre enfant durant votre temps de garde ? (tél., textos, réseaux sociaux, etc.)</v>
      </c>
      <c r="E302" s="794" t="str">
        <f>_xlfn.XLOOKUP(H302,H300:H301,E300:E301)</f>
        <v>impose sa présence régulièrement durant votre temps de garde</v>
      </c>
      <c r="F302" s="795"/>
      <c r="G302" s="795"/>
      <c r="H302" s="795">
        <f>IF(AND(K300=TRUE,K301=FALSE),H300,IF(AND(K300=FALSE,K301=TRUE),H301,MAX(H300,H301)))</f>
        <v>21</v>
      </c>
      <c r="I302" s="1624"/>
      <c r="J302" s="796"/>
      <c r="K302" s="797" t="b">
        <f>IF(AND(K300=FALSE,K301=FALSE),FALSE,TRUE)</f>
        <v>1</v>
      </c>
      <c r="L302" s="45"/>
      <c r="M302" s="45"/>
      <c r="N302" s="45"/>
      <c r="O302" s="1623"/>
      <c r="P302" s="1624"/>
      <c r="Q302" s="796"/>
      <c r="R302" s="1637" t="b">
        <f>IF(AND(R300=FALSE,R301=FALSE),FALSE,TRUE)</f>
        <v>0</v>
      </c>
      <c r="S302" s="1624"/>
      <c r="T302" s="796"/>
      <c r="U302" s="1637" t="b">
        <f>IF(AND(U300=FALSE,U301=FALSE),FALSE,TRUE)</f>
        <v>0</v>
      </c>
      <c r="V302" s="931"/>
      <c r="W302" s="931" t="s">
        <v>943</v>
      </c>
      <c r="X302" s="1392"/>
      <c r="Y302" s="8"/>
      <c r="Z302" s="1397"/>
      <c r="AA302" s="8"/>
      <c r="AB302" s="1400"/>
      <c r="AD302" s="960"/>
      <c r="AE302" s="961"/>
      <c r="AF302" s="960"/>
      <c r="AG302" s="961"/>
      <c r="AH302" s="960"/>
      <c r="AI302" s="961"/>
      <c r="AK302" s="10"/>
      <c r="AL302" s="10"/>
      <c r="AM302" s="10"/>
      <c r="AN302" s="2100">
        <f>IF($K302=TRUE,MAX(AN300:AN301),0)</f>
        <v>21</v>
      </c>
      <c r="AO302" s="2100">
        <f>IF($R302=TRUE,MAX(AO300:AO301),0)</f>
        <v>0</v>
      </c>
      <c r="AP302" s="2100">
        <f>IF($U302=TRUE,MAX(AP300:AP301),0)</f>
        <v>0</v>
      </c>
      <c r="AQ302" s="2099">
        <f>MAX(AQ300:AQ301)</f>
        <v>21</v>
      </c>
      <c r="AR302" s="2099">
        <f t="shared" ref="AR302" si="279">MAX(AR300:AR301)</f>
        <v>30</v>
      </c>
      <c r="AS302" s="2099">
        <f t="shared" ref="AS302" si="280">MAX(AS300:AS301)</f>
        <v>0</v>
      </c>
      <c r="AT302" s="2099">
        <f t="shared" ref="AT302" si="281">MAX(AT300:AT301)</f>
        <v>0</v>
      </c>
      <c r="AU302" s="2099">
        <f t="shared" ref="AU302" si="282">MAX(AU300:AU301)</f>
        <v>0</v>
      </c>
      <c r="AV302" s="2099">
        <f t="shared" ref="AV302" si="283">MAX(AV300:AV301)</f>
        <v>0</v>
      </c>
      <c r="BD302" s="816"/>
      <c r="BE302" s="110"/>
      <c r="BF302" s="477"/>
      <c r="BG302" s="113"/>
      <c r="BH302" s="481"/>
      <c r="BI302" s="113"/>
      <c r="BJ302" s="482"/>
      <c r="BK302" s="478"/>
    </row>
    <row r="303" spans="2:63" ht="57" customHeight="1" x14ac:dyDescent="0.2">
      <c r="B303" s="1847" t="str">
        <f>'Action-Réaction finale'!M49</f>
        <v>E: Interférence temps et/ou communication</v>
      </c>
      <c r="C303" s="52" t="str">
        <f>'Action-Réaction finale'!K49</f>
        <v>NC12</v>
      </c>
      <c r="D303" s="26" t="str">
        <f>Test_Bible!B422</f>
        <v>À quelle fréquence le nouveau ou nouvelle conjoint·e communique-t-il ou elle avec votre enfant durant votre temps de garde ?</v>
      </c>
      <c r="E303" s="101" t="s">
        <v>791</v>
      </c>
      <c r="F303" s="790">
        <f>Test_Bible!P422</f>
        <v>0</v>
      </c>
      <c r="G303" s="789">
        <f>Test_Bible!D422</f>
        <v>3</v>
      </c>
      <c r="H303" s="790">
        <f>F303*G303</f>
        <v>0</v>
      </c>
      <c r="I303" s="1622">
        <v>4</v>
      </c>
      <c r="J303" s="1615">
        <v>10</v>
      </c>
      <c r="K303" s="45" t="b">
        <f>IF(AND(F303&gt;=I303,F303&lt;=J303),TRUE,FALSE)</f>
        <v>0</v>
      </c>
      <c r="L303" s="45"/>
      <c r="M303" s="45"/>
      <c r="N303" s="45"/>
      <c r="O303" s="1623"/>
      <c r="P303" s="1622">
        <v>7</v>
      </c>
      <c r="Q303" s="1615">
        <v>10</v>
      </c>
      <c r="R303" s="1623" t="b">
        <f>IF(AND(F303&gt;=P303,F303&lt;=Q303),TRUE,FALSE)</f>
        <v>0</v>
      </c>
      <c r="S303" s="1647">
        <v>11</v>
      </c>
      <c r="T303" s="1648">
        <v>11</v>
      </c>
      <c r="U303" s="1623" t="b">
        <f>IF(AND(F303&gt;=S303,F303&lt;=T303),TRUE,FALSE)</f>
        <v>0</v>
      </c>
      <c r="V303" s="931"/>
      <c r="W303" s="1403"/>
      <c r="X303" s="1404">
        <v>4</v>
      </c>
      <c r="Y303" s="1405"/>
      <c r="Z303" s="1408">
        <v>7</v>
      </c>
      <c r="AA303" s="1405"/>
      <c r="AB303" s="1416">
        <v>11</v>
      </c>
      <c r="AD303" s="960"/>
      <c r="AE303" s="961"/>
      <c r="AF303" s="960"/>
      <c r="AG303" s="961"/>
      <c r="AH303" s="960"/>
      <c r="AI303" s="961"/>
      <c r="AK303" s="10"/>
      <c r="AL303" s="10"/>
      <c r="AM303" s="10"/>
      <c r="AN303" s="975">
        <f>IF(K303=TRUE,H303,0)</f>
        <v>0</v>
      </c>
      <c r="AO303" s="975">
        <f>IF(R303=TRUE,H303,0)</f>
        <v>0</v>
      </c>
      <c r="AP303" s="975">
        <f>IF(U303=TRUE,H303,0)</f>
        <v>0</v>
      </c>
      <c r="AQ303" s="1806">
        <f>IF(I303=11,0,G303*I303)</f>
        <v>12</v>
      </c>
      <c r="AR303" s="1806">
        <f>IF(J303=11,0,G303*J303)</f>
        <v>30</v>
      </c>
      <c r="AS303" s="1806">
        <f>IF(P303=11,0,G303*P303)</f>
        <v>21</v>
      </c>
      <c r="AT303" s="1806">
        <f>IF(Q303=11,0,G303*Q303)</f>
        <v>30</v>
      </c>
      <c r="AU303" s="1806">
        <f>IF(S303=11,0,S303*G303)</f>
        <v>0</v>
      </c>
      <c r="AV303" s="1806">
        <f>IF(T303=11,0,T303*G303)</f>
        <v>0</v>
      </c>
      <c r="BD303" s="816"/>
      <c r="BE303" s="110"/>
      <c r="BF303" s="477"/>
      <c r="BG303" s="113"/>
      <c r="BH303" s="481"/>
      <c r="BI303" s="113"/>
      <c r="BJ303" s="482"/>
      <c r="BK303" s="478"/>
    </row>
    <row r="304" spans="2:63" ht="32" customHeight="1" x14ac:dyDescent="0.2">
      <c r="B304" s="2030"/>
      <c r="C304" s="52" t="s">
        <v>247</v>
      </c>
      <c r="D304" s="26"/>
      <c r="E304" s="62"/>
      <c r="F304" s="35"/>
      <c r="G304" s="35"/>
      <c r="H304" s="35">
        <f>F304*G304</f>
        <v>0</v>
      </c>
      <c r="I304" s="1647">
        <v>11</v>
      </c>
      <c r="J304" s="1648">
        <v>11</v>
      </c>
      <c r="K304" s="45" t="b">
        <f>IF(AND(F304&gt;=I304,F304&lt;=J304),TRUE,FALSE)</f>
        <v>0</v>
      </c>
      <c r="L304" s="45"/>
      <c r="M304" s="45"/>
      <c r="N304" s="45"/>
      <c r="O304" s="1623"/>
      <c r="P304" s="1647">
        <v>11</v>
      </c>
      <c r="Q304" s="1648">
        <v>11</v>
      </c>
      <c r="R304" s="1623" t="b">
        <f>IF(AND(F304&gt;=P304,F304&lt;=Q304),TRUE,FALSE)</f>
        <v>0</v>
      </c>
      <c r="S304" s="1647">
        <v>11</v>
      </c>
      <c r="T304" s="1648">
        <v>11</v>
      </c>
      <c r="U304" s="1623" t="b">
        <f>IF(AND(F304&gt;=S304,F304&lt;=T304),TRUE,FALSE)</f>
        <v>0</v>
      </c>
      <c r="V304" s="931"/>
      <c r="W304" s="1406" t="s">
        <v>943</v>
      </c>
      <c r="X304" s="1425">
        <v>11</v>
      </c>
      <c r="Y304" s="1426"/>
      <c r="Z304" s="1427">
        <v>11</v>
      </c>
      <c r="AA304" s="1426"/>
      <c r="AB304" s="1421">
        <v>11</v>
      </c>
      <c r="AD304" s="960"/>
      <c r="AE304" s="961"/>
      <c r="AF304" s="960"/>
      <c r="AG304" s="961"/>
      <c r="AH304" s="960"/>
      <c r="AI304" s="961"/>
      <c r="AK304" s="10"/>
      <c r="AL304" s="10"/>
      <c r="AM304" s="10"/>
      <c r="AN304" s="975">
        <f>IF(K304=TRUE,H304,0)</f>
        <v>0</v>
      </c>
      <c r="AO304" s="975">
        <f>IF(R304=TRUE,H304,0)</f>
        <v>0</v>
      </c>
      <c r="AP304" s="975">
        <f>IF(U304=TRUE,H304,0)</f>
        <v>0</v>
      </c>
      <c r="AQ304" s="1806">
        <f>IF(I304=11,0,G304*I304)</f>
        <v>0</v>
      </c>
      <c r="AR304" s="1806">
        <f>IF(J304=11,0,G304*J304)</f>
        <v>0</v>
      </c>
      <c r="AS304" s="1806">
        <f>IF(P304=11,0,G304*P304)</f>
        <v>0</v>
      </c>
      <c r="AT304" s="1806">
        <f>IF(Q304=11,0,G304*Q304)</f>
        <v>0</v>
      </c>
      <c r="AU304" s="1806">
        <f>IF(S304=11,0,S304*G304)</f>
        <v>0</v>
      </c>
      <c r="AV304" s="1806">
        <f>IF(T304=11,0,T304*G304)</f>
        <v>0</v>
      </c>
      <c r="BC304" s="7"/>
      <c r="BD304" s="816"/>
      <c r="BE304" s="110"/>
      <c r="BF304" s="477"/>
      <c r="BG304" s="113"/>
      <c r="BH304" s="481"/>
      <c r="BI304" s="113"/>
      <c r="BJ304" s="482"/>
      <c r="BK304" s="478"/>
    </row>
    <row r="305" spans="2:63" ht="32" customHeight="1" thickBot="1" x14ac:dyDescent="0.25">
      <c r="B305" s="2030"/>
      <c r="C305" s="798" t="s">
        <v>746</v>
      </c>
      <c r="D305" s="799" t="str">
        <f>_xlfn.XLOOKUP(H305,H303:H304,D303:D304)</f>
        <v>À quelle fréquence le nouveau ou nouvelle conjoint·e communique-t-il ou elle avec votre enfant durant votre temps de garde ?</v>
      </c>
      <c r="E305" s="800" t="str">
        <f>_xlfn.XLOOKUP(H305,H303:H304,E303:E304)</f>
        <v>Le nouveau conjoint.e impose sa présence régulièrement durant votre temps de garde</v>
      </c>
      <c r="F305" s="801"/>
      <c r="G305" s="801"/>
      <c r="H305" s="795">
        <f>IF(AND(K303=TRUE,K304=FALSE),H303,IF(AND(K303=FALSE,K304=TRUE),H304,MAX(H303,H304)))</f>
        <v>0</v>
      </c>
      <c r="I305" s="1625"/>
      <c r="J305" s="802"/>
      <c r="K305" s="803" t="b">
        <f>IF(AND(K303=FALSE,K304=FALSE),FALSE,TRUE)</f>
        <v>0</v>
      </c>
      <c r="L305" s="45"/>
      <c r="M305" s="45"/>
      <c r="N305" s="45"/>
      <c r="O305" s="1623"/>
      <c r="P305" s="1625"/>
      <c r="Q305" s="802"/>
      <c r="R305" s="1638" t="b">
        <f>IF(AND(R303=FALSE,R304=FALSE),FALSE,TRUE)</f>
        <v>0</v>
      </c>
      <c r="S305" s="1625"/>
      <c r="T305" s="802"/>
      <c r="U305" s="1638" t="b">
        <f>IF(AND(U303=FALSE,U304=FALSE),FALSE,TRUE)</f>
        <v>0</v>
      </c>
      <c r="V305" s="931"/>
      <c r="W305" s="931"/>
      <c r="X305" s="1392"/>
      <c r="Y305" s="8"/>
      <c r="Z305" s="1397"/>
      <c r="AA305" s="8"/>
      <c r="AB305" s="1400"/>
      <c r="AD305" s="960"/>
      <c r="AE305" s="961"/>
      <c r="AF305" s="960"/>
      <c r="AG305" s="961"/>
      <c r="AH305" s="960"/>
      <c r="AI305" s="961"/>
      <c r="AK305" s="10"/>
      <c r="AL305" s="10"/>
      <c r="AM305" s="10"/>
      <c r="AN305" s="2100">
        <f>IF($K305=TRUE,MAX(AN303:AN304),0)</f>
        <v>0</v>
      </c>
      <c r="AO305" s="2100">
        <f>IF($R305=TRUE,MAX(AO303:AO304),0)</f>
        <v>0</v>
      </c>
      <c r="AP305" s="2100">
        <f>IF($U305=TRUE,MAX(AP303:AP304),0)</f>
        <v>0</v>
      </c>
      <c r="AQ305" s="2099">
        <f>MAX(AQ303:AQ304)</f>
        <v>12</v>
      </c>
      <c r="AR305" s="2099">
        <f t="shared" ref="AR305" si="284">MAX(AR303:AR304)</f>
        <v>30</v>
      </c>
      <c r="AS305" s="2099">
        <f t="shared" ref="AS305" si="285">MAX(AS303:AS304)</f>
        <v>21</v>
      </c>
      <c r="AT305" s="2099">
        <f t="shared" ref="AT305" si="286">MAX(AT303:AT304)</f>
        <v>30</v>
      </c>
      <c r="AU305" s="2099">
        <f t="shared" ref="AU305" si="287">MAX(AU303:AU304)</f>
        <v>0</v>
      </c>
      <c r="AV305" s="2099">
        <f t="shared" ref="AV305" si="288">MAX(AV303:AV304)</f>
        <v>0</v>
      </c>
      <c r="BC305" s="7"/>
      <c r="BD305" s="816"/>
      <c r="BE305" s="110"/>
      <c r="BF305" s="477"/>
      <c r="BG305" s="113"/>
      <c r="BH305" s="481"/>
      <c r="BI305" s="113"/>
      <c r="BJ305" s="482"/>
      <c r="BK305" s="478"/>
    </row>
    <row r="306" spans="2:63" ht="32" customHeight="1" thickBot="1" x14ac:dyDescent="0.25">
      <c r="B306" s="2030"/>
      <c r="C306" s="804" t="s">
        <v>754</v>
      </c>
      <c r="D306" s="805"/>
      <c r="E306" s="805" t="str">
        <f>IF(H306=H302,E302,E305)</f>
        <v>impose sa présence régulièrement durant votre temps de garde</v>
      </c>
      <c r="F306" s="806"/>
      <c r="G306" s="806"/>
      <c r="H306" s="806">
        <f>IF(AND(K302=TRUE,K305=FALSE),H302,IF(AND(K302=FALSE,K305=TRUE),H305,IF(AND(K302=TRUE,K305=TRUE),H302+H305,MAX(H302,H305))))</f>
        <v>21</v>
      </c>
      <c r="I306" s="1626"/>
      <c r="J306" s="807"/>
      <c r="K306" s="808" t="b">
        <f>IF(AND(K302=FALSE,K305=FALSE),FALSE,TRUE)</f>
        <v>1</v>
      </c>
      <c r="L306" s="1610"/>
      <c r="M306" s="1610"/>
      <c r="N306" s="1610"/>
      <c r="O306" s="1627"/>
      <c r="P306" s="1626"/>
      <c r="Q306" s="807"/>
      <c r="R306" s="808" t="b">
        <f>IF(AND(R302=FALSE,R305=FALSE),FALSE,TRUE)</f>
        <v>0</v>
      </c>
      <c r="S306" s="1626"/>
      <c r="T306" s="807"/>
      <c r="U306" s="808" t="b">
        <f>IF(AND(U302=FALSE,U305=FALSE),FALSE,TRUE)</f>
        <v>0</v>
      </c>
      <c r="V306" s="931"/>
      <c r="W306" s="931" t="s">
        <v>942</v>
      </c>
      <c r="X306" s="1392"/>
      <c r="Y306" s="8"/>
      <c r="Z306" s="1397"/>
      <c r="AA306" s="8"/>
      <c r="AB306" s="1400"/>
      <c r="AD306" s="960" t="str">
        <f>IF(K306=TRUE,"V","F")</f>
        <v>V</v>
      </c>
      <c r="AE306" s="961"/>
      <c r="AF306" s="960" t="str">
        <f>IF(R306=TRUE,"V","F")</f>
        <v>F</v>
      </c>
      <c r="AG306" s="961"/>
      <c r="AH306" s="960" t="str">
        <f>IF(U306=TRUE,"V","F")</f>
        <v>F</v>
      </c>
      <c r="AI306" s="961"/>
      <c r="AJ306" t="str">
        <f>IF(OR(AD306="V",AF306="V"),IF(H305&gt;H302,"Le NC contribue plus que le coparent","Le coparent joue un plus grand rôle que le NC"),"pas de contexte significatif de la part du coparent et NC")</f>
        <v>Le coparent joue un plus grand rôle que le NC</v>
      </c>
      <c r="AK306" s="10"/>
      <c r="AL306" s="10"/>
      <c r="AM306" s="10"/>
      <c r="AN306" s="631">
        <f>IF(AND($K302=TRUE,$K305=FALSE),AN302,IF(AND($K302=FALSE,$K305=TRUE),AN305,IF(AND($K302=TRUE,$K305=TRUE),AN302+AN305,0)))</f>
        <v>21</v>
      </c>
      <c r="AO306" s="631">
        <f>IF(AND($R302=TRUE,$R305=FALSE),AO302,IF(AND($R302=FALSE,$R305=TRUE),AO305,IF(AND($R302=TRUE,$R305=TRUE),AO302+AO305,0)))</f>
        <v>0</v>
      </c>
      <c r="AP306" s="631">
        <f>IF(AND($U302=TRUE,$U305=FALSE),AP302,IF(AND($U302=FALSE,$U305=TRUE),AP305,IF(AND($U302=TRUE,$U305=TRUE),AP302+AP305,0)))</f>
        <v>0</v>
      </c>
      <c r="AQ306" s="631">
        <f>IF(AND($K302=TRUE,$K305=FALSE),AQ302,IF(AND($K302=FALSE,$K305=TRUE),AQ305,IF(AND($K302=TRUE,$K305=TRUE),AQ302+AQ305,MAX(AQ302,AQ305))))</f>
        <v>21</v>
      </c>
      <c r="AR306" s="631">
        <f>IF(AND($K302=TRUE,$K305=FALSE),AR302,IF(AND($K302=FALSE,$K305=TRUE),AR305,IF(AND($K302=TRUE,$K305=TRUE),AR302+AR305,MAX(AR302,AR305))))</f>
        <v>30</v>
      </c>
      <c r="AS306" s="631">
        <f t="shared" ref="AS306" si="289">IF(AND($R302=TRUE,$R305=FALSE),AS302,IF(AND($R302=FALSE,$R305=TRUE),AS305,IF(AND($R302=TRUE,$R305=TRUE),AS302+AS305,MAX(AS302,AS305))))</f>
        <v>21</v>
      </c>
      <c r="AT306" s="631">
        <f t="shared" ref="AT306" si="290">IF(AND($R302=TRUE,$R305=FALSE),AT302,IF(AND($R302=FALSE,$R305=TRUE),AT305,IF(AND($R302=TRUE,$R305=TRUE),AT302+AT305,MAX(AT302,AT305))))</f>
        <v>30</v>
      </c>
      <c r="AU306" s="631">
        <f t="shared" ref="AU306" si="291">IF(AND($U302=TRUE,$U305=FALSE),AU302,IF(AND($U302=FALSE,$U305=TRUE),AU305,IF(AND($U302=TRUE,$U305=TRUE),AU302+AU305,MAX(AU302,AU305))))</f>
        <v>0</v>
      </c>
      <c r="AV306" s="631">
        <f t="shared" ref="AV306" si="292">IF(AND($U302=TRUE,$U305=FALSE),AV302,IF(AND($U302=FALSE,$U305=TRUE),AV305,IF(AND($U302=TRUE,$U305=TRUE),AV302+AV305,MAX(AV302,AV305))))</f>
        <v>0</v>
      </c>
      <c r="BC306" s="7"/>
      <c r="BD306" s="816"/>
      <c r="BE306" s="110"/>
      <c r="BF306" s="477"/>
      <c r="BG306" s="113"/>
      <c r="BH306" s="481"/>
      <c r="BI306" s="113"/>
      <c r="BJ306" s="482"/>
      <c r="BK306" s="478"/>
    </row>
    <row r="307" spans="2:63" ht="60" customHeight="1" x14ac:dyDescent="0.2">
      <c r="B307" s="2030" t="str">
        <f>'Action-Réaction finale'!Q49</f>
        <v>H: Rôle actif, Réponse au CC, r</v>
      </c>
      <c r="C307" s="313" t="str">
        <f>'Action-Réaction finale'!O49</f>
        <v>E28</v>
      </c>
      <c r="D307" s="26" t="str">
        <f>Test_Bible!B321</f>
        <v>Votre enfant s'isole ou se cache (ex.: chambre ou toilettes) pour appeler l'autre parent afin qu'on n'entende pas ses conversations.</v>
      </c>
      <c r="E307" s="101" t="s">
        <v>780</v>
      </c>
      <c r="F307" s="790">
        <f>Test_Bible!P321</f>
        <v>4</v>
      </c>
      <c r="G307" s="789">
        <f>Test_Bible!D321</f>
        <v>2</v>
      </c>
      <c r="H307" s="790">
        <f>F307*G307</f>
        <v>8</v>
      </c>
      <c r="I307" s="1622">
        <v>7</v>
      </c>
      <c r="J307" s="1615">
        <f>$J$18</f>
        <v>10</v>
      </c>
      <c r="K307" s="45" t="b">
        <f>IF(AND(F307&gt;=I307,F307&lt;=J307),TRUE,FALSE)</f>
        <v>0</v>
      </c>
      <c r="L307" s="45"/>
      <c r="M307" s="45"/>
      <c r="N307" s="45"/>
      <c r="O307" s="1623"/>
      <c r="P307" s="1622">
        <v>2</v>
      </c>
      <c r="Q307" s="1615">
        <v>7</v>
      </c>
      <c r="R307" s="1623" t="b">
        <f>IF(AND(F307&gt;=P307,F307&lt;=Q307),TRUE,FALSE)</f>
        <v>1</v>
      </c>
      <c r="S307" s="1622"/>
      <c r="T307" s="1615"/>
      <c r="U307" s="1623"/>
      <c r="V307" s="931"/>
      <c r="W307" s="1403"/>
      <c r="X307" s="1404">
        <v>4</v>
      </c>
      <c r="Y307" s="1405"/>
      <c r="Z307" s="1408">
        <v>2</v>
      </c>
      <c r="AA307" s="1405"/>
      <c r="AB307" s="1416">
        <v>11</v>
      </c>
      <c r="AD307" s="960" t="s">
        <v>945</v>
      </c>
      <c r="AE307" s="961"/>
      <c r="AF307" s="960"/>
      <c r="AG307" s="961"/>
      <c r="AH307" s="960"/>
      <c r="AI307" s="961"/>
      <c r="AK307" s="10"/>
      <c r="AL307" s="10"/>
      <c r="AM307" s="10"/>
      <c r="AN307" s="975">
        <f>IF($K307=TRUE,H307,0)</f>
        <v>0</v>
      </c>
      <c r="AO307" s="975">
        <f>IF($R307=TRUE,H307,0)</f>
        <v>8</v>
      </c>
      <c r="AP307" s="975"/>
      <c r="AQ307" s="1806">
        <f>IF(I307=11,0,G307*I307)</f>
        <v>14</v>
      </c>
      <c r="AR307" s="1806">
        <f>IF(J307=11,0,G307*J307)</f>
        <v>20</v>
      </c>
      <c r="AS307" s="1806">
        <f>IF(P307=11,0,G307*P307)</f>
        <v>4</v>
      </c>
      <c r="AT307" s="1806">
        <f>IF(Q307=11,0,G307*Q307)</f>
        <v>14</v>
      </c>
      <c r="AU307" s="1806"/>
      <c r="AV307" s="1806"/>
      <c r="BC307" s="7"/>
      <c r="BD307" s="816"/>
      <c r="BE307" s="110"/>
      <c r="BF307" s="477"/>
      <c r="BG307" s="113"/>
      <c r="BH307" s="481"/>
      <c r="BI307" s="113"/>
      <c r="BJ307" s="482"/>
      <c r="BK307" s="478"/>
    </row>
    <row r="308" spans="2:63" ht="32" customHeight="1" thickBot="1" x14ac:dyDescent="0.25">
      <c r="B308" s="2030"/>
      <c r="C308" s="313" t="s">
        <v>309</v>
      </c>
      <c r="D308" s="26"/>
      <c r="E308" s="101"/>
      <c r="F308" s="790"/>
      <c r="G308" s="789"/>
      <c r="H308" s="790">
        <f>F308*G308</f>
        <v>0</v>
      </c>
      <c r="I308" s="1647">
        <v>11</v>
      </c>
      <c r="J308" s="1648">
        <v>11</v>
      </c>
      <c r="K308" s="45" t="b">
        <f>IF(AND(F308&gt;=I308,F308&lt;=J308),TRUE,FALSE)</f>
        <v>0</v>
      </c>
      <c r="L308" s="45"/>
      <c r="M308" s="45"/>
      <c r="N308" s="45"/>
      <c r="O308" s="1623"/>
      <c r="P308" s="1647">
        <v>11</v>
      </c>
      <c r="Q308" s="1648">
        <v>11</v>
      </c>
      <c r="R308" s="1623" t="b">
        <f>IF(AND(F308&gt;=P308,F308&lt;=Q308),TRUE,FALSE)</f>
        <v>0</v>
      </c>
      <c r="S308" s="1647"/>
      <c r="T308" s="1648"/>
      <c r="U308" s="1623"/>
      <c r="V308" s="931"/>
      <c r="W308" s="1406" t="s">
        <v>943</v>
      </c>
      <c r="X308" s="1425">
        <v>11</v>
      </c>
      <c r="Y308" s="1426"/>
      <c r="Z308" s="1427">
        <v>11</v>
      </c>
      <c r="AA308" s="1426"/>
      <c r="AB308" s="1421">
        <v>11</v>
      </c>
      <c r="AD308" s="960"/>
      <c r="AE308" s="961"/>
      <c r="AF308" s="960"/>
      <c r="AG308" s="961"/>
      <c r="AH308" s="960"/>
      <c r="AI308" s="961"/>
      <c r="AK308" s="10"/>
      <c r="AL308" s="10"/>
      <c r="AM308" s="10"/>
      <c r="AN308" s="975">
        <f>IF($K308=TRUE,H308,0)</f>
        <v>0</v>
      </c>
      <c r="AO308" s="975">
        <f>IF($R308=TRUE,H308,0)</f>
        <v>0</v>
      </c>
      <c r="AP308" s="975"/>
      <c r="AQ308" s="1806">
        <f>IF(I308=11,0,G308*I308)</f>
        <v>0</v>
      </c>
      <c r="AR308" s="1806">
        <f>IF(J308=11,0,G308*J308)</f>
        <v>0</v>
      </c>
      <c r="AS308" s="1806">
        <f>IF(P308=11,0,G308*P308)</f>
        <v>0</v>
      </c>
      <c r="AT308" s="1806">
        <f>IF(Q308=11,0,G308*Q308)</f>
        <v>0</v>
      </c>
      <c r="AU308" s="1806"/>
      <c r="AV308" s="1806"/>
      <c r="BC308" s="7"/>
      <c r="BD308" s="816"/>
      <c r="BE308" s="110"/>
      <c r="BF308" s="477"/>
      <c r="BG308" s="113"/>
      <c r="BH308" s="481"/>
      <c r="BI308" s="113"/>
      <c r="BJ308" s="482"/>
      <c r="BK308" s="478"/>
    </row>
    <row r="309" spans="2:63" ht="32" customHeight="1" thickBot="1" x14ac:dyDescent="0.25">
      <c r="B309" s="2030"/>
      <c r="C309" s="809" t="s">
        <v>747</v>
      </c>
      <c r="D309" s="810" t="str">
        <f>_xlfn.XLOOKUP(H309,H307:H308,D307:D308)</f>
        <v>Votre enfant s'isole ou se cache (ex.: chambre ou toilettes) pour appeler l'autre parent afin qu'on n'entende pas ses conversations.</v>
      </c>
      <c r="E309" s="810" t="str">
        <f>_xlfn.XLOOKUP(H309,H307:H308,E307:E308)</f>
        <v>s'isole ou se cache pour appeler l'autre parent</v>
      </c>
      <c r="F309" s="811"/>
      <c r="G309" s="811"/>
      <c r="H309" s="811">
        <f>IF(AND(K307=TRUE,K308=FALSE),H307,IF(AND(K307=FALSE,K308=TRUE),H308,MAX(H307,H308)))</f>
        <v>8</v>
      </c>
      <c r="I309" s="1628"/>
      <c r="J309" s="812"/>
      <c r="K309" s="813" t="b">
        <f>IF(AND(K307=FALSE,K308=FALSE),FALSE,TRUE)</f>
        <v>0</v>
      </c>
      <c r="L309" s="1611"/>
      <c r="M309" s="1611"/>
      <c r="N309" s="1611"/>
      <c r="O309" s="1629"/>
      <c r="P309" s="1628"/>
      <c r="Q309" s="812"/>
      <c r="R309" s="813" t="b">
        <f>IF(AND(R307=FALSE,R308=FALSE),FALSE,TRUE)</f>
        <v>1</v>
      </c>
      <c r="S309" s="1628"/>
      <c r="T309" s="812"/>
      <c r="U309" s="813"/>
      <c r="V309" s="931"/>
      <c r="W309" s="931"/>
      <c r="X309" s="1394"/>
      <c r="Z309" s="1398"/>
      <c r="AB309" s="1402"/>
      <c r="AD309" s="960" t="str">
        <f>IF(K309=TRUE,"V","F")</f>
        <v>F</v>
      </c>
      <c r="AE309" s="961"/>
      <c r="AF309" s="960" t="str">
        <f>IF(R309=TRUE,"V","F")</f>
        <v>V</v>
      </c>
      <c r="AG309" s="961"/>
      <c r="AH309" s="960"/>
      <c r="AI309" s="961"/>
      <c r="AK309" s="10"/>
      <c r="AL309" s="10"/>
      <c r="AM309" s="10"/>
      <c r="AN309" s="2102">
        <f>IF(AND($K307=TRUE,$K308=FALSE),AN307,IF(AND($K307=FALSE,$K308=TRUE),AN308,IF(AND($K307=TRUE,$K308=TRUE),MAX(AN307,AN308),0)))</f>
        <v>0</v>
      </c>
      <c r="AO309" s="2102">
        <f>IF(AND($R307=TRUE,$R308=FALSE),AO307,IF(AND($R307=FALSE,$R308=TRUE),AO308,IF(AND($R307=TRUE,$R308=TRUE),MAX(AO307,AO308),0)))</f>
        <v>8</v>
      </c>
      <c r="AP309" s="2102"/>
      <c r="AQ309" s="2102">
        <f>IF(AND($K307=TRUE,$K308=FALSE),AQ307,IF(AND($K307=FALSE,$K308=TRUE),AQ308,IF(AND($K307=TRUE,$K308=TRUE),MAX(AQ307,AQ308),0)))</f>
        <v>0</v>
      </c>
      <c r="AR309" s="2102">
        <f>IF(AND($K307=TRUE,$K308=FALSE),AR307,IF(AND($K307=FALSE,$K308=TRUE),AR308,IF(AND($K307=TRUE,$K308=TRUE),MAX(AR307,AR308),0)))</f>
        <v>0</v>
      </c>
      <c r="AS309" s="2102">
        <f t="shared" ref="AS309" si="293">IF(AND($R307=TRUE,$R308=FALSE),AS307,IF(AND($R307=FALSE,$R308=TRUE),AS308,IF(AND($R307=TRUE,$R308=TRUE),MAX(AS307,AS308),0)))</f>
        <v>4</v>
      </c>
      <c r="AT309" s="2102">
        <f t="shared" ref="AT309" si="294">IF(AND($R307=TRUE,$R308=FALSE),AT307,IF(AND($R307=FALSE,$R308=TRUE),AT308,IF(AND($R307=TRUE,$R308=TRUE),MAX(AT307,AT308),0)))</f>
        <v>14</v>
      </c>
      <c r="AU309" s="2102"/>
      <c r="AV309" s="2102"/>
      <c r="BD309" s="816"/>
      <c r="BE309" s="110"/>
      <c r="BF309" s="477"/>
      <c r="BG309" s="113"/>
      <c r="BH309" s="481"/>
      <c r="BI309" s="113"/>
      <c r="BJ309" s="482"/>
      <c r="BK309" s="478"/>
    </row>
    <row r="310" spans="2:63" ht="32" customHeight="1" x14ac:dyDescent="0.2">
      <c r="B310" s="2030"/>
      <c r="D310" s="421" t="s">
        <v>310</v>
      </c>
      <c r="E310" s="785"/>
      <c r="F310" s="474" t="s">
        <v>398</v>
      </c>
      <c r="G310" s="47"/>
      <c r="H310" s="47">
        <f>IF(AND(K306=TRUE,K309=FALSE),H306,IF(AND(K306=FALSE,K309=TRUE),H309,IF(AND(K306=TRUE,K309=TRUE),H306+H309,MAX(H306,H309))))</f>
        <v>21</v>
      </c>
      <c r="I310" s="1630"/>
      <c r="J310" s="475"/>
      <c r="K310" s="1613"/>
      <c r="L310" s="1614" t="str">
        <f>IF(AND(K309=TRUE,K306=TRUE),E309,"")</f>
        <v/>
      </c>
      <c r="M310" s="1614" t="str">
        <f>IF(AND(K306=TRUE,K309=FALSE),"Bien que le parent "&amp;E306&amp;" l'enfant ne semble pas s'ingérer","")</f>
        <v>Bien que le parent impose sa présence régulièrement durant votre temps de garde l'enfant ne semble pas s'ingérer</v>
      </c>
      <c r="N310" s="1614" t="str">
        <f>IF(AND(K306=FALSE,K309=TRUE),E309&amp;" sans signe de la participation du parent favorisé et|ou nouveau conjoint.e","")</f>
        <v/>
      </c>
      <c r="O310" s="1631" t="str">
        <f>IF(AND(K306=FALSE,K309=FALSE),"aucun comportement significatif de cette nature","")</f>
        <v/>
      </c>
      <c r="P310" s="1630"/>
      <c r="Q310" s="475"/>
      <c r="R310" s="1639"/>
      <c r="S310" s="1630"/>
      <c r="T310" s="475"/>
      <c r="U310" s="1639"/>
      <c r="V310" s="170"/>
      <c r="W310" s="170"/>
      <c r="X310" s="1394"/>
      <c r="Z310" s="1398"/>
      <c r="AB310" s="1402"/>
      <c r="AD310" s="962"/>
      <c r="AE310" s="963">
        <f>IF(AND(AD306="V",AD309="V"),2,IF(OR(AD306="V",AD309="V"),1,0))</f>
        <v>1</v>
      </c>
      <c r="AF310" s="962"/>
      <c r="AG310" s="963">
        <f>IF(OR(AF306="V",AF309="V"),1,0)</f>
        <v>1</v>
      </c>
      <c r="AH310" s="962"/>
      <c r="AI310" s="963"/>
      <c r="AK310" s="10"/>
      <c r="AL310" s="10"/>
      <c r="AM310" s="10"/>
      <c r="AN310" s="2097">
        <f>IF(AND($AD306="V",$AD309="F"),AN306,IF(AND($AD306="F",$AD309="V"),AN309,IF(AND($AD306="V",$AD309="V"),AN306+AN309,0)))</f>
        <v>21</v>
      </c>
      <c r="AO310" s="2097">
        <f>IF(AND($AF306="V",$AF309="F"),AO306,IF(AND($AF306="F",$AF309="V"),AO309,IF(AND($AF306="V",$AF309="V"),AO306+AO309,0)))</f>
        <v>8</v>
      </c>
      <c r="AP310" s="2097"/>
      <c r="AQ310" s="2097">
        <f>IF(AND($AD306="V",$AD309="F"),AQ306,IF(AND($AD306="F",$AD309="V"),AQ309,IF(AND($AD306="V",$AD309="V"),AQ306+AQ309,0)))</f>
        <v>21</v>
      </c>
      <c r="AR310" s="2097">
        <f>IF(AND($AD306="V",$AD309="F"),AR306,IF(AND($AD306="F",$AD309="V"),AR309,IF(AND($AD306="V",$AD309="V"),AR306+AR309,0)))</f>
        <v>30</v>
      </c>
      <c r="AS310" s="2097">
        <f>IF(AND($AF306="V",$AF309="F"),AS306,IF(AND($AF306="F",$AF309="V"),AS309,IF(AND($AF306="V",$AF309="V"),AS306+AS309,0)))</f>
        <v>4</v>
      </c>
      <c r="AT310" s="2097">
        <f>IF(AND($AF306="V",$AF309="F"),AT306,IF(AND($AF306="F",$AF309="V"),AT309,IF(AND($AF306="V",$AF309="V"),AT306+AT309,0)))</f>
        <v>14</v>
      </c>
      <c r="AU310" s="2097"/>
      <c r="AV310" s="2097"/>
      <c r="BD310" s="816"/>
      <c r="BE310" s="110"/>
      <c r="BF310" s="477"/>
      <c r="BG310" s="113"/>
      <c r="BH310" s="481"/>
      <c r="BI310" s="113"/>
      <c r="BJ310" s="482"/>
      <c r="BK310" s="478"/>
    </row>
    <row r="311" spans="2:63" ht="32" customHeight="1" x14ac:dyDescent="0.2">
      <c r="B311" s="2030"/>
      <c r="C311" t="s">
        <v>243</v>
      </c>
      <c r="I311" s="146"/>
      <c r="L311" s="46"/>
      <c r="M311" s="46"/>
      <c r="N311" s="46"/>
      <c r="O311" s="1652"/>
      <c r="P311" s="146"/>
      <c r="R311" s="326"/>
      <c r="S311" s="146"/>
      <c r="U311" s="326"/>
      <c r="V311" s="46"/>
      <c r="X311" s="1394"/>
      <c r="Z311" s="1398"/>
      <c r="AB311" s="1402"/>
      <c r="AD311" s="960"/>
      <c r="AE311" s="961"/>
      <c r="AF311" s="960"/>
      <c r="AG311" s="961"/>
      <c r="AH311" s="960"/>
      <c r="AI311" s="961"/>
      <c r="AK311" s="10"/>
      <c r="AL311" s="10"/>
      <c r="AM311" s="10"/>
      <c r="AN311" s="975"/>
      <c r="AO311" s="975"/>
      <c r="AP311" s="975"/>
      <c r="AQ311" s="1806"/>
      <c r="AR311" s="1806"/>
      <c r="AS311" s="1806"/>
      <c r="AT311" s="1806"/>
      <c r="AU311" s="1806"/>
      <c r="AV311" s="1806"/>
      <c r="BD311" s="816"/>
      <c r="BE311" s="110"/>
      <c r="BF311" s="477"/>
      <c r="BG311" s="113"/>
      <c r="BH311" s="481"/>
      <c r="BI311" s="113"/>
      <c r="BJ311" s="482"/>
      <c r="BK311" s="478"/>
    </row>
    <row r="312" spans="2:63" ht="46" customHeight="1" x14ac:dyDescent="0.2">
      <c r="B312" s="2030" t="str">
        <f>'Action-Réaction finale'!U49</f>
        <v>E: Interférence temps et/ou communication</v>
      </c>
      <c r="C312" s="964" t="str">
        <f>'Action-Réaction finale'!S49</f>
        <v>PCR08</v>
      </c>
      <c r="D312" s="965" t="str">
        <f>Test_Bible!B135</f>
        <v>À quelle fréquence communiquez-vous avec votre enfant lorsqu’il ou elle est chez l‘autre parent ?</v>
      </c>
      <c r="E312" s="965"/>
      <c r="F312" s="973">
        <f>Test_Bible!P135</f>
        <v>1</v>
      </c>
      <c r="G312" s="973">
        <f>Test_Bible!D135</f>
        <v>1</v>
      </c>
      <c r="H312" s="973">
        <f>F312*G312</f>
        <v>1</v>
      </c>
      <c r="I312" s="1622">
        <v>7</v>
      </c>
      <c r="J312" s="1615">
        <v>10</v>
      </c>
      <c r="K312" s="45" t="b">
        <f>IF(AND(F312&gt;=I312,F312&lt;=J312),TRUE,FALSE)</f>
        <v>0</v>
      </c>
      <c r="L312" s="32"/>
      <c r="M312" s="32"/>
      <c r="N312" s="32"/>
      <c r="O312" s="1632"/>
      <c r="P312" s="1647">
        <v>11</v>
      </c>
      <c r="Q312" s="1648">
        <v>11</v>
      </c>
      <c r="R312" s="1623" t="b">
        <f>IF(AND(F312&gt;=P312,F312&lt;=Q312),TRUE,FALSE)</f>
        <v>0</v>
      </c>
      <c r="S312" s="1647">
        <v>11</v>
      </c>
      <c r="T312" s="1648">
        <v>11</v>
      </c>
      <c r="U312" s="1623" t="b">
        <f>IF(AND(F312&gt;=S312,F312&lt;=T312),TRUE,FALSE)</f>
        <v>0</v>
      </c>
      <c r="V312" s="46"/>
      <c r="W312" s="1428"/>
      <c r="X312" s="1404">
        <v>4</v>
      </c>
      <c r="Y312" s="1405"/>
      <c r="Z312" s="1408"/>
      <c r="AA312" s="1405"/>
      <c r="AB312" s="1415">
        <v>4</v>
      </c>
      <c r="AD312" s="960"/>
      <c r="AE312" s="961"/>
      <c r="AF312" s="960"/>
      <c r="AG312" s="961"/>
      <c r="AH312" s="960"/>
      <c r="AI312" s="961"/>
      <c r="AK312" s="10"/>
      <c r="AL312" s="10"/>
      <c r="AM312" s="10"/>
      <c r="AN312" s="975">
        <f>IF($K312=TRUE,H312,0)</f>
        <v>0</v>
      </c>
      <c r="AO312" s="975">
        <f>IF($R312=TRUE,H312,0)</f>
        <v>0</v>
      </c>
      <c r="AP312" s="975">
        <f>IF($U312=TRUE,H312,0)</f>
        <v>0</v>
      </c>
      <c r="AQ312" s="1806">
        <f>IF(I312=11,0,G312*I312)</f>
        <v>7</v>
      </c>
      <c r="AR312" s="1806">
        <f>IF(J312=11,0,G312*J312)</f>
        <v>10</v>
      </c>
      <c r="AS312" s="1806">
        <f>IF(P312=11,0,G312*P312)</f>
        <v>0</v>
      </c>
      <c r="AT312" s="1806">
        <f>IF(Q312=11,0,G312*Q312)</f>
        <v>0</v>
      </c>
      <c r="AU312" s="1806">
        <f>IF(S312=11,0,S312*G312)</f>
        <v>0</v>
      </c>
      <c r="AV312" s="1806">
        <f>IF(T312=11,0,T312*G312)</f>
        <v>0</v>
      </c>
      <c r="BD312" s="816"/>
      <c r="BE312" s="110"/>
      <c r="BF312" s="477"/>
      <c r="BG312" s="113"/>
      <c r="BH312" s="481"/>
      <c r="BI312" s="113"/>
      <c r="BJ312" s="482"/>
      <c r="BK312" s="478"/>
    </row>
    <row r="313" spans="2:63" ht="32" customHeight="1" thickBot="1" x14ac:dyDescent="0.25">
      <c r="B313" s="2030"/>
      <c r="C313" s="964"/>
      <c r="D313" s="972"/>
      <c r="E313" s="965"/>
      <c r="F313" s="973"/>
      <c r="G313" s="973"/>
      <c r="H313" s="973">
        <f>F313*G313</f>
        <v>0</v>
      </c>
      <c r="I313" s="1647">
        <v>11</v>
      </c>
      <c r="J313" s="1648">
        <v>11</v>
      </c>
      <c r="K313" s="45" t="b">
        <f>IF(AND(F313&gt;=I313,F313&lt;=J313),TRUE,FALSE)</f>
        <v>0</v>
      </c>
      <c r="L313" s="32"/>
      <c r="M313" s="32"/>
      <c r="N313" s="32"/>
      <c r="O313" s="1632"/>
      <c r="P313" s="1647">
        <v>11</v>
      </c>
      <c r="Q313" s="1648">
        <v>11</v>
      </c>
      <c r="R313" s="1623" t="b">
        <f>IF(AND(F313&gt;=P313,F313&lt;=Q313),TRUE,FALSE)</f>
        <v>0</v>
      </c>
      <c r="S313" s="1647">
        <v>11</v>
      </c>
      <c r="T313" s="1648">
        <v>11</v>
      </c>
      <c r="U313" s="1623" t="b">
        <f>IF(AND(F313&gt;=S313,F313&lt;=T313),TRUE,FALSE)</f>
        <v>0</v>
      </c>
      <c r="W313" s="1429"/>
      <c r="X313" s="1425">
        <v>11</v>
      </c>
      <c r="Y313" s="1426"/>
      <c r="Z313" s="1427">
        <v>11</v>
      </c>
      <c r="AA313" s="1426"/>
      <c r="AB313" s="1421">
        <v>11</v>
      </c>
      <c r="AD313" s="960"/>
      <c r="AE313" s="961"/>
      <c r="AF313" s="960"/>
      <c r="AG313" s="961"/>
      <c r="AH313" s="960"/>
      <c r="AI313" s="961"/>
      <c r="AK313" s="10"/>
      <c r="AL313" s="10"/>
      <c r="AM313" s="10"/>
      <c r="AN313" s="975">
        <f>IF($K313=TRUE,H313,0)</f>
        <v>0</v>
      </c>
      <c r="AO313" s="975">
        <f>IF($R313=TRUE,H313,0)</f>
        <v>0</v>
      </c>
      <c r="AP313" s="975">
        <f>IF($U313=TRUE,H313,0)</f>
        <v>0</v>
      </c>
      <c r="AQ313" s="1806">
        <f>IF(I313=11,0,G313*I313)</f>
        <v>0</v>
      </c>
      <c r="AR313" s="1806">
        <f>IF(J313=11,0,G313*J313)</f>
        <v>0</v>
      </c>
      <c r="AS313" s="1806">
        <f>IF(P313=11,0,G313*P313)</f>
        <v>0</v>
      </c>
      <c r="AT313" s="1806">
        <f>IF(Q313=11,0,G313*Q313)</f>
        <v>0</v>
      </c>
      <c r="AU313" s="1806">
        <f>IF(S313=11,0,S313*G313)</f>
        <v>0</v>
      </c>
      <c r="AV313" s="1806">
        <f>IF(T313=11,0,T313*G313)</f>
        <v>0</v>
      </c>
      <c r="BD313" s="816"/>
      <c r="BE313" s="110"/>
      <c r="BF313" s="477"/>
      <c r="BG313" s="113"/>
      <c r="BH313" s="481"/>
      <c r="BI313" s="113"/>
      <c r="BJ313" s="482"/>
      <c r="BK313" s="478"/>
    </row>
    <row r="314" spans="2:63" ht="32" customHeight="1" thickBot="1" x14ac:dyDescent="0.25">
      <c r="B314" s="2030"/>
      <c r="D314" s="16"/>
      <c r="E314" s="16"/>
      <c r="F314" s="89"/>
      <c r="G314" s="473"/>
      <c r="H314" s="47">
        <f>IF(AND(K312=TRUE,K313=FALSE),H312,IF(AND(K312=FALSE,K313=TRUE),H313,MAX(H312,H313)))</f>
        <v>1</v>
      </c>
      <c r="I314" s="1644"/>
      <c r="J314" s="1645"/>
      <c r="K314" s="1651" t="b">
        <f>IF(AND(K312=FALSE,K313=FALSE),FALSE,TRUE)</f>
        <v>0</v>
      </c>
      <c r="L314" s="1633"/>
      <c r="M314" s="1634"/>
      <c r="N314" s="1634"/>
      <c r="O314" s="1635"/>
      <c r="P314" s="1644"/>
      <c r="Q314" s="1645"/>
      <c r="R314" s="1651" t="b">
        <f>IF(AND(R312=FALSE,R313=FALSE),FALSE,TRUE)</f>
        <v>0</v>
      </c>
      <c r="S314" s="1656"/>
      <c r="T314" s="1657"/>
      <c r="U314" s="1658" t="b">
        <f>IF(AND(U312=FALSE,U313=FALSE),FALSE,TRUE)</f>
        <v>0</v>
      </c>
      <c r="V314" s="933"/>
      <c r="AD314" s="1564" t="str">
        <f>IF(K314=TRUE,"V","F")</f>
        <v>F</v>
      </c>
      <c r="AE314" s="1565"/>
      <c r="AF314" s="1564" t="str">
        <f>IF(R314=TRUE,"V","F")</f>
        <v>F</v>
      </c>
      <c r="AG314" s="1565"/>
      <c r="AH314" s="1564" t="str">
        <f>IF(U314=TRUE,"V","F")</f>
        <v>F</v>
      </c>
      <c r="AI314" s="1565"/>
      <c r="AK314" s="10"/>
      <c r="AL314" s="10"/>
      <c r="AM314" s="10"/>
      <c r="AN314" s="2102">
        <f>IF(AND($K312=TRUE,$K313=FALSE),AN312,IF(AND($K312=FALSE,$K313=TRUE),AN313,MAX(AN312,AN313)))</f>
        <v>0</v>
      </c>
      <c r="AO314" s="2102">
        <f>IF(AND($R312=TRUE,$R313=FALSE),AO312,IF(AND($R312=FALSE,$R313=TRUE),AO313,MAX(AO312,AO313)))</f>
        <v>0</v>
      </c>
      <c r="AP314" s="2102">
        <f>IF(AND($U312=TRUE,$U313=FALSE),AP312,IF(AND($U312=FALSE,$U313=TRUE),AP313,MAX(AP312,AP313)))</f>
        <v>0</v>
      </c>
      <c r="AQ314" s="2102">
        <f>IF(AND($K312=TRUE,$K313=FALSE),AQ312,IF(AND($K312=FALSE,$K313=TRUE),AQ313,MAX(AQ312,AQ313)))</f>
        <v>7</v>
      </c>
      <c r="AR314" s="2102">
        <f>IF(AND($K312=TRUE,$K313=FALSE),AR312,IF(AND($K312=FALSE,$K313=TRUE),AR313,MAX(AR312,AR313)))</f>
        <v>10</v>
      </c>
      <c r="AS314" s="2102">
        <f>IF(AND($R312=TRUE,$R313=FALSE),AS312,IF(AND($R312=FALSE,$R313=TRUE),AS313,MAX(AS312,AS313)))</f>
        <v>0</v>
      </c>
      <c r="AT314" s="2102">
        <f>IF(AND($R312=TRUE,$R313=FALSE),AT312,IF(AND($R312=FALSE,$R313=TRUE),AT313,MAX(AT312,AT313)))</f>
        <v>0</v>
      </c>
      <c r="AU314" s="2102">
        <f>IF(AND($U312=TRUE,$U313=FALSE),AU312,IF(AND($U312=FALSE,$U313=TRUE),AU313,MAX(AU312,AU313)))</f>
        <v>0</v>
      </c>
      <c r="AV314" s="2102">
        <f>IF(AND($U312=TRUE,$U313=FALSE),AV312,IF(AND($U312=FALSE,$U313=TRUE),AV313,MAX(AV312,AV313)))</f>
        <v>0</v>
      </c>
      <c r="BD314" s="816"/>
      <c r="BE314" s="110"/>
      <c r="BF314" s="477"/>
      <c r="BG314" s="113"/>
      <c r="BH314" s="481"/>
      <c r="BI314" s="113"/>
      <c r="BJ314" s="482"/>
      <c r="BK314" s="478"/>
    </row>
    <row r="315" spans="2:63" ht="32" customHeight="1" thickBot="1" x14ac:dyDescent="0.35">
      <c r="D315" s="16"/>
      <c r="E315" s="16"/>
      <c r="F315" s="89"/>
      <c r="G315" s="473"/>
      <c r="H315" s="473"/>
      <c r="I315" s="1653"/>
      <c r="J315" s="1653"/>
      <c r="K315" s="931"/>
      <c r="L315" s="1654"/>
      <c r="M315" s="1655"/>
      <c r="N315" s="1655"/>
      <c r="P315" s="1653"/>
      <c r="Q315" s="1653"/>
      <c r="R315" s="931"/>
      <c r="S315" s="8"/>
      <c r="T315" s="8"/>
      <c r="U315" s="931"/>
      <c r="V315" s="933"/>
      <c r="AD315" s="1649"/>
      <c r="AE315" s="1650">
        <f>IF(AND(AD314="V",AD306="V"),AE310-1,AE310)</f>
        <v>1</v>
      </c>
      <c r="AF315" s="1649"/>
      <c r="AG315" s="1650">
        <f>IF(OR(AF306="V",AF309="V",AF314="V"),1,0)</f>
        <v>1</v>
      </c>
      <c r="AH315" s="1649"/>
      <c r="AI315" s="1650">
        <f>IF(AH306="V",1,IF(AH314="V",1,0))</f>
        <v>0</v>
      </c>
      <c r="AK315" s="10">
        <v>1</v>
      </c>
      <c r="AL315" s="10">
        <v>1</v>
      </c>
      <c r="AM315" s="10"/>
      <c r="AN315" s="2101">
        <f>IF($AD314="F",AN310,AN310+AN314)</f>
        <v>21</v>
      </c>
      <c r="AO315" s="2101">
        <f>IF($AF314="F",AO310,AO310+AO314)</f>
        <v>8</v>
      </c>
      <c r="AP315" s="2101">
        <f>IF(AND($AH306="V",$AH314="F"),AP306,IF(AND($AH306="F",$AH314="V"),AP314,IF(AND($AH306="V",$AH314="V"),AP306+AP314,0)))</f>
        <v>0</v>
      </c>
      <c r="AQ315" s="2101">
        <f>IF($AD314="F",AQ310,AQ310+AQ314)</f>
        <v>21</v>
      </c>
      <c r="AR315" s="2101">
        <f t="shared" ref="AR315" si="295">IF($AD314="F",AR310,AR310+AR314)</f>
        <v>30</v>
      </c>
      <c r="AS315" s="2101">
        <f t="shared" ref="AS315" si="296">IF($AF314="F",AS310,AS310+AS314)</f>
        <v>4</v>
      </c>
      <c r="AT315" s="2101">
        <f t="shared" ref="AT315" si="297">IF($AF314="F",AT310,AT310+AT314)</f>
        <v>14</v>
      </c>
      <c r="AU315" s="2101">
        <f t="shared" ref="AU315" si="298">IF(AND($AH306="V",$AH314="F"),AU306,IF(AND($AH306="F",$AH314="V"),AU314,IF(AND($AH306="V",$AH314="V"),AU306+AU314,0)))</f>
        <v>0</v>
      </c>
      <c r="AV315" s="2101">
        <f t="shared" ref="AV315" si="299">IF(AND($AH306="V",$AH314="F"),AV306,IF(AND($AH306="F",$AH314="V"),AV314,IF(AND($AH306="V",$AH314="V"),AV306+AV314,0)))</f>
        <v>0</v>
      </c>
      <c r="BD315" s="816"/>
      <c r="BE315" s="110"/>
      <c r="BF315" s="477"/>
      <c r="BG315" s="113"/>
      <c r="BH315" s="481"/>
      <c r="BI315" s="113"/>
      <c r="BJ315" s="482"/>
      <c r="BK315" s="478"/>
    </row>
    <row r="316" spans="2:63" ht="32" customHeight="1" x14ac:dyDescent="0.3">
      <c r="D316" s="16"/>
      <c r="E316" s="16"/>
      <c r="F316" s="89"/>
      <c r="G316" s="473"/>
      <c r="H316" s="473"/>
      <c r="I316" s="1616"/>
      <c r="J316" s="1617"/>
      <c r="K316" s="1618"/>
      <c r="L316" s="2268"/>
      <c r="M316" s="2268"/>
      <c r="N316" s="2268"/>
      <c r="O316" s="1619"/>
      <c r="P316" s="1636"/>
      <c r="Q316" s="1618"/>
      <c r="R316" s="1619"/>
      <c r="S316" s="1636"/>
      <c r="T316" s="1618"/>
      <c r="U316" s="1619"/>
      <c r="V316" s="170"/>
      <c r="W316" s="170"/>
      <c r="AD316" s="1668"/>
      <c r="AE316" s="1669"/>
      <c r="AF316" s="1409"/>
      <c r="AG316" s="1409"/>
      <c r="AH316" s="1409"/>
      <c r="AI316" s="1409"/>
      <c r="AK316" s="10"/>
      <c r="AL316" s="10"/>
      <c r="AM316" s="10"/>
      <c r="BD316" s="816"/>
      <c r="BE316" s="110"/>
      <c r="BF316" s="477"/>
      <c r="BG316" s="113"/>
      <c r="BH316" s="481"/>
      <c r="BI316" s="113"/>
      <c r="BJ316" s="482"/>
      <c r="BK316" s="478"/>
    </row>
    <row r="317" spans="2:63" ht="32" customHeight="1" x14ac:dyDescent="0.3">
      <c r="B317" s="2029">
        <v>16</v>
      </c>
      <c r="D317" s="476" t="str">
        <f>'Action-Réaction finale'!F51</f>
        <v>Contrôle des communications</v>
      </c>
      <c r="E317" s="107"/>
      <c r="F317" s="65"/>
      <c r="G317" s="18"/>
      <c r="H317" s="18"/>
      <c r="I317" s="2255" t="s">
        <v>734</v>
      </c>
      <c r="J317" s="2256"/>
      <c r="K317" s="2256"/>
      <c r="L317" s="2257" t="s">
        <v>1378</v>
      </c>
      <c r="M317" s="2257"/>
      <c r="N317" s="2257"/>
      <c r="O317" s="2258"/>
      <c r="P317" s="2259" t="s">
        <v>733</v>
      </c>
      <c r="Q317" s="2260"/>
      <c r="R317" s="2261"/>
      <c r="S317" s="2262" t="s">
        <v>735</v>
      </c>
      <c r="T317" s="2263"/>
      <c r="U317" s="2264"/>
      <c r="V317" s="15"/>
      <c r="W317" s="15"/>
      <c r="AD317" s="956"/>
      <c r="AE317" s="956"/>
      <c r="AF317" s="956"/>
      <c r="AG317" s="956"/>
      <c r="AH317" s="956"/>
      <c r="AI317" s="957"/>
      <c r="AK317" s="10"/>
      <c r="AL317" s="10"/>
      <c r="AM317" s="10"/>
      <c r="AN317" s="1659" t="s">
        <v>734</v>
      </c>
      <c r="AO317" s="1659" t="s">
        <v>733</v>
      </c>
      <c r="AP317" s="1659" t="s">
        <v>735</v>
      </c>
      <c r="AQ317" s="2254" t="s">
        <v>734</v>
      </c>
      <c r="AR317" s="2254"/>
      <c r="AS317" s="2254" t="s">
        <v>733</v>
      </c>
      <c r="AT317" s="2254"/>
      <c r="AU317" s="2254" t="s">
        <v>735</v>
      </c>
      <c r="AV317" s="2254"/>
      <c r="BD317" s="816"/>
      <c r="BE317" s="110"/>
      <c r="BF317" s="477"/>
      <c r="BG317" s="113"/>
      <c r="BH317" s="481"/>
      <c r="BI317" s="113"/>
      <c r="BJ317" s="482"/>
      <c r="BK317" s="478"/>
    </row>
    <row r="318" spans="2:63" ht="32" customHeight="1" x14ac:dyDescent="0.3">
      <c r="D318" s="102" t="s">
        <v>998</v>
      </c>
      <c r="E318" s="983" t="s">
        <v>997</v>
      </c>
      <c r="F318" s="32" t="s">
        <v>748</v>
      </c>
      <c r="G318" s="32" t="s">
        <v>749</v>
      </c>
      <c r="H318" s="32" t="s">
        <v>750</v>
      </c>
      <c r="I318" s="1620" t="s">
        <v>306</v>
      </c>
      <c r="J318" s="43" t="s">
        <v>307</v>
      </c>
      <c r="K318" s="43" t="s">
        <v>308</v>
      </c>
      <c r="L318" s="43" t="s">
        <v>413</v>
      </c>
      <c r="M318" s="43" t="s">
        <v>388</v>
      </c>
      <c r="N318" s="43" t="s">
        <v>389</v>
      </c>
      <c r="O318" s="1621" t="s">
        <v>390</v>
      </c>
      <c r="P318" s="1620" t="s">
        <v>306</v>
      </c>
      <c r="Q318" s="43" t="s">
        <v>307</v>
      </c>
      <c r="R318" s="1621" t="s">
        <v>308</v>
      </c>
      <c r="S318" s="1620" t="s">
        <v>306</v>
      </c>
      <c r="T318" s="43" t="s">
        <v>307</v>
      </c>
      <c r="U318" s="1621" t="s">
        <v>308</v>
      </c>
      <c r="V318" s="818"/>
      <c r="W318" s="955" t="s">
        <v>928</v>
      </c>
      <c r="X318" s="1391" t="s">
        <v>734</v>
      </c>
      <c r="Y318" s="955" t="s">
        <v>928</v>
      </c>
      <c r="Z318" s="1395" t="s">
        <v>733</v>
      </c>
      <c r="AA318" s="955"/>
      <c r="AB318" s="1399" t="s">
        <v>735</v>
      </c>
      <c r="AD318" s="970" t="s">
        <v>734</v>
      </c>
      <c r="AE318" s="971" t="s">
        <v>946</v>
      </c>
      <c r="AF318" s="970" t="s">
        <v>733</v>
      </c>
      <c r="AG318" s="971" t="s">
        <v>947</v>
      </c>
      <c r="AH318" s="970" t="s">
        <v>735</v>
      </c>
      <c r="AI318" s="971" t="s">
        <v>948</v>
      </c>
      <c r="AK318" s="10"/>
      <c r="AL318" s="10"/>
      <c r="AM318" s="10"/>
      <c r="AN318" s="10"/>
      <c r="AO318" s="10"/>
      <c r="AP318" s="10"/>
      <c r="AQ318" s="1806" t="s">
        <v>1322</v>
      </c>
      <c r="AR318" s="1806" t="s">
        <v>1323</v>
      </c>
      <c r="AS318" s="1806" t="s">
        <v>1322</v>
      </c>
      <c r="AT318" s="1806" t="s">
        <v>1323</v>
      </c>
      <c r="AU318" s="1806" t="s">
        <v>1322</v>
      </c>
      <c r="AV318" s="1806" t="s">
        <v>1323</v>
      </c>
      <c r="BD318" s="816"/>
      <c r="BE318" s="110"/>
      <c r="BF318" s="477"/>
      <c r="BG318" s="113"/>
      <c r="BH318" s="481"/>
      <c r="BI318" s="113"/>
      <c r="BJ318" s="482"/>
      <c r="BK318" s="478"/>
    </row>
    <row r="319" spans="2:63" ht="48" x14ac:dyDescent="0.2">
      <c r="B319" s="2030" t="str">
        <f>'Action-Réaction finale'!I51</f>
        <v>E: Interférence temps et/ou communication</v>
      </c>
      <c r="C319" s="414" t="str">
        <f>'Action-Réaction finale'!G51</f>
        <v>PFA20</v>
      </c>
      <c r="D319" s="26" t="str">
        <f>Test_Bible!B201</f>
        <v>Il est facile de communiquer avec votre enfant lorsqu’il est chez l’autre parent.</v>
      </c>
      <c r="E319" s="101" t="s">
        <v>781</v>
      </c>
      <c r="F319" s="790">
        <f>Test_Bible!P201</f>
        <v>1</v>
      </c>
      <c r="G319" s="789">
        <f>Test_Bible!D201</f>
        <v>1</v>
      </c>
      <c r="H319" s="790">
        <f>F319*G319</f>
        <v>1</v>
      </c>
      <c r="I319" s="1622">
        <v>7</v>
      </c>
      <c r="J319" s="1615">
        <v>10</v>
      </c>
      <c r="K319" s="45" t="b">
        <f>IF(AND(F319&gt;=I319,F319&lt;=J319),TRUE,FALSE)</f>
        <v>0</v>
      </c>
      <c r="L319" s="45"/>
      <c r="M319" s="45"/>
      <c r="N319" s="45"/>
      <c r="O319" s="1623"/>
      <c r="P319" s="1647">
        <v>11</v>
      </c>
      <c r="Q319" s="1648">
        <v>11</v>
      </c>
      <c r="R319" s="1623" t="b">
        <f>IF(AND(F319&gt;=P319,F319&lt;=Q319),TRUE,FALSE)</f>
        <v>0</v>
      </c>
      <c r="S319" s="1647">
        <v>11</v>
      </c>
      <c r="T319" s="1648">
        <v>11</v>
      </c>
      <c r="U319" s="1623" t="b">
        <f>IF(AND(F319&gt;=S319,F319&lt;=T319),TRUE,FALSE)</f>
        <v>0</v>
      </c>
      <c r="V319" s="1593"/>
      <c r="W319" s="1403"/>
      <c r="X319" s="1404">
        <v>7</v>
      </c>
      <c r="Y319" s="1405"/>
      <c r="Z319" s="1424">
        <v>11</v>
      </c>
      <c r="AA319" s="1405"/>
      <c r="AB319" s="1415">
        <v>4</v>
      </c>
      <c r="AD319" s="958"/>
      <c r="AE319" s="959"/>
      <c r="AF319" s="958"/>
      <c r="AG319" s="959"/>
      <c r="AH319" s="958"/>
      <c r="AI319" s="959"/>
      <c r="AK319" s="10"/>
      <c r="AL319" s="10"/>
      <c r="AM319" s="10"/>
      <c r="AN319" s="975">
        <f>IF($K319=TRUE,H319,0)</f>
        <v>0</v>
      </c>
      <c r="AO319" s="975">
        <f>IF($R319=TRUE,H319,0)</f>
        <v>0</v>
      </c>
      <c r="AP319" s="975">
        <f>IF($U319=TRUE,H319,0)</f>
        <v>0</v>
      </c>
      <c r="AQ319" s="1806">
        <f>IF(I319=11,0,G319*I319)</f>
        <v>7</v>
      </c>
      <c r="AR319" s="1806">
        <f>IF(J319=11,0,G319*J319)</f>
        <v>10</v>
      </c>
      <c r="AS319" s="1806">
        <f>IF(P319=11,0,G319*P319)</f>
        <v>0</v>
      </c>
      <c r="AT319" s="1806">
        <f>IF(Q319=11,0,G319*Q319)</f>
        <v>0</v>
      </c>
      <c r="AU319" s="1806">
        <f>IF(S319=11,0,S319*G319)</f>
        <v>0</v>
      </c>
      <c r="AV319" s="1806">
        <f>IF(T319=11,0,T319*G319)</f>
        <v>0</v>
      </c>
      <c r="BD319" s="816"/>
      <c r="BE319" s="110"/>
      <c r="BF319" s="477"/>
      <c r="BG319" s="113"/>
      <c r="BH319" s="481"/>
      <c r="BI319" s="113"/>
      <c r="BJ319" s="482"/>
      <c r="BK319" s="478"/>
    </row>
    <row r="320" spans="2:63" ht="55" customHeight="1" x14ac:dyDescent="0.2">
      <c r="B320" s="2030" t="str">
        <f>'Action-Réaction finale'!I52</f>
        <v>E: Interférence temps et/ou communication</v>
      </c>
      <c r="C320" s="414" t="str">
        <f>'Action-Réaction finale'!G52</f>
        <v>PFA20a</v>
      </c>
      <c r="D320" s="767" t="str">
        <f>Test_Bible!B202</f>
        <v/>
      </c>
      <c r="E320" s="101" t="s">
        <v>401</v>
      </c>
      <c r="F320" s="790">
        <f>Test_Bible!P202</f>
        <v>0</v>
      </c>
      <c r="G320" s="789">
        <f>Test_Bible!D202</f>
        <v>2</v>
      </c>
      <c r="H320" s="790">
        <f>F320*G320</f>
        <v>0</v>
      </c>
      <c r="I320" s="1622">
        <v>4</v>
      </c>
      <c r="J320" s="1615">
        <v>10</v>
      </c>
      <c r="K320" s="45" t="b">
        <f>IF(AND(F320&gt;=I320,F320&lt;=J320),TRUE,FALSE)</f>
        <v>0</v>
      </c>
      <c r="L320" s="45"/>
      <c r="M320" s="45"/>
      <c r="N320" s="45"/>
      <c r="O320" s="1623"/>
      <c r="P320" s="1647">
        <v>11</v>
      </c>
      <c r="Q320" s="1648">
        <v>11</v>
      </c>
      <c r="R320" s="1623" t="b">
        <f>IF(AND(F320&gt;=P320,F320&lt;=Q320),TRUE,FALSE)</f>
        <v>0</v>
      </c>
      <c r="S320" s="1622">
        <v>4</v>
      </c>
      <c r="T320" s="1615">
        <v>7</v>
      </c>
      <c r="U320" s="1623" t="b">
        <f>IF(AND(F320&gt;=S320,F320&lt;=T320),TRUE,FALSE)</f>
        <v>0</v>
      </c>
      <c r="V320" s="931"/>
      <c r="W320" s="1406" t="s">
        <v>943</v>
      </c>
      <c r="X320" s="1411">
        <v>4</v>
      </c>
      <c r="Y320" s="1412"/>
      <c r="Z320" s="1427">
        <v>11</v>
      </c>
      <c r="AA320" s="1412"/>
      <c r="AB320" s="1414">
        <v>2</v>
      </c>
      <c r="AD320" s="960"/>
      <c r="AE320" s="961"/>
      <c r="AF320" s="960"/>
      <c r="AG320" s="961"/>
      <c r="AH320" s="960"/>
      <c r="AI320" s="961"/>
      <c r="AK320" s="10"/>
      <c r="AL320" s="10"/>
      <c r="AM320" s="10"/>
      <c r="AN320" s="975">
        <f>IF($K320=TRUE,H320,0)</f>
        <v>0</v>
      </c>
      <c r="AO320" s="975">
        <f>IF($R320=TRUE,H320,0)</f>
        <v>0</v>
      </c>
      <c r="AP320" s="975">
        <f>IF($U320=TRUE,H320,0)</f>
        <v>0</v>
      </c>
      <c r="AQ320" s="1806">
        <f>IF(I320=11,0,G320*I320)</f>
        <v>8</v>
      </c>
      <c r="AR320" s="1806">
        <f>IF(J320=11,0,G320*J320)</f>
        <v>20</v>
      </c>
      <c r="AS320" s="1806">
        <f>IF(P320=11,0,G320*P320)</f>
        <v>0</v>
      </c>
      <c r="AT320" s="1806">
        <f>IF(Q320=11,0,G320*Q320)</f>
        <v>0</v>
      </c>
      <c r="AU320" s="1806">
        <f>IF(S320=11,0,S320*G320)</f>
        <v>8</v>
      </c>
      <c r="AV320" s="1806">
        <f>IF(T320=11,0,T320*G320)</f>
        <v>14</v>
      </c>
      <c r="BD320" s="816"/>
      <c r="BE320" s="110"/>
      <c r="BF320" s="477"/>
      <c r="BG320" s="113"/>
      <c r="BH320" s="481"/>
      <c r="BI320" s="113"/>
      <c r="BJ320" s="482"/>
      <c r="BK320" s="478"/>
    </row>
    <row r="321" spans="2:63" ht="32" customHeight="1" x14ac:dyDescent="0.2">
      <c r="B321" s="2032"/>
      <c r="C321" s="792" t="s">
        <v>745</v>
      </c>
      <c r="D321" s="793" t="str">
        <f>_xlfn.XLOOKUP(H321,H319:H320,D319:D320)</f>
        <v>Il est facile de communiquer avec votre enfant lorsqu’il est chez l’autre parent.</v>
      </c>
      <c r="E321" s="794" t="str">
        <f>_xlfn.XLOOKUP(H321,H319:H320,E319:E320)</f>
        <v>complique les communications avec votre enfant</v>
      </c>
      <c r="F321" s="795"/>
      <c r="G321" s="795"/>
      <c r="H321" s="795">
        <f>IF(AND(K319=TRUE,K320=FALSE),H319,IF(AND(K319=FALSE,K320=TRUE),H320,MAX(H319,H320)))</f>
        <v>1</v>
      </c>
      <c r="I321" s="1624"/>
      <c r="J321" s="796"/>
      <c r="K321" s="797" t="b">
        <f>IF(AND(K319=FALSE,K320=FALSE),FALSE,TRUE)</f>
        <v>0</v>
      </c>
      <c r="L321" s="45"/>
      <c r="M321" s="45"/>
      <c r="N321" s="45"/>
      <c r="O321" s="1623"/>
      <c r="P321" s="1624"/>
      <c r="Q321" s="796"/>
      <c r="R321" s="1637" t="b">
        <f>IF(AND(R319=FALSE,R320=FALSE),FALSE,TRUE)</f>
        <v>0</v>
      </c>
      <c r="S321" s="1624"/>
      <c r="T321" s="796"/>
      <c r="U321" s="1637" t="b">
        <f>IF(AND(U319=FALSE,U320=FALSE),FALSE,TRUE)</f>
        <v>0</v>
      </c>
      <c r="V321" s="931"/>
      <c r="W321" s="931" t="s">
        <v>943</v>
      </c>
      <c r="X321" s="1392"/>
      <c r="Y321" s="8"/>
      <c r="Z321" s="1430"/>
      <c r="AA321" s="8"/>
      <c r="AB321" s="1400"/>
      <c r="AD321" s="960"/>
      <c r="AE321" s="961"/>
      <c r="AF321" s="960"/>
      <c r="AG321" s="961"/>
      <c r="AH321" s="960"/>
      <c r="AI321" s="961"/>
      <c r="AK321" s="10"/>
      <c r="AL321" s="10"/>
      <c r="AM321" s="10"/>
      <c r="AN321" s="2100">
        <f>IF($K321=TRUE,MAX(AN319:AN320),0)</f>
        <v>0</v>
      </c>
      <c r="AO321" s="2100">
        <f>IF($R321=TRUE,MAX(AO319:AO320),0)</f>
        <v>0</v>
      </c>
      <c r="AP321" s="2100">
        <f>IF($U321=TRUE,MAX(AP319:AP320),0)</f>
        <v>0</v>
      </c>
      <c r="AQ321" s="2099">
        <f>MAX(AQ319:AQ320)</f>
        <v>8</v>
      </c>
      <c r="AR321" s="2099">
        <f t="shared" ref="AR321" si="300">MAX(AR319:AR320)</f>
        <v>20</v>
      </c>
      <c r="AS321" s="2099">
        <f t="shared" ref="AS321" si="301">MAX(AS319:AS320)</f>
        <v>0</v>
      </c>
      <c r="AT321" s="2099">
        <f t="shared" ref="AT321" si="302">MAX(AT319:AT320)</f>
        <v>0</v>
      </c>
      <c r="AU321" s="2099">
        <f t="shared" ref="AU321" si="303">MAX(AU319:AU320)</f>
        <v>8</v>
      </c>
      <c r="AV321" s="2099">
        <f t="shared" ref="AV321" si="304">MAX(AV319:AV320)</f>
        <v>14</v>
      </c>
      <c r="BD321" s="816"/>
      <c r="BE321" s="110"/>
      <c r="BF321" s="477"/>
      <c r="BG321" s="113"/>
      <c r="BH321" s="481"/>
      <c r="BI321" s="113"/>
      <c r="BJ321" s="482"/>
      <c r="BK321" s="478"/>
    </row>
    <row r="322" spans="2:63" ht="51" x14ac:dyDescent="0.2">
      <c r="B322" s="1847" t="str">
        <f>'Action-Réaction finale'!M52</f>
        <v>E: Interférence temps et/ou communication</v>
      </c>
      <c r="C322" s="52" t="str">
        <f>'Action-Réaction finale'!K52</f>
        <v>NC10</v>
      </c>
      <c r="D322" s="26" t="str">
        <f>Test_Bible!B420</f>
        <v>Arrive-t-il que le nouveau ou nouvelle conjoint·e interfère, écoute ou écourte vos conversations téléphoniques avec votre enfant ?</v>
      </c>
      <c r="E322" s="101" t="s">
        <v>790</v>
      </c>
      <c r="F322" s="790">
        <f>Test_Bible!P420</f>
        <v>4</v>
      </c>
      <c r="G322" s="789">
        <f>Test_Bible!D420</f>
        <v>2</v>
      </c>
      <c r="H322" s="790">
        <f>F322*G322</f>
        <v>8</v>
      </c>
      <c r="I322" s="1622">
        <v>4</v>
      </c>
      <c r="J322" s="1615">
        <v>10</v>
      </c>
      <c r="K322" s="45" t="b">
        <f>IF(AND(F322&gt;=I322,F322&lt;=J322),TRUE,FALSE)</f>
        <v>1</v>
      </c>
      <c r="L322" s="45"/>
      <c r="M322" s="45"/>
      <c r="N322" s="45"/>
      <c r="O322" s="1623"/>
      <c r="P322" s="1647">
        <v>11</v>
      </c>
      <c r="Q322" s="1648">
        <v>11</v>
      </c>
      <c r="R322" s="1623" t="b">
        <f>IF(AND(F322&gt;=P322,F322&lt;=Q322),TRUE,FALSE)</f>
        <v>0</v>
      </c>
      <c r="S322" s="1622">
        <v>2</v>
      </c>
      <c r="T322" s="1615">
        <v>7</v>
      </c>
      <c r="U322" s="1623" t="b">
        <f>IF(AND(F322&gt;=S322,F322&lt;=T322),TRUE,FALSE)</f>
        <v>1</v>
      </c>
      <c r="V322" s="931"/>
      <c r="W322" s="1403"/>
      <c r="X322" s="1404">
        <v>4</v>
      </c>
      <c r="Y322" s="1405"/>
      <c r="Z322" s="1424">
        <v>11</v>
      </c>
      <c r="AA322" s="1405"/>
      <c r="AB322" s="1415">
        <v>2</v>
      </c>
      <c r="AD322" s="960"/>
      <c r="AE322" s="961"/>
      <c r="AF322" s="960"/>
      <c r="AG322" s="961"/>
      <c r="AH322" s="960"/>
      <c r="AI322" s="961"/>
      <c r="AK322" s="10"/>
      <c r="AL322" s="10"/>
      <c r="AM322" s="10"/>
      <c r="AN322" s="975">
        <f>IF(K322=TRUE,H322,0)</f>
        <v>8</v>
      </c>
      <c r="AO322" s="975">
        <f>IF(R322=TRUE,H322,0)</f>
        <v>0</v>
      </c>
      <c r="AP322" s="975">
        <f>IF(U322=TRUE,H322,0)</f>
        <v>8</v>
      </c>
      <c r="AQ322" s="1806">
        <f>IF(I322=11,0,G322*I322)</f>
        <v>8</v>
      </c>
      <c r="AR322" s="1806">
        <f>IF(J322=11,0,G322*J322)</f>
        <v>20</v>
      </c>
      <c r="AS322" s="1806">
        <f>IF(P322=11,0,G322*P322)</f>
        <v>0</v>
      </c>
      <c r="AT322" s="1806">
        <f>IF(Q322=11,0,G322*Q322)</f>
        <v>0</v>
      </c>
      <c r="AU322" s="1806">
        <f>IF(S322=11,0,S322*G322)</f>
        <v>4</v>
      </c>
      <c r="AV322" s="1806">
        <f>IF(T322=11,0,T322*G322)</f>
        <v>14</v>
      </c>
      <c r="BD322" s="816"/>
      <c r="BE322" s="110"/>
      <c r="BF322" s="477"/>
      <c r="BG322" s="113"/>
      <c r="BH322" s="481"/>
      <c r="BI322" s="113"/>
      <c r="BJ322" s="482"/>
      <c r="BK322" s="478"/>
    </row>
    <row r="323" spans="2:63" ht="32" customHeight="1" x14ac:dyDescent="0.2">
      <c r="B323" s="2030"/>
      <c r="C323" s="52" t="s">
        <v>247</v>
      </c>
      <c r="D323" s="26"/>
      <c r="E323" s="62"/>
      <c r="F323" s="35"/>
      <c r="G323" s="35"/>
      <c r="H323" s="35">
        <f>F323*G323</f>
        <v>0</v>
      </c>
      <c r="I323" s="1647">
        <v>11</v>
      </c>
      <c r="J323" s="1648">
        <v>11</v>
      </c>
      <c r="K323" s="45" t="b">
        <f>IF(AND(F323&gt;=I323,F323&lt;=J323),TRUE,FALSE)</f>
        <v>0</v>
      </c>
      <c r="L323" s="45"/>
      <c r="M323" s="45"/>
      <c r="N323" s="45"/>
      <c r="O323" s="1623"/>
      <c r="P323" s="1647">
        <v>11</v>
      </c>
      <c r="Q323" s="1648">
        <v>11</v>
      </c>
      <c r="R323" s="1623" t="b">
        <f>IF(AND(F323&gt;=P323,F323&lt;=Q323),TRUE,FALSE)</f>
        <v>0</v>
      </c>
      <c r="S323" s="1647">
        <v>11</v>
      </c>
      <c r="T323" s="1648">
        <v>11</v>
      </c>
      <c r="U323" s="1623" t="b">
        <f>IF(AND(F323&gt;=S323,F323&lt;=T323),TRUE,FALSE)</f>
        <v>0</v>
      </c>
      <c r="V323" s="931"/>
      <c r="W323" s="1406" t="s">
        <v>943</v>
      </c>
      <c r="X323" s="1425">
        <v>11</v>
      </c>
      <c r="Y323" s="1426"/>
      <c r="Z323" s="1427">
        <v>11</v>
      </c>
      <c r="AA323" s="1426"/>
      <c r="AB323" s="1421">
        <v>11</v>
      </c>
      <c r="AD323" s="960"/>
      <c r="AE323" s="961"/>
      <c r="AF323" s="960"/>
      <c r="AG323" s="961"/>
      <c r="AH323" s="960"/>
      <c r="AI323" s="961"/>
      <c r="AK323" s="10"/>
      <c r="AL323" s="10"/>
      <c r="AM323" s="10"/>
      <c r="AN323" s="975">
        <f>IF(K323=TRUE,H323,0)</f>
        <v>0</v>
      </c>
      <c r="AO323" s="975">
        <f>IF(R323=TRUE,H323,0)</f>
        <v>0</v>
      </c>
      <c r="AP323" s="975">
        <f>IF(U323=TRUE,H323,0)</f>
        <v>0</v>
      </c>
      <c r="AQ323" s="1806">
        <f>IF(I323=11,0,G323*I323)</f>
        <v>0</v>
      </c>
      <c r="AR323" s="1806">
        <f>IF(J323=11,0,G323*J323)</f>
        <v>0</v>
      </c>
      <c r="AS323" s="1806">
        <f>IF(P323=11,0,G323*P323)</f>
        <v>0</v>
      </c>
      <c r="AT323" s="1806">
        <f>IF(Q323=11,0,G323*Q323)</f>
        <v>0</v>
      </c>
      <c r="AU323" s="1806">
        <f>IF(S323=11,0,S323*G323)</f>
        <v>0</v>
      </c>
      <c r="AV323" s="1806">
        <f>IF(T323=11,0,T323*G323)</f>
        <v>0</v>
      </c>
      <c r="BC323" s="7"/>
      <c r="BD323" s="816"/>
      <c r="BE323" s="110"/>
      <c r="BF323" s="477"/>
      <c r="BG323" s="113"/>
      <c r="BH323" s="481"/>
      <c r="BI323" s="113"/>
      <c r="BJ323" s="482"/>
      <c r="BK323" s="478"/>
    </row>
    <row r="324" spans="2:63" ht="32" customHeight="1" thickBot="1" x14ac:dyDescent="0.25">
      <c r="B324" s="2030"/>
      <c r="C324" s="798" t="s">
        <v>746</v>
      </c>
      <c r="D324" s="799" t="str">
        <f>_xlfn.XLOOKUP(H324,H322:H323,D322:D323)</f>
        <v>Arrive-t-il que le nouveau ou nouvelle conjoint·e interfère, écoute ou écourte vos conversations téléphoniques avec votre enfant ?</v>
      </c>
      <c r="E324" s="800" t="str">
        <f>_xlfn.XLOOKUP(H324,H322:H323,E322:E323)</f>
        <v>Le nouveau conjoint.e contrôle et écourte les conversations téléphoniques</v>
      </c>
      <c r="F324" s="801"/>
      <c r="G324" s="801"/>
      <c r="H324" s="795">
        <f>IF(AND(K322=TRUE,K323=FALSE),H322,IF(AND(K322=FALSE,K323=TRUE),H323,MAX(H322,H323)))</f>
        <v>8</v>
      </c>
      <c r="I324" s="1625"/>
      <c r="J324" s="802"/>
      <c r="K324" s="803" t="b">
        <f>IF(AND(K322=FALSE,K323=FALSE),FALSE,TRUE)</f>
        <v>1</v>
      </c>
      <c r="L324" s="45"/>
      <c r="M324" s="45"/>
      <c r="N324" s="45"/>
      <c r="O324" s="1623"/>
      <c r="P324" s="1625"/>
      <c r="Q324" s="802"/>
      <c r="R324" s="1638" t="b">
        <f>IF(AND(R322=FALSE,R323=FALSE),FALSE,TRUE)</f>
        <v>0</v>
      </c>
      <c r="S324" s="1625"/>
      <c r="T324" s="802"/>
      <c r="U324" s="1638" t="b">
        <f>IF(AND(U322=FALSE,U323=FALSE),FALSE,TRUE)</f>
        <v>1</v>
      </c>
      <c r="V324" s="931"/>
      <c r="W324" s="931"/>
      <c r="X324" s="1392"/>
      <c r="Y324" s="8"/>
      <c r="Z324" s="1397"/>
      <c r="AA324" s="8"/>
      <c r="AB324" s="1400"/>
      <c r="AD324" s="960"/>
      <c r="AE324" s="961"/>
      <c r="AF324" s="960"/>
      <c r="AG324" s="961"/>
      <c r="AH324" s="960"/>
      <c r="AI324" s="961"/>
      <c r="AK324" s="10"/>
      <c r="AL324" s="10"/>
      <c r="AM324" s="10"/>
      <c r="AN324" s="2100">
        <f>IF($K324=TRUE,MAX(AN322:AN323),0)</f>
        <v>8</v>
      </c>
      <c r="AO324" s="2100">
        <f>IF($R324=TRUE,MAX(AO322:AO323),0)</f>
        <v>0</v>
      </c>
      <c r="AP324" s="2100">
        <f>IF($U324=TRUE,MAX(AP322:AP323),0)</f>
        <v>8</v>
      </c>
      <c r="AQ324" s="2099">
        <f>MAX(AQ322:AQ323)</f>
        <v>8</v>
      </c>
      <c r="AR324" s="2099">
        <f t="shared" ref="AR324" si="305">MAX(AR322:AR323)</f>
        <v>20</v>
      </c>
      <c r="AS324" s="2099">
        <f t="shared" ref="AS324" si="306">MAX(AS322:AS323)</f>
        <v>0</v>
      </c>
      <c r="AT324" s="2099">
        <f t="shared" ref="AT324" si="307">MAX(AT322:AT323)</f>
        <v>0</v>
      </c>
      <c r="AU324" s="2099">
        <f t="shared" ref="AU324" si="308">MAX(AU322:AU323)</f>
        <v>4</v>
      </c>
      <c r="AV324" s="2099">
        <f t="shared" ref="AV324" si="309">MAX(AV322:AV323)</f>
        <v>14</v>
      </c>
      <c r="BC324" s="7"/>
      <c r="BD324" s="816"/>
      <c r="BE324" s="110"/>
      <c r="BF324" s="477"/>
      <c r="BG324" s="113"/>
      <c r="BH324" s="481"/>
      <c r="BI324" s="113"/>
      <c r="BJ324" s="482"/>
      <c r="BK324" s="478"/>
    </row>
    <row r="325" spans="2:63" ht="32" customHeight="1" thickBot="1" x14ac:dyDescent="0.25">
      <c r="B325" s="2030"/>
      <c r="C325" s="804" t="s">
        <v>754</v>
      </c>
      <c r="D325" s="805"/>
      <c r="E325" s="805" t="str">
        <f>IF(H325=H321,E321,E324)</f>
        <v>Le nouveau conjoint.e contrôle et écourte les conversations téléphoniques</v>
      </c>
      <c r="F325" s="806"/>
      <c r="G325" s="806"/>
      <c r="H325" s="806">
        <f>IF(AND(K321=TRUE,K324=FALSE),H321,IF(AND(K321=FALSE,K324=TRUE),H324,IF(AND(K321=TRUE,K324=TRUE),H321+H324,MAX(H321,H324))))</f>
        <v>8</v>
      </c>
      <c r="I325" s="1626"/>
      <c r="J325" s="807"/>
      <c r="K325" s="808" t="b">
        <f>IF(AND(K321=FALSE,K324=FALSE),FALSE,TRUE)</f>
        <v>1</v>
      </c>
      <c r="L325" s="1610"/>
      <c r="M325" s="1610"/>
      <c r="N325" s="1610"/>
      <c r="O325" s="1627"/>
      <c r="P325" s="1626"/>
      <c r="Q325" s="807"/>
      <c r="R325" s="808" t="b">
        <f>IF(AND(R321=FALSE,R324=FALSE),FALSE,TRUE)</f>
        <v>0</v>
      </c>
      <c r="S325" s="1626"/>
      <c r="T325" s="807"/>
      <c r="U325" s="808" t="b">
        <f>IF(AND(U321=FALSE,U324=FALSE),FALSE,TRUE)</f>
        <v>1</v>
      </c>
      <c r="V325" s="931"/>
      <c r="W325" s="931" t="s">
        <v>942</v>
      </c>
      <c r="X325" s="1392"/>
      <c r="Y325" s="8"/>
      <c r="Z325" s="1397"/>
      <c r="AA325" s="8"/>
      <c r="AB325" s="1400"/>
      <c r="AD325" s="960" t="str">
        <f>IF(K325=TRUE,"V","F")</f>
        <v>V</v>
      </c>
      <c r="AE325" s="961"/>
      <c r="AF325" s="960" t="str">
        <f>IF(R325=TRUE,"V","F")</f>
        <v>F</v>
      </c>
      <c r="AG325" s="961"/>
      <c r="AH325" s="960" t="str">
        <f>IF(U325=TRUE,"V","F")</f>
        <v>V</v>
      </c>
      <c r="AI325" s="961"/>
      <c r="AJ325" t="str">
        <f>IF(OR(AD325="V",AF325="V"),IF(H324&gt;H321,"Le NC contribue plus que le coparent","Le coparent joue un plus grand rôle que le NC"),"pas de contexte significatif de la part du coparent et NC")</f>
        <v>Le NC contribue plus que le coparent</v>
      </c>
      <c r="AK325" s="10"/>
      <c r="AL325" s="10"/>
      <c r="AM325" s="10"/>
      <c r="AN325" s="631">
        <f>IF(AND($K321=TRUE,$K324=FALSE),AN321,IF(AND($K321=FALSE,$K324=TRUE),AN324,IF(AND($K321=TRUE,$K324=TRUE),AN321+AN324,0)))</f>
        <v>8</v>
      </c>
      <c r="AO325" s="631">
        <f>IF(AND($R321=TRUE,$R324=FALSE),AO321,IF(AND($R321=FALSE,$R324=TRUE),AO324,IF(AND($R321=TRUE,$R324=TRUE),AO321+AO324,0)))</f>
        <v>0</v>
      </c>
      <c r="AP325" s="631">
        <f>IF(AND($U321=TRUE,$U324=FALSE),AP321,IF(AND($U321=FALSE,$U324=TRUE),AP324,IF(AND($U321=TRUE,$U324=TRUE),AP321+AP324,0)))</f>
        <v>8</v>
      </c>
      <c r="AQ325" s="631">
        <f>IF(AND($K321=TRUE,$K324=FALSE),AQ321,IF(AND($K321=FALSE,$K324=TRUE),AQ324,IF(AND($K321=TRUE,$K324=TRUE),AQ321+AQ324,MAX(AQ321,AQ324))))</f>
        <v>8</v>
      </c>
      <c r="AR325" s="631">
        <f>IF(AND($K321=TRUE,$K324=FALSE),AR321,IF(AND($K321=FALSE,$K324=TRUE),AR324,IF(AND($K321=TRUE,$K324=TRUE),AR321+AR324,MAX(AR321,AR324))))</f>
        <v>20</v>
      </c>
      <c r="AS325" s="631">
        <f t="shared" ref="AS325" si="310">IF(AND($R321=TRUE,$R324=FALSE),AS321,IF(AND($R321=FALSE,$R324=TRUE),AS324,IF(AND($R321=TRUE,$R324=TRUE),AS321+AS324,MAX(AS321,AS324))))</f>
        <v>0</v>
      </c>
      <c r="AT325" s="631">
        <f t="shared" ref="AT325" si="311">IF(AND($R321=TRUE,$R324=FALSE),AT321,IF(AND($R321=FALSE,$R324=TRUE),AT324,IF(AND($R321=TRUE,$R324=TRUE),AT321+AT324,MAX(AT321,AT324))))</f>
        <v>0</v>
      </c>
      <c r="AU325" s="631">
        <f t="shared" ref="AU325" si="312">IF(AND($U321=TRUE,$U324=FALSE),AU321,IF(AND($U321=FALSE,$U324=TRUE),AU324,IF(AND($U321=TRUE,$U324=TRUE),AU321+AU324,MAX(AU321,AU324))))</f>
        <v>4</v>
      </c>
      <c r="AV325" s="631">
        <f t="shared" ref="AV325" si="313">IF(AND($U321=TRUE,$U324=FALSE),AV321,IF(AND($U321=FALSE,$U324=TRUE),AV324,IF(AND($U321=TRUE,$U324=TRUE),AV321+AV324,MAX(AV321,AV324))))</f>
        <v>14</v>
      </c>
      <c r="BC325" s="7"/>
      <c r="BD325" s="816"/>
      <c r="BE325" s="110"/>
      <c r="BF325" s="477"/>
      <c r="BG325" s="113"/>
      <c r="BH325" s="481"/>
      <c r="BI325" s="113"/>
      <c r="BJ325" s="482"/>
      <c r="BK325" s="478"/>
    </row>
    <row r="326" spans="2:63" ht="48" x14ac:dyDescent="0.2">
      <c r="B326" s="2030" t="str">
        <f>'Action-Réaction finale'!Q51</f>
        <v>E: Interférence temps et/ou communication</v>
      </c>
      <c r="C326" s="313" t="str">
        <f>'Action-Réaction finale'!O51</f>
        <v>E18</v>
      </c>
      <c r="D326" s="26" t="str">
        <f>Test_Bible!B299</f>
        <v>Votre enfant répond à vos messages lorsqu’il est chez l’autre parent (tél., textos, réseaux sociaux, etc.).</v>
      </c>
      <c r="E326" s="101" t="s">
        <v>782</v>
      </c>
      <c r="F326" s="790">
        <f>Test_Bible!P299</f>
        <v>10</v>
      </c>
      <c r="G326" s="789">
        <f>Test_Bible!D299</f>
        <v>2</v>
      </c>
      <c r="H326" s="790">
        <f>F326*G326</f>
        <v>20</v>
      </c>
      <c r="I326" s="1622">
        <v>7</v>
      </c>
      <c r="J326" s="1615">
        <f>$J$18</f>
        <v>10</v>
      </c>
      <c r="K326" s="45" t="b">
        <f>IF(AND(F326&gt;=I326,F326&lt;=J326),TRUE,FALSE)</f>
        <v>1</v>
      </c>
      <c r="L326" s="45"/>
      <c r="M326" s="45"/>
      <c r="N326" s="45"/>
      <c r="O326" s="1623"/>
      <c r="P326" s="1622">
        <v>4</v>
      </c>
      <c r="Q326" s="1615">
        <v>7</v>
      </c>
      <c r="R326" s="1623" t="b">
        <f>IF(AND(F326&gt;=P326,F326&lt;=Q326),TRUE,FALSE)</f>
        <v>0</v>
      </c>
      <c r="S326" s="1622"/>
      <c r="T326" s="1615"/>
      <c r="U326" s="1623"/>
      <c r="V326" s="931"/>
      <c r="W326" s="1403"/>
      <c r="X326" s="1404">
        <v>7</v>
      </c>
      <c r="Y326" s="1405"/>
      <c r="Z326" s="1408">
        <v>4</v>
      </c>
      <c r="AA326" s="1405"/>
      <c r="AB326" s="1416">
        <v>11</v>
      </c>
      <c r="AD326" s="960" t="s">
        <v>945</v>
      </c>
      <c r="AE326" s="961"/>
      <c r="AF326" s="960"/>
      <c r="AG326" s="961"/>
      <c r="AH326" s="960"/>
      <c r="AI326" s="961"/>
      <c r="AK326" s="10"/>
      <c r="AL326" s="10"/>
      <c r="AM326" s="10"/>
      <c r="AN326" s="975">
        <f>IF($K326=TRUE,H326,0)</f>
        <v>20</v>
      </c>
      <c r="AO326" s="975">
        <f>IF($R326=TRUE,H326,0)</f>
        <v>0</v>
      </c>
      <c r="AP326" s="975"/>
      <c r="AQ326" s="1806">
        <f>IF(I326=11,0,G326*I326)</f>
        <v>14</v>
      </c>
      <c r="AR326" s="1806">
        <f>IF(J326=11,0,G326*J326)</f>
        <v>20</v>
      </c>
      <c r="AS326" s="1806">
        <f>IF(P326=11,0,G326*P326)</f>
        <v>8</v>
      </c>
      <c r="AT326" s="1806">
        <f>IF(Q326=11,0,G326*Q326)</f>
        <v>14</v>
      </c>
      <c r="AU326" s="1806"/>
      <c r="AV326" s="1806"/>
      <c r="BC326" s="7"/>
      <c r="BD326" s="816"/>
      <c r="BE326" s="110"/>
      <c r="BF326" s="477"/>
      <c r="BG326" s="113"/>
      <c r="BH326" s="481"/>
      <c r="BI326" s="113"/>
      <c r="BJ326" s="482"/>
      <c r="BK326" s="478"/>
    </row>
    <row r="327" spans="2:63" ht="61" customHeight="1" thickBot="1" x14ac:dyDescent="0.25">
      <c r="B327" s="2030"/>
      <c r="C327" s="313" t="str">
        <f>Test_Bible!A329</f>
        <v>E34</v>
      </c>
      <c r="D327" s="26" t="str">
        <f>Test_Bible!B329</f>
        <v xml:space="preserve">Votre enfant bloque les communications (tél., textos, réseaux sociaux, etc.). </v>
      </c>
      <c r="E327" s="101"/>
      <c r="F327" s="790">
        <f>Test_Bible!P329</f>
        <v>2</v>
      </c>
      <c r="G327" s="789">
        <f>Test_Bible!D329</f>
        <v>3</v>
      </c>
      <c r="H327" s="790">
        <f>F327*G327</f>
        <v>6</v>
      </c>
      <c r="I327" s="1622">
        <v>4</v>
      </c>
      <c r="J327" s="1615">
        <f>$J$18</f>
        <v>10</v>
      </c>
      <c r="K327" s="45" t="b">
        <f>IF(AND(F327&gt;=I327,F327&lt;=J327),TRUE,FALSE)</f>
        <v>0</v>
      </c>
      <c r="L327" s="45"/>
      <c r="M327" s="45"/>
      <c r="N327" s="45"/>
      <c r="O327" s="1623"/>
      <c r="P327" s="1647">
        <v>11</v>
      </c>
      <c r="Q327" s="1648">
        <v>11</v>
      </c>
      <c r="R327" s="1623" t="b">
        <f>IF(AND(F327&gt;=P327,F327&lt;=Q327),TRUE,FALSE)</f>
        <v>0</v>
      </c>
      <c r="S327" s="1647"/>
      <c r="T327" s="1648"/>
      <c r="U327" s="1623"/>
      <c r="V327" s="931"/>
      <c r="W327" s="1406" t="s">
        <v>943</v>
      </c>
      <c r="X327" s="1425">
        <v>11</v>
      </c>
      <c r="Y327" s="1426"/>
      <c r="Z327" s="1427">
        <v>11</v>
      </c>
      <c r="AA327" s="1426"/>
      <c r="AB327" s="1421">
        <v>11</v>
      </c>
      <c r="AD327" s="960"/>
      <c r="AE327" s="961"/>
      <c r="AF327" s="960"/>
      <c r="AG327" s="961"/>
      <c r="AH327" s="960"/>
      <c r="AI327" s="961"/>
      <c r="AK327" s="10"/>
      <c r="AL327" s="10"/>
      <c r="AM327" s="10"/>
      <c r="AN327" s="975">
        <f>IF($K327=TRUE,H327,0)</f>
        <v>0</v>
      </c>
      <c r="AO327" s="975">
        <f>IF($R327=TRUE,H327,0)</f>
        <v>0</v>
      </c>
      <c r="AP327" s="975"/>
      <c r="AQ327" s="1806">
        <f>IF(I327=11,0,G327*I327)</f>
        <v>12</v>
      </c>
      <c r="AR327" s="1806">
        <f>IF(J327=11,0,G327*J327)</f>
        <v>30</v>
      </c>
      <c r="AS327" s="1806">
        <f>IF(P327=11,0,G327*P327)</f>
        <v>0</v>
      </c>
      <c r="AT327" s="1806">
        <f>IF(Q327=11,0,G327*Q327)</f>
        <v>0</v>
      </c>
      <c r="AU327" s="1806"/>
      <c r="AV327" s="1806"/>
      <c r="BC327" s="7"/>
      <c r="BD327" s="816"/>
      <c r="BE327" s="110"/>
      <c r="BF327" s="477"/>
      <c r="BG327" s="113"/>
      <c r="BH327" s="481"/>
      <c r="BI327" s="113"/>
      <c r="BJ327" s="482"/>
      <c r="BK327" s="478"/>
    </row>
    <row r="328" spans="2:63" ht="32" customHeight="1" thickBot="1" x14ac:dyDescent="0.25">
      <c r="B328" s="2030"/>
      <c r="C328" s="809" t="s">
        <v>747</v>
      </c>
      <c r="D328" s="810" t="str">
        <f>_xlfn.XLOOKUP(H328,H326:H327,D326:D327)</f>
        <v>Votre enfant répond à vos messages lorsqu’il est chez l’autre parent (tél., textos, réseaux sociaux, etc.).</v>
      </c>
      <c r="E328" s="810" t="str">
        <f>_xlfn.XLOOKUP(H328,H326:H327,E326:E327)</f>
        <v>ne répond pas à vos messages lorsqu'il est chez l'autre</v>
      </c>
      <c r="F328" s="811"/>
      <c r="G328" s="811"/>
      <c r="H328" s="811">
        <f>IF(AND(K326=TRUE,K327=FALSE),H326,IF(AND(K326=FALSE,K327=TRUE),H327,MAX(H326,H327)))</f>
        <v>20</v>
      </c>
      <c r="I328" s="1628"/>
      <c r="J328" s="812"/>
      <c r="K328" s="813" t="b">
        <f>IF(AND(K326=FALSE,K327=FALSE),FALSE,TRUE)</f>
        <v>1</v>
      </c>
      <c r="L328" s="1611"/>
      <c r="M328" s="1611"/>
      <c r="N328" s="1611"/>
      <c r="O328" s="1629"/>
      <c r="P328" s="1628"/>
      <c r="Q328" s="812"/>
      <c r="R328" s="813" t="b">
        <f>IF(AND(R326=FALSE,R327=FALSE),FALSE,TRUE)</f>
        <v>0</v>
      </c>
      <c r="S328" s="1628"/>
      <c r="T328" s="812"/>
      <c r="U328" s="813"/>
      <c r="V328" s="931"/>
      <c r="W328" s="931"/>
      <c r="X328" s="1394"/>
      <c r="Z328" s="1398"/>
      <c r="AB328" s="1402"/>
      <c r="AD328" s="960" t="str">
        <f>IF(K328=TRUE,"V","F")</f>
        <v>V</v>
      </c>
      <c r="AE328" s="961"/>
      <c r="AF328" s="960" t="str">
        <f>IF(R328=TRUE,"V","F")</f>
        <v>F</v>
      </c>
      <c r="AG328" s="961"/>
      <c r="AH328" s="960"/>
      <c r="AI328" s="961"/>
      <c r="AK328" s="10"/>
      <c r="AL328" s="10"/>
      <c r="AM328" s="10"/>
      <c r="AN328" s="2102">
        <f>IF(AND($K326=TRUE,$K327=FALSE),AN326,IF(AND($K326=FALSE,$K327=TRUE),AN327,IF(AND($K326=TRUE,$K327=TRUE),MAX(AN326,AN327),0)))</f>
        <v>20</v>
      </c>
      <c r="AO328" s="2102">
        <f>IF(AND($R326=TRUE,$R327=FALSE),AO326,IF(AND($R326=FALSE,$R327=TRUE),AO327,IF(AND($R326=TRUE,$R327=TRUE),MAX(AO326,AO327),0)))</f>
        <v>0</v>
      </c>
      <c r="AP328" s="2102"/>
      <c r="AQ328" s="2102">
        <f>IF(AND($K326=TRUE,$K327=FALSE),AQ326,IF(AND($K326=FALSE,$K327=TRUE),AQ327,IF(AND($K326=TRUE,$K327=TRUE),MAX(AQ326,AQ327),0)))</f>
        <v>14</v>
      </c>
      <c r="AR328" s="2102">
        <f>IF(AND($K326=TRUE,$K327=FALSE),AR326,IF(AND($K326=FALSE,$K327=TRUE),AR327,IF(AND($K326=TRUE,$K327=TRUE),MAX(AR326,AR327),0)))</f>
        <v>20</v>
      </c>
      <c r="AS328" s="2102">
        <f t="shared" ref="AS328" si="314">IF(AND($R326=TRUE,$R327=FALSE),AS326,IF(AND($R326=FALSE,$R327=TRUE),AS327,IF(AND($R326=TRUE,$R327=TRUE),MAX(AS326,AS327),0)))</f>
        <v>0</v>
      </c>
      <c r="AT328" s="2102">
        <f t="shared" ref="AT328" si="315">IF(AND($R326=TRUE,$R327=FALSE),AT326,IF(AND($R326=FALSE,$R327=TRUE),AT327,IF(AND($R326=TRUE,$R327=TRUE),MAX(AT326,AT327),0)))</f>
        <v>0</v>
      </c>
      <c r="AU328" s="2102"/>
      <c r="AV328" s="2102"/>
      <c r="BD328" s="816"/>
      <c r="BE328" s="110"/>
      <c r="BF328" s="477"/>
      <c r="BG328" s="113"/>
      <c r="BH328" s="481"/>
      <c r="BI328" s="113"/>
      <c r="BJ328" s="482"/>
      <c r="BK328" s="478"/>
    </row>
    <row r="329" spans="2:63" ht="32" customHeight="1" x14ac:dyDescent="0.2">
      <c r="B329" s="2030"/>
      <c r="D329" s="421" t="s">
        <v>310</v>
      </c>
      <c r="E329" s="785"/>
      <c r="F329" s="474" t="s">
        <v>398</v>
      </c>
      <c r="G329" s="47"/>
      <c r="H329" s="47">
        <f>IF(AND(K325=TRUE,K328=FALSE),H325,IF(AND(K325=FALSE,K328=TRUE),H328,IF(AND(K325=TRUE,K328=TRUE),H325+H328,MAX(H325,H328))))</f>
        <v>28</v>
      </c>
      <c r="I329" s="1630"/>
      <c r="J329" s="475"/>
      <c r="K329" s="1613"/>
      <c r="L329" s="1614" t="str">
        <f>IF(AND(K328=TRUE,K325=TRUE),E328,"")</f>
        <v>ne répond pas à vos messages lorsqu'il est chez l'autre</v>
      </c>
      <c r="M329" s="1614" t="str">
        <f>IF(AND(K325=TRUE,K328=FALSE),"Bien que le parent "&amp;E325&amp;" l'enfant ne semble pas s'ingérer","")</f>
        <v/>
      </c>
      <c r="N329" s="1614" t="str">
        <f>IF(AND(K325=FALSE,K328=TRUE),E328&amp;" sans signe de la participation du parent favorisé et|ou nouveau conjoint.e","")</f>
        <v/>
      </c>
      <c r="O329" s="1631" t="str">
        <f>IF(AND(K325=FALSE,K328=FALSE),"aucun comportement significatif de cette nature","")</f>
        <v/>
      </c>
      <c r="P329" s="1630"/>
      <c r="Q329" s="475"/>
      <c r="R329" s="1639"/>
      <c r="S329" s="1630"/>
      <c r="T329" s="475"/>
      <c r="U329" s="1639"/>
      <c r="V329" s="170"/>
      <c r="W329" s="170"/>
      <c r="X329" s="1394"/>
      <c r="Z329" s="1398"/>
      <c r="AB329" s="1402"/>
      <c r="AD329" s="962"/>
      <c r="AE329" s="963">
        <f>IF(AND(AD325="V",AD328="V"),2,IF(OR(AD325="V",AD328="V"),1,0))</f>
        <v>2</v>
      </c>
      <c r="AF329" s="962"/>
      <c r="AG329" s="963">
        <f>IF(OR(AF325="V",AF328="V"),1,0)</f>
        <v>0</v>
      </c>
      <c r="AH329" s="962"/>
      <c r="AI329" s="963"/>
      <c r="AK329" s="10"/>
      <c r="AL329" s="10"/>
      <c r="AM329" s="10"/>
      <c r="AN329" s="2097">
        <f>IF(AND($AD325="V",$AD328="F"),AN325,IF(AND($AD325="F",$AD328="V"),AN328,IF(AND($AD325="V",$AD328="V"),AN325+AN328,0)))</f>
        <v>28</v>
      </c>
      <c r="AO329" s="2097">
        <f>IF(AND($AF325="V",$AF328="F"),AO325,IF(AND($AF325="F",$AF328="V"),AO328,IF(AND($AF325="V",$AF328="V"),AO325+AO328,0)))</f>
        <v>0</v>
      </c>
      <c r="AP329" s="2097"/>
      <c r="AQ329" s="2097">
        <f>IF(AND($AD325="V",$AD328="F"),AQ325,IF(AND($AD325="F",$AD328="V"),AQ328,IF(AND($AD325="V",$AD328="V"),AQ325+AQ328,0)))</f>
        <v>22</v>
      </c>
      <c r="AR329" s="2097">
        <f>IF(AND($AD325="V",$AD328="F"),AR325,IF(AND($AD325="F",$AD328="V"),AR328,IF(AND($AD325="V",$AD328="V"),AR325+AR328,0)))</f>
        <v>40</v>
      </c>
      <c r="AS329" s="2097">
        <f>IF(AND($AF325="V",$AF328="F"),AS325,IF(AND($AF325="F",$AF328="V"),AS328,IF(AND($AF325="V",$AF328="V"),AS325+AS328,0)))</f>
        <v>0</v>
      </c>
      <c r="AT329" s="2097">
        <f>IF(AND($AF325="V",$AF328="F"),AT325,IF(AND($AF325="F",$AF328="V"),AT328,IF(AND($AF325="V",$AF328="V"),AT325+AT328,0)))</f>
        <v>0</v>
      </c>
      <c r="AU329" s="2097"/>
      <c r="AV329" s="2097"/>
      <c r="BD329" s="816"/>
      <c r="BE329" s="110"/>
      <c r="BF329" s="477"/>
      <c r="BG329" s="113"/>
      <c r="BH329" s="481"/>
      <c r="BI329" s="113"/>
      <c r="BJ329" s="482"/>
      <c r="BK329" s="478"/>
    </row>
    <row r="330" spans="2:63" ht="32" customHeight="1" x14ac:dyDescent="0.2">
      <c r="B330" s="2030"/>
      <c r="C330" t="s">
        <v>243</v>
      </c>
      <c r="I330" s="146"/>
      <c r="L330" s="46"/>
      <c r="M330" s="46"/>
      <c r="N330" s="46"/>
      <c r="O330" s="1652"/>
      <c r="P330" s="146"/>
      <c r="R330" s="326"/>
      <c r="S330" s="146"/>
      <c r="U330" s="326"/>
      <c r="V330" s="46"/>
      <c r="AD330" s="960"/>
      <c r="AE330" s="961"/>
      <c r="AF330" s="960"/>
      <c r="AG330" s="961"/>
      <c r="AH330" s="960"/>
      <c r="AI330" s="961"/>
      <c r="AK330" s="10"/>
      <c r="AL330" s="10"/>
      <c r="AM330" s="10"/>
      <c r="AN330" s="975"/>
      <c r="AO330" s="975"/>
      <c r="AP330" s="975"/>
      <c r="AQ330" s="1806"/>
      <c r="AR330" s="1806"/>
      <c r="AS330" s="1806"/>
      <c r="AT330" s="1806"/>
      <c r="AU330" s="1806"/>
      <c r="AV330" s="1806"/>
      <c r="BD330" s="816"/>
      <c r="BE330" s="110"/>
      <c r="BF330" s="477"/>
      <c r="BG330" s="113"/>
      <c r="BH330" s="481"/>
      <c r="BI330" s="113"/>
      <c r="BJ330" s="482"/>
      <c r="BK330" s="478"/>
    </row>
    <row r="331" spans="2:63" ht="32" customHeight="1" x14ac:dyDescent="0.2">
      <c r="B331" s="2030"/>
      <c r="C331" s="964"/>
      <c r="D331" s="972"/>
      <c r="E331" s="965"/>
      <c r="F331" s="973"/>
      <c r="G331" s="973"/>
      <c r="H331" s="973">
        <f>F331*G331</f>
        <v>0</v>
      </c>
      <c r="I331" s="1647">
        <v>11</v>
      </c>
      <c r="J331" s="1648">
        <v>11</v>
      </c>
      <c r="K331" s="45" t="b">
        <f>IF(AND(F331&gt;=I331,F331&lt;=J331),TRUE,FALSE)</f>
        <v>0</v>
      </c>
      <c r="L331" s="32"/>
      <c r="M331" s="32"/>
      <c r="N331" s="32"/>
      <c r="O331" s="1632"/>
      <c r="P331" s="1647">
        <v>11</v>
      </c>
      <c r="Q331" s="1648">
        <v>11</v>
      </c>
      <c r="R331" s="1623" t="b">
        <f>IF(AND(F331&gt;=P331,F331&lt;=Q331),TRUE,FALSE)</f>
        <v>0</v>
      </c>
      <c r="S331" s="1647">
        <v>11</v>
      </c>
      <c r="T331" s="1648">
        <v>11</v>
      </c>
      <c r="U331" s="1623" t="b">
        <f>IF(AND(F331&gt;=S331,F331&lt;=T331),TRUE,FALSE)</f>
        <v>0</v>
      </c>
      <c r="V331" s="46"/>
      <c r="W331" s="1428"/>
      <c r="X331" s="1422">
        <v>11</v>
      </c>
      <c r="Y331" s="1423"/>
      <c r="Z331" s="1424">
        <v>11</v>
      </c>
      <c r="AA331" s="1423"/>
      <c r="AB331" s="1416">
        <v>11</v>
      </c>
      <c r="AD331" s="960"/>
      <c r="AE331" s="961"/>
      <c r="AF331" s="960"/>
      <c r="AG331" s="961"/>
      <c r="AH331" s="960"/>
      <c r="AI331" s="961"/>
      <c r="AK331" s="10"/>
      <c r="AL331" s="10"/>
      <c r="AM331" s="10"/>
      <c r="AN331" s="975">
        <f>IF($K331=TRUE,H331,0)</f>
        <v>0</v>
      </c>
      <c r="AO331" s="975">
        <f>IF($R331=TRUE,H331,0)</f>
        <v>0</v>
      </c>
      <c r="AP331" s="975">
        <f>IF($U331=TRUE,H331,0)</f>
        <v>0</v>
      </c>
      <c r="AQ331" s="1806">
        <f>IF(I331=11,0,G331*I331)</f>
        <v>0</v>
      </c>
      <c r="AR331" s="1806">
        <f>IF(J331=11,0,G331*J331)</f>
        <v>0</v>
      </c>
      <c r="AS331" s="1806">
        <f>IF(P331=11,0,G331*P331)</f>
        <v>0</v>
      </c>
      <c r="AT331" s="1806">
        <f>IF(Q331=11,0,G331*Q331)</f>
        <v>0</v>
      </c>
      <c r="AU331" s="1806">
        <f>IF(S331=11,0,S331*G331)</f>
        <v>0</v>
      </c>
      <c r="AV331" s="1806">
        <f>IF(T331=11,0,T331*G331)</f>
        <v>0</v>
      </c>
      <c r="BD331" s="816"/>
      <c r="BE331" s="110"/>
      <c r="BF331" s="477"/>
      <c r="BG331" s="113"/>
      <c r="BH331" s="481"/>
      <c r="BI331" s="113"/>
      <c r="BJ331" s="482"/>
      <c r="BK331" s="478"/>
    </row>
    <row r="332" spans="2:63" ht="32" customHeight="1" thickBot="1" x14ac:dyDescent="0.25">
      <c r="B332" s="2030"/>
      <c r="C332" s="964"/>
      <c r="D332" s="972"/>
      <c r="E332" s="965"/>
      <c r="F332" s="973"/>
      <c r="G332" s="973"/>
      <c r="H332" s="973">
        <f>F332*G332</f>
        <v>0</v>
      </c>
      <c r="I332" s="1647">
        <v>11</v>
      </c>
      <c r="J332" s="1648">
        <v>11</v>
      </c>
      <c r="K332" s="45" t="b">
        <f>IF(AND(F332&gt;=I332,F332&lt;=J332),TRUE,FALSE)</f>
        <v>0</v>
      </c>
      <c r="L332" s="32"/>
      <c r="M332" s="32"/>
      <c r="N332" s="32"/>
      <c r="O332" s="1632"/>
      <c r="P332" s="1647">
        <v>11</v>
      </c>
      <c r="Q332" s="1648">
        <v>11</v>
      </c>
      <c r="R332" s="1623" t="b">
        <f>IF(AND(F332&gt;=P332,F332&lt;=Q332),TRUE,FALSE)</f>
        <v>0</v>
      </c>
      <c r="S332" s="1647">
        <v>11</v>
      </c>
      <c r="T332" s="1648">
        <v>11</v>
      </c>
      <c r="U332" s="1623" t="b">
        <f>IF(AND(F332&gt;=S332,F332&lt;=T332),TRUE,FALSE)</f>
        <v>0</v>
      </c>
      <c r="W332" s="1429"/>
      <c r="X332" s="1425">
        <v>11</v>
      </c>
      <c r="Y332" s="1426"/>
      <c r="Z332" s="1427">
        <v>11</v>
      </c>
      <c r="AA332" s="1426"/>
      <c r="AB332" s="1421">
        <v>11</v>
      </c>
      <c r="AD332" s="960"/>
      <c r="AE332" s="961"/>
      <c r="AF332" s="960"/>
      <c r="AG332" s="961"/>
      <c r="AH332" s="960"/>
      <c r="AI332" s="961"/>
      <c r="AK332" s="10"/>
      <c r="AL332" s="10"/>
      <c r="AM332" s="10"/>
      <c r="AN332" s="975">
        <f>IF($K332=TRUE,H332,0)</f>
        <v>0</v>
      </c>
      <c r="AO332" s="975">
        <f>IF($R332=TRUE,H332,0)</f>
        <v>0</v>
      </c>
      <c r="AP332" s="975">
        <f>IF($U332=TRUE,H332,0)</f>
        <v>0</v>
      </c>
      <c r="AQ332" s="1806">
        <f>IF(I332=11,0,G332*I332)</f>
        <v>0</v>
      </c>
      <c r="AR332" s="1806">
        <f>IF(J332=11,0,G332*J332)</f>
        <v>0</v>
      </c>
      <c r="AS332" s="1806">
        <f>IF(P332=11,0,G332*P332)</f>
        <v>0</v>
      </c>
      <c r="AT332" s="1806">
        <f>IF(Q332=11,0,G332*Q332)</f>
        <v>0</v>
      </c>
      <c r="AU332" s="1806">
        <f>IF(S332=11,0,S332*G332)</f>
        <v>0</v>
      </c>
      <c r="AV332" s="1806">
        <f>IF(T332=11,0,T332*G332)</f>
        <v>0</v>
      </c>
      <c r="BD332" s="816"/>
      <c r="BE332" s="110"/>
      <c r="BF332" s="477"/>
      <c r="BG332" s="113"/>
      <c r="BH332" s="481"/>
      <c r="BI332" s="113"/>
      <c r="BJ332" s="482"/>
      <c r="BK332" s="478"/>
    </row>
    <row r="333" spans="2:63" ht="32" customHeight="1" thickBot="1" x14ac:dyDescent="0.25">
      <c r="B333" s="2030"/>
      <c r="C333" s="7"/>
      <c r="D333" s="297"/>
      <c r="E333" s="297"/>
      <c r="F333" s="89"/>
      <c r="G333" s="16"/>
      <c r="H333" s="47">
        <f>IF(AND(K331=TRUE,K332=FALSE),H331,IF(AND(K331=FALSE,K332=TRUE),H332,MAX(H331,H332)))</f>
        <v>0</v>
      </c>
      <c r="I333" s="1644"/>
      <c r="J333" s="1645"/>
      <c r="K333" s="1651" t="b">
        <f>IF(AND(K331=FALSE,K332=FALSE),FALSE,TRUE)</f>
        <v>0</v>
      </c>
      <c r="L333" s="1633"/>
      <c r="M333" s="1634"/>
      <c r="N333" s="1634"/>
      <c r="O333" s="1635"/>
      <c r="P333" s="1644"/>
      <c r="Q333" s="1645"/>
      <c r="R333" s="1651" t="b">
        <f>IF(AND(R331=FALSE,R332=FALSE),FALSE,TRUE)</f>
        <v>0</v>
      </c>
      <c r="S333" s="1656"/>
      <c r="T333" s="1657"/>
      <c r="U333" s="1658" t="b">
        <f>IF(AND(U331=FALSE,U332=FALSE),FALSE,TRUE)</f>
        <v>0</v>
      </c>
      <c r="AD333" s="1564" t="str">
        <f>IF(K333=TRUE,"V","F")</f>
        <v>F</v>
      </c>
      <c r="AE333" s="1565"/>
      <c r="AF333" s="1564" t="str">
        <f>IF(R333=TRUE,"V","F")</f>
        <v>F</v>
      </c>
      <c r="AG333" s="1565"/>
      <c r="AH333" s="1564" t="str">
        <f>IF(U333=TRUE,"V","F")</f>
        <v>F</v>
      </c>
      <c r="AI333" s="1565"/>
      <c r="AK333" s="10"/>
      <c r="AL333" s="10"/>
      <c r="AM333" s="10"/>
      <c r="AN333" s="2102">
        <f>IF(AND($K331=TRUE,$K332=FALSE),AN331,IF(AND($K331=FALSE,$K332=TRUE),AN332,MAX(AN331,AN332)))</f>
        <v>0</v>
      </c>
      <c r="AO333" s="2102">
        <f>IF(AND($R331=TRUE,$R332=FALSE),AO331,IF(AND($R331=FALSE,$R332=TRUE),AO332,MAX(AO331,AO332)))</f>
        <v>0</v>
      </c>
      <c r="AP333" s="2102">
        <f>IF(AND($U331=TRUE,$U332=FALSE),AP331,IF(AND($U331=FALSE,$U332=TRUE),AP332,MAX(AP331,AP332)))</f>
        <v>0</v>
      </c>
      <c r="AQ333" s="2102">
        <f>IF(AND($K331=TRUE,$K332=FALSE),AQ331,IF(AND($K331=FALSE,$K332=TRUE),AQ332,MAX(AQ331,AQ332)))</f>
        <v>0</v>
      </c>
      <c r="AR333" s="2102">
        <f>IF(AND($K331=TRUE,$K332=FALSE),AR331,IF(AND($K331=FALSE,$K332=TRUE),AR332,MAX(AR331,AR332)))</f>
        <v>0</v>
      </c>
      <c r="AS333" s="2102">
        <f>IF(AND($R331=TRUE,$R332=FALSE),AS331,IF(AND($R331=FALSE,$R332=TRUE),AS332,MAX(AS331,AS332)))</f>
        <v>0</v>
      </c>
      <c r="AT333" s="2102">
        <f>IF(AND($R331=TRUE,$R332=FALSE),AT331,IF(AND($R331=FALSE,$R332=TRUE),AT332,MAX(AT331,AT332)))</f>
        <v>0</v>
      </c>
      <c r="AU333" s="2102">
        <f>IF(AND($U331=TRUE,$U332=FALSE),AU331,IF(AND($U331=FALSE,$U332=TRUE),AU332,MAX(AU331,AU332)))</f>
        <v>0</v>
      </c>
      <c r="AV333" s="2102">
        <f>IF(AND($U331=TRUE,$U332=FALSE),AV331,IF(AND($U331=FALSE,$U332=TRUE),AV332,MAX(AV331,AV332)))</f>
        <v>0</v>
      </c>
      <c r="BD333" s="816"/>
      <c r="BE333" s="110"/>
      <c r="BF333" s="477"/>
      <c r="BG333" s="113"/>
      <c r="BH333" s="481"/>
      <c r="BI333" s="113"/>
      <c r="BJ333" s="482"/>
      <c r="BK333" s="478"/>
    </row>
    <row r="334" spans="2:63" ht="32" customHeight="1" thickBot="1" x14ac:dyDescent="0.35">
      <c r="D334" s="16"/>
      <c r="E334" s="16"/>
      <c r="F334" s="89"/>
      <c r="G334" s="473"/>
      <c r="H334" s="473"/>
      <c r="I334" s="8"/>
      <c r="J334" s="8"/>
      <c r="K334" s="932"/>
      <c r="L334" s="933"/>
      <c r="M334" s="933"/>
      <c r="N334" s="933"/>
      <c r="O334" s="933"/>
      <c r="P334" s="933"/>
      <c r="Q334" s="933"/>
      <c r="R334" s="933"/>
      <c r="S334" s="933"/>
      <c r="T334" s="933"/>
      <c r="U334" s="933"/>
      <c r="V334" s="933"/>
      <c r="W334" s="933"/>
      <c r="AD334" s="1649"/>
      <c r="AE334" s="1650">
        <f>IF(AND(AD333="V",AD325="V"),AE329-1,AE329)</f>
        <v>2</v>
      </c>
      <c r="AF334" s="1649"/>
      <c r="AG334" s="1650">
        <f>IF(OR(AF325="V",AF328="V",AF333="V"),1,0)</f>
        <v>0</v>
      </c>
      <c r="AH334" s="1649"/>
      <c r="AI334" s="1650">
        <f>IF(AH325="V",1,IF(AH333="V",1,0))</f>
        <v>1</v>
      </c>
      <c r="AK334" s="10">
        <v>1</v>
      </c>
      <c r="AL334" s="10">
        <v>1</v>
      </c>
      <c r="AM334" s="10">
        <v>1</v>
      </c>
      <c r="AN334" s="2101">
        <f>IF($AD333="F",AN329,AN329+AN333)</f>
        <v>28</v>
      </c>
      <c r="AO334" s="2101">
        <f>IF($AF333="F",AO329,AO329+AO333)</f>
        <v>0</v>
      </c>
      <c r="AP334" s="2101">
        <f>IF(AND($AH325="V",$AH333="F"),AP325,IF(AND($AH325="F",$AH333="V"),AP333,IF(AND($AH325="V",$AH333="V"),AP325+AP333,0)))</f>
        <v>8</v>
      </c>
      <c r="AQ334" s="2101">
        <f>IF($AD333="F",AQ329,AQ329+AQ333)</f>
        <v>22</v>
      </c>
      <c r="AR334" s="2101">
        <f t="shared" ref="AR334" si="316">IF($AD333="F",AR329,AR329+AR333)</f>
        <v>40</v>
      </c>
      <c r="AS334" s="2101">
        <f t="shared" ref="AS334" si="317">IF($AF333="F",AS329,AS329+AS333)</f>
        <v>0</v>
      </c>
      <c r="AT334" s="2101">
        <f t="shared" ref="AT334" si="318">IF($AF333="F",AT329,AT329+AT333)</f>
        <v>0</v>
      </c>
      <c r="AU334" s="2101">
        <f t="shared" ref="AU334" si="319">IF(AND($AH325="V",$AH333="F"),AU325,IF(AND($AH325="F",$AH333="V"),AU333,IF(AND($AH325="V",$AH333="V"),AU325+AU333,0)))</f>
        <v>4</v>
      </c>
      <c r="AV334" s="2101">
        <f t="shared" ref="AV334" si="320">IF(AND($AH325="V",$AH333="F"),AV325,IF(AND($AH325="F",$AH333="V"),AV333,IF(AND($AH325="V",$AH333="V"),AV325+AV333,0)))</f>
        <v>14</v>
      </c>
      <c r="BD334" s="816"/>
      <c r="BE334" s="110"/>
      <c r="BF334" s="477"/>
      <c r="BG334" s="113"/>
      <c r="BH334" s="481"/>
      <c r="BI334" s="113"/>
      <c r="BJ334" s="482"/>
      <c r="BK334" s="478"/>
    </row>
    <row r="335" spans="2:63" ht="32" customHeight="1" x14ac:dyDescent="0.3">
      <c r="D335" s="16"/>
      <c r="E335" s="16"/>
      <c r="F335" s="89"/>
      <c r="G335" s="473"/>
      <c r="H335" s="473"/>
      <c r="I335" s="1616"/>
      <c r="J335" s="1617"/>
      <c r="K335" s="1618"/>
      <c r="L335" s="2268"/>
      <c r="M335" s="2268"/>
      <c r="N335" s="2268"/>
      <c r="O335" s="1619"/>
      <c r="P335" s="1636"/>
      <c r="Q335" s="1618"/>
      <c r="R335" s="1619"/>
      <c r="S335" s="1636"/>
      <c r="T335" s="1618"/>
      <c r="U335" s="1619"/>
      <c r="V335" s="170"/>
      <c r="W335" s="170"/>
      <c r="AD335" s="1668"/>
      <c r="AE335" s="1669"/>
      <c r="AF335" s="1409"/>
      <c r="AG335" s="1409"/>
      <c r="AH335" s="1409"/>
      <c r="AI335" s="1409"/>
      <c r="AK335" s="10"/>
      <c r="AL335" s="10"/>
      <c r="AM335" s="10"/>
      <c r="BD335" s="816"/>
      <c r="BE335" s="110"/>
      <c r="BF335" s="477"/>
      <c r="BG335" s="113"/>
      <c r="BH335" s="481"/>
      <c r="BI335" s="113"/>
      <c r="BJ335" s="482"/>
      <c r="BK335" s="478"/>
    </row>
    <row r="336" spans="2:63" ht="32" customHeight="1" x14ac:dyDescent="0.3">
      <c r="B336" s="2029">
        <v>17</v>
      </c>
      <c r="D336" s="476" t="str">
        <f>'Action-Réaction finale'!F54</f>
        <v>Contact de l'enfant avec la famille élargie</v>
      </c>
      <c r="E336" s="107"/>
      <c r="F336" s="65"/>
      <c r="G336" s="18"/>
      <c r="H336" s="18"/>
      <c r="I336" s="2255" t="s">
        <v>734</v>
      </c>
      <c r="J336" s="2256"/>
      <c r="K336" s="2256"/>
      <c r="L336" s="2257" t="s">
        <v>1378</v>
      </c>
      <c r="M336" s="2257"/>
      <c r="N336" s="2257"/>
      <c r="O336" s="2258"/>
      <c r="P336" s="2259" t="s">
        <v>733</v>
      </c>
      <c r="Q336" s="2260"/>
      <c r="R336" s="2261"/>
      <c r="S336" s="2262" t="s">
        <v>735</v>
      </c>
      <c r="T336" s="2263"/>
      <c r="U336" s="2264"/>
      <c r="V336" s="15"/>
      <c r="W336" s="15"/>
      <c r="AD336" s="956"/>
      <c r="AE336" s="956"/>
      <c r="AF336" s="956"/>
      <c r="AG336" s="956"/>
      <c r="AH336" s="956"/>
      <c r="AI336" s="957"/>
      <c r="AK336" s="10"/>
      <c r="AL336" s="10"/>
      <c r="AM336" s="10"/>
      <c r="AN336" s="1659" t="s">
        <v>734</v>
      </c>
      <c r="AO336" s="1659" t="s">
        <v>733</v>
      </c>
      <c r="AP336" s="1659" t="s">
        <v>735</v>
      </c>
      <c r="AQ336" s="2254" t="s">
        <v>734</v>
      </c>
      <c r="AR336" s="2254"/>
      <c r="AS336" s="2254" t="s">
        <v>733</v>
      </c>
      <c r="AT336" s="2254"/>
      <c r="AU336" s="2254" t="s">
        <v>735</v>
      </c>
      <c r="AV336" s="2254"/>
      <c r="BD336" s="816"/>
      <c r="BE336" s="110"/>
      <c r="BF336" s="477"/>
      <c r="BG336" s="113"/>
      <c r="BH336" s="481"/>
      <c r="BI336" s="113"/>
      <c r="BJ336" s="482"/>
      <c r="BK336" s="478"/>
    </row>
    <row r="337" spans="2:63" ht="32" customHeight="1" x14ac:dyDescent="0.3">
      <c r="D337" s="102" t="s">
        <v>998</v>
      </c>
      <c r="E337" s="983" t="s">
        <v>997</v>
      </c>
      <c r="F337" s="32" t="s">
        <v>748</v>
      </c>
      <c r="G337" s="32" t="s">
        <v>749</v>
      </c>
      <c r="H337" s="32" t="s">
        <v>750</v>
      </c>
      <c r="I337" s="1620" t="s">
        <v>306</v>
      </c>
      <c r="J337" s="43" t="s">
        <v>307</v>
      </c>
      <c r="K337" s="43" t="s">
        <v>308</v>
      </c>
      <c r="L337" s="43" t="s">
        <v>413</v>
      </c>
      <c r="M337" s="43" t="s">
        <v>388</v>
      </c>
      <c r="N337" s="43" t="s">
        <v>389</v>
      </c>
      <c r="O337" s="1621" t="s">
        <v>390</v>
      </c>
      <c r="P337" s="1620" t="s">
        <v>306</v>
      </c>
      <c r="Q337" s="43" t="s">
        <v>307</v>
      </c>
      <c r="R337" s="1621" t="s">
        <v>308</v>
      </c>
      <c r="S337" s="1620" t="s">
        <v>306</v>
      </c>
      <c r="T337" s="43" t="s">
        <v>307</v>
      </c>
      <c r="U337" s="1621" t="s">
        <v>308</v>
      </c>
      <c r="V337" s="818"/>
      <c r="W337" s="955" t="s">
        <v>928</v>
      </c>
      <c r="X337" s="1391" t="s">
        <v>734</v>
      </c>
      <c r="Y337" s="955" t="s">
        <v>928</v>
      </c>
      <c r="Z337" s="1395" t="s">
        <v>733</v>
      </c>
      <c r="AA337" s="955"/>
      <c r="AB337" s="1399" t="s">
        <v>735</v>
      </c>
      <c r="AD337" s="970" t="s">
        <v>734</v>
      </c>
      <c r="AE337" s="971" t="s">
        <v>946</v>
      </c>
      <c r="AF337" s="970" t="s">
        <v>733</v>
      </c>
      <c r="AG337" s="971" t="s">
        <v>947</v>
      </c>
      <c r="AH337" s="970" t="s">
        <v>735</v>
      </c>
      <c r="AI337" s="971" t="s">
        <v>948</v>
      </c>
      <c r="AK337" s="10"/>
      <c r="AL337" s="10"/>
      <c r="AM337" s="10"/>
      <c r="AN337" s="10"/>
      <c r="AO337" s="10"/>
      <c r="AP337" s="10"/>
      <c r="AQ337" s="1806" t="s">
        <v>1322</v>
      </c>
      <c r="AR337" s="1806" t="s">
        <v>1323</v>
      </c>
      <c r="AS337" s="1806" t="s">
        <v>1322</v>
      </c>
      <c r="AT337" s="1806" t="s">
        <v>1323</v>
      </c>
      <c r="AU337" s="1806" t="s">
        <v>1322</v>
      </c>
      <c r="AV337" s="1806" t="s">
        <v>1323</v>
      </c>
      <c r="BD337" s="816"/>
      <c r="BE337" s="110"/>
      <c r="BF337" s="477"/>
      <c r="BG337" s="113"/>
      <c r="BH337" s="481"/>
      <c r="BI337" s="113"/>
      <c r="BJ337" s="482"/>
      <c r="BK337" s="478"/>
    </row>
    <row r="338" spans="2:63" ht="62" customHeight="1" x14ac:dyDescent="0.2">
      <c r="B338" s="2030" t="str">
        <f>'Action-Réaction finale'!I54</f>
        <v>F: Interférence lien affectif ou symbolique</v>
      </c>
      <c r="C338" s="414" t="str">
        <f>'Action-Réaction finale'!G54</f>
        <v>PFA27</v>
      </c>
      <c r="D338" s="26" t="str">
        <f>Test_Bible!B217</f>
        <v/>
      </c>
      <c r="E338" s="101" t="s">
        <v>783</v>
      </c>
      <c r="F338" s="790">
        <f>Test_Bible!P217</f>
        <v>0</v>
      </c>
      <c r="G338" s="789">
        <f>Test_Bible!D217</f>
        <v>2</v>
      </c>
      <c r="H338" s="790">
        <f>F338*G338</f>
        <v>0</v>
      </c>
      <c r="I338" s="1622">
        <v>4</v>
      </c>
      <c r="J338" s="1615">
        <v>10</v>
      </c>
      <c r="K338" s="45" t="b">
        <f>IF(AND(F338&gt;=I338,F338&lt;=J338),TRUE,FALSE)</f>
        <v>0</v>
      </c>
      <c r="L338" s="45"/>
      <c r="M338" s="45"/>
      <c r="N338" s="45"/>
      <c r="O338" s="1623"/>
      <c r="P338" s="1622">
        <v>4</v>
      </c>
      <c r="Q338" s="1615">
        <v>7</v>
      </c>
      <c r="R338" s="1623" t="b">
        <f>IF(AND(F338&gt;=P338,F338&lt;=Q338),TRUE,FALSE)</f>
        <v>0</v>
      </c>
      <c r="S338" s="1622">
        <v>4</v>
      </c>
      <c r="T338" s="1615">
        <v>7</v>
      </c>
      <c r="U338" s="1623" t="b">
        <f>IF(AND(F338&gt;=S338,F338&lt;=T338),TRUE,FALSE)</f>
        <v>0</v>
      </c>
      <c r="V338" s="931"/>
      <c r="W338" s="1403"/>
      <c r="X338" s="1404">
        <v>4</v>
      </c>
      <c r="Y338" s="1405"/>
      <c r="Z338" s="1408">
        <v>4</v>
      </c>
      <c r="AA338" s="1405"/>
      <c r="AB338" s="1415">
        <v>4</v>
      </c>
      <c r="AD338" s="958"/>
      <c r="AE338" s="959"/>
      <c r="AF338" s="958"/>
      <c r="AG338" s="959"/>
      <c r="AH338" s="958"/>
      <c r="AI338" s="959"/>
      <c r="AK338" s="10"/>
      <c r="AL338" s="10"/>
      <c r="AM338" s="10"/>
      <c r="AN338" s="975">
        <f>IF($K338=TRUE,H338,0)</f>
        <v>0</v>
      </c>
      <c r="AO338" s="975">
        <f>IF($R338=TRUE,H338,0)</f>
        <v>0</v>
      </c>
      <c r="AP338" s="975">
        <f>IF($U338=TRUE,H338,0)</f>
        <v>0</v>
      </c>
      <c r="AQ338" s="1806">
        <f>IF(I338=11,0,G338*I338)</f>
        <v>8</v>
      </c>
      <c r="AR338" s="1806">
        <f>IF(J338=11,0,G338*J338)</f>
        <v>20</v>
      </c>
      <c r="AS338" s="1806">
        <f>IF(P338=11,0,G338*P338)</f>
        <v>8</v>
      </c>
      <c r="AT338" s="1806">
        <f>IF(Q338=11,0,G338*Q338)</f>
        <v>14</v>
      </c>
      <c r="AU338" s="1806">
        <f>IF(S338=11,0,S338*G338)</f>
        <v>8</v>
      </c>
      <c r="AV338" s="1806">
        <f>IF(T338=11,0,T338*G338)</f>
        <v>14</v>
      </c>
      <c r="BD338" s="816"/>
      <c r="BE338" s="110"/>
      <c r="BF338" s="477"/>
      <c r="BG338" s="113"/>
      <c r="BH338" s="481"/>
      <c r="BI338" s="113"/>
      <c r="BJ338" s="482"/>
      <c r="BK338" s="478"/>
    </row>
    <row r="339" spans="2:63" ht="32" customHeight="1" x14ac:dyDescent="0.2">
      <c r="B339" s="1847"/>
      <c r="C339" s="414" t="s">
        <v>293</v>
      </c>
      <c r="D339" s="26"/>
      <c r="E339" s="101"/>
      <c r="F339" s="790"/>
      <c r="G339" s="789"/>
      <c r="H339" s="790">
        <f>F339*G339</f>
        <v>0</v>
      </c>
      <c r="I339" s="1647">
        <v>11</v>
      </c>
      <c r="J339" s="1648">
        <v>11</v>
      </c>
      <c r="K339" s="45" t="b">
        <f>IF(AND(F339&gt;=I339,F339&lt;=J339),TRUE,FALSE)</f>
        <v>0</v>
      </c>
      <c r="L339" s="45"/>
      <c r="M339" s="45"/>
      <c r="N339" s="45"/>
      <c r="O339" s="1623"/>
      <c r="P339" s="1647">
        <v>11</v>
      </c>
      <c r="Q339" s="1648">
        <v>11</v>
      </c>
      <c r="R339" s="1623" t="b">
        <f>IF(AND(F339&gt;=P339,F339&lt;=Q339),TRUE,FALSE)</f>
        <v>0</v>
      </c>
      <c r="S339" s="1647">
        <v>11</v>
      </c>
      <c r="T339" s="1648">
        <v>11</v>
      </c>
      <c r="U339" s="1623" t="b">
        <f>IF(AND(F339&gt;=S339,F339&lt;=T339),TRUE,FALSE)</f>
        <v>0</v>
      </c>
      <c r="V339" s="931"/>
      <c r="W339" s="1406" t="s">
        <v>943</v>
      </c>
      <c r="X339" s="1425">
        <v>11</v>
      </c>
      <c r="Y339" s="1426"/>
      <c r="Z339" s="1427">
        <v>11</v>
      </c>
      <c r="AA339" s="1426"/>
      <c r="AB339" s="1421">
        <v>11</v>
      </c>
      <c r="AD339" s="960"/>
      <c r="AE339" s="961"/>
      <c r="AF339" s="960"/>
      <c r="AG339" s="961"/>
      <c r="AH339" s="960"/>
      <c r="AI339" s="961"/>
      <c r="AK339" s="10"/>
      <c r="AL339" s="10"/>
      <c r="AM339" s="10"/>
      <c r="AN339" s="975">
        <f>IF($K339=TRUE,H339,0)</f>
        <v>0</v>
      </c>
      <c r="AO339" s="975">
        <f>IF($R339=TRUE,H339,0)</f>
        <v>0</v>
      </c>
      <c r="AP339" s="975">
        <f>IF($U339=TRUE,H339,0)</f>
        <v>0</v>
      </c>
      <c r="AQ339" s="1806">
        <f>IF(I339=11,0,G339*I339)</f>
        <v>0</v>
      </c>
      <c r="AR339" s="1806">
        <f>IF(J339=11,0,G339*J339)</f>
        <v>0</v>
      </c>
      <c r="AS339" s="1806">
        <f>IF(P339=11,0,G339*P339)</f>
        <v>0</v>
      </c>
      <c r="AT339" s="1806">
        <f>IF(Q339=11,0,G339*Q339)</f>
        <v>0</v>
      </c>
      <c r="AU339" s="1806">
        <f>IF(S339=11,0,S339*G339)</f>
        <v>0</v>
      </c>
      <c r="AV339" s="1806">
        <f>IF(T339=11,0,T339*G339)</f>
        <v>0</v>
      </c>
      <c r="BD339" s="816"/>
      <c r="BE339" s="110"/>
      <c r="BF339" s="477"/>
      <c r="BG339" s="113"/>
      <c r="BH339" s="481"/>
      <c r="BI339" s="113"/>
      <c r="BJ339" s="482"/>
      <c r="BK339" s="478"/>
    </row>
    <row r="340" spans="2:63" ht="32" customHeight="1" x14ac:dyDescent="0.2">
      <c r="B340" s="2032"/>
      <c r="C340" s="792" t="s">
        <v>745</v>
      </c>
      <c r="D340" s="793" t="str">
        <f>_xlfn.XLOOKUP(H340,H338:H339,D338:D339)</f>
        <v/>
      </c>
      <c r="E340" s="794" t="str">
        <f>_xlfn.XLOOKUP(H340,H338:H339,E338:E339)</f>
        <v>limite les contacts de l'enfant avec la famille élargie</v>
      </c>
      <c r="F340" s="795"/>
      <c r="G340" s="795"/>
      <c r="H340" s="795">
        <f>IF(AND(K338=TRUE,K339=FALSE),H338,IF(AND(K338=FALSE,K339=TRUE),H339,MAX(H338,H339)))</f>
        <v>0</v>
      </c>
      <c r="I340" s="1624"/>
      <c r="J340" s="796"/>
      <c r="K340" s="797" t="b">
        <f>IF(AND(K338=FALSE,K339=FALSE),FALSE,TRUE)</f>
        <v>0</v>
      </c>
      <c r="L340" s="45"/>
      <c r="M340" s="45"/>
      <c r="N340" s="45"/>
      <c r="O340" s="1623"/>
      <c r="P340" s="1624"/>
      <c r="Q340" s="796"/>
      <c r="R340" s="1637" t="b">
        <f>IF(AND(R338=FALSE,R339=FALSE),FALSE,TRUE)</f>
        <v>0</v>
      </c>
      <c r="S340" s="1624"/>
      <c r="T340" s="796"/>
      <c r="U340" s="1637" t="b">
        <f>IF(AND(U338=FALSE,U339=FALSE),FALSE,TRUE)</f>
        <v>0</v>
      </c>
      <c r="V340" s="931"/>
      <c r="W340" s="931" t="s">
        <v>943</v>
      </c>
      <c r="X340" s="1392"/>
      <c r="Y340" s="8"/>
      <c r="Z340" s="1397"/>
      <c r="AA340" s="8"/>
      <c r="AB340" s="1400"/>
      <c r="AD340" s="960"/>
      <c r="AE340" s="961"/>
      <c r="AF340" s="960"/>
      <c r="AG340" s="961"/>
      <c r="AH340" s="960"/>
      <c r="AI340" s="961"/>
      <c r="AK340" s="10"/>
      <c r="AL340" s="10"/>
      <c r="AM340" s="10"/>
      <c r="AN340" s="2100">
        <f>IF($K340=TRUE,MAX(AN338:AN339),0)</f>
        <v>0</v>
      </c>
      <c r="AO340" s="2100">
        <f>IF($R340=TRUE,MAX(AO338:AO339),0)</f>
        <v>0</v>
      </c>
      <c r="AP340" s="2100">
        <f>IF($U340=TRUE,MAX(AP338:AP339),0)</f>
        <v>0</v>
      </c>
      <c r="AQ340" s="2099">
        <f>MAX(AQ338:AQ339)</f>
        <v>8</v>
      </c>
      <c r="AR340" s="2099">
        <f t="shared" ref="AR340" si="321">MAX(AR338:AR339)</f>
        <v>20</v>
      </c>
      <c r="AS340" s="2099">
        <f t="shared" ref="AS340" si="322">MAX(AS338:AS339)</f>
        <v>8</v>
      </c>
      <c r="AT340" s="2099">
        <f t="shared" ref="AT340" si="323">MAX(AT338:AT339)</f>
        <v>14</v>
      </c>
      <c r="AU340" s="2099">
        <f t="shared" ref="AU340" si="324">MAX(AU338:AU339)</f>
        <v>8</v>
      </c>
      <c r="AV340" s="2099">
        <f t="shared" ref="AV340" si="325">MAX(AV338:AV339)</f>
        <v>14</v>
      </c>
      <c r="BD340" s="816"/>
      <c r="BE340" s="110"/>
      <c r="BF340" s="477"/>
      <c r="BG340" s="113"/>
      <c r="BH340" s="481"/>
      <c r="BI340" s="113"/>
      <c r="BJ340" s="482"/>
      <c r="BK340" s="478"/>
    </row>
    <row r="341" spans="2:63" ht="32" customHeight="1" x14ac:dyDescent="0.2">
      <c r="B341" s="1847"/>
      <c r="C341" s="52" t="s">
        <v>247</v>
      </c>
      <c r="D341" s="26"/>
      <c r="E341" s="101"/>
      <c r="F341" s="790"/>
      <c r="G341" s="789"/>
      <c r="H341" s="790">
        <f>F341*G341</f>
        <v>0</v>
      </c>
      <c r="I341" s="1647">
        <v>11</v>
      </c>
      <c r="J341" s="1648">
        <v>11</v>
      </c>
      <c r="K341" s="45" t="b">
        <f>IF(AND(F341&gt;=I341,F341&lt;=J341),TRUE,FALSE)</f>
        <v>0</v>
      </c>
      <c r="L341" s="45"/>
      <c r="M341" s="45"/>
      <c r="N341" s="45"/>
      <c r="O341" s="1623"/>
      <c r="P341" s="1647">
        <v>11</v>
      </c>
      <c r="Q341" s="1648">
        <v>11</v>
      </c>
      <c r="R341" s="1623" t="b">
        <f>IF(AND(F341&gt;=P341,F341&lt;=Q341),TRUE,FALSE)</f>
        <v>0</v>
      </c>
      <c r="S341" s="1647">
        <v>11</v>
      </c>
      <c r="T341" s="1648">
        <v>11</v>
      </c>
      <c r="U341" s="1623" t="b">
        <f>IF(AND(F341&gt;=S341,F341&lt;=T341),TRUE,FALSE)</f>
        <v>0</v>
      </c>
      <c r="V341" s="931"/>
      <c r="W341" s="1403"/>
      <c r="X341" s="1422">
        <v>11</v>
      </c>
      <c r="Y341" s="1423"/>
      <c r="Z341" s="1424">
        <v>11</v>
      </c>
      <c r="AA341" s="1423"/>
      <c r="AB341" s="1416">
        <v>11</v>
      </c>
      <c r="AD341" s="960"/>
      <c r="AE341" s="961"/>
      <c r="AF341" s="960"/>
      <c r="AG341" s="961"/>
      <c r="AH341" s="960"/>
      <c r="AI341" s="961"/>
      <c r="AK341" s="10"/>
      <c r="AL341" s="10"/>
      <c r="AM341" s="10"/>
      <c r="AN341" s="975">
        <f>IF(K341=TRUE,H341,0)</f>
        <v>0</v>
      </c>
      <c r="AO341" s="975">
        <f>IF(R341=TRUE,H341,0)</f>
        <v>0</v>
      </c>
      <c r="AP341" s="975">
        <f>IF(U341=TRUE,H341,0)</f>
        <v>0</v>
      </c>
      <c r="AQ341" s="1806">
        <f>IF(I341=11,0,G341*I341)</f>
        <v>0</v>
      </c>
      <c r="AR341" s="1806">
        <f>IF(J341=11,0,G341*J341)</f>
        <v>0</v>
      </c>
      <c r="AS341" s="1806">
        <f>IF(P341=11,0,G341*P341)</f>
        <v>0</v>
      </c>
      <c r="AT341" s="1806">
        <f>IF(Q341=11,0,G341*Q341)</f>
        <v>0</v>
      </c>
      <c r="AU341" s="1806">
        <f>IF(S341=11,0,S341*G341)</f>
        <v>0</v>
      </c>
      <c r="AV341" s="1806">
        <f>IF(T341=11,0,T341*G341)</f>
        <v>0</v>
      </c>
      <c r="BD341" s="816"/>
      <c r="BE341" s="110"/>
      <c r="BF341" s="477"/>
      <c r="BG341" s="113"/>
      <c r="BH341" s="481"/>
      <c r="BI341" s="113"/>
      <c r="BJ341" s="482"/>
      <c r="BK341" s="478"/>
    </row>
    <row r="342" spans="2:63" ht="32" customHeight="1" x14ac:dyDescent="0.2">
      <c r="B342" s="2030"/>
      <c r="C342" s="52" t="s">
        <v>247</v>
      </c>
      <c r="D342" s="26"/>
      <c r="E342" s="62"/>
      <c r="F342" s="35"/>
      <c r="G342" s="35"/>
      <c r="H342" s="35">
        <f>F342*G342</f>
        <v>0</v>
      </c>
      <c r="I342" s="1647">
        <v>11</v>
      </c>
      <c r="J342" s="1648">
        <v>11</v>
      </c>
      <c r="K342" s="45" t="b">
        <f>IF(AND(F342&gt;=I342,F342&lt;=J342),TRUE,FALSE)</f>
        <v>0</v>
      </c>
      <c r="L342" s="45"/>
      <c r="M342" s="45"/>
      <c r="N342" s="45"/>
      <c r="O342" s="1623"/>
      <c r="P342" s="1647">
        <v>11</v>
      </c>
      <c r="Q342" s="1648">
        <v>11</v>
      </c>
      <c r="R342" s="1623" t="b">
        <f>IF(AND(F342&gt;=P342,F342&lt;=Q342),TRUE,FALSE)</f>
        <v>0</v>
      </c>
      <c r="S342" s="1647">
        <v>11</v>
      </c>
      <c r="T342" s="1648">
        <v>11</v>
      </c>
      <c r="U342" s="1623" t="b">
        <f>IF(AND(F342&gt;=S342,F342&lt;=T342),TRUE,FALSE)</f>
        <v>0</v>
      </c>
      <c r="V342" s="931"/>
      <c r="W342" s="1406" t="s">
        <v>943</v>
      </c>
      <c r="X342" s="1425">
        <v>11</v>
      </c>
      <c r="Y342" s="1426"/>
      <c r="Z342" s="1427">
        <v>11</v>
      </c>
      <c r="AA342" s="1426"/>
      <c r="AB342" s="1421">
        <v>11</v>
      </c>
      <c r="AD342" s="960"/>
      <c r="AE342" s="961"/>
      <c r="AF342" s="960"/>
      <c r="AG342" s="961"/>
      <c r="AH342" s="960"/>
      <c r="AI342" s="961"/>
      <c r="AK342" s="10"/>
      <c r="AL342" s="10"/>
      <c r="AM342" s="10"/>
      <c r="AN342" s="975">
        <f>IF(K342=TRUE,H342,0)</f>
        <v>0</v>
      </c>
      <c r="AO342" s="975">
        <f>IF(R342=TRUE,H342,0)</f>
        <v>0</v>
      </c>
      <c r="AP342" s="975">
        <f>IF(U342=TRUE,H342,0)</f>
        <v>0</v>
      </c>
      <c r="AQ342" s="1806">
        <f>IF(I342=11,0,G342*I342)</f>
        <v>0</v>
      </c>
      <c r="AR342" s="1806">
        <f>IF(J342=11,0,G342*J342)</f>
        <v>0</v>
      </c>
      <c r="AS342" s="1806">
        <f>IF(P342=11,0,G342*P342)</f>
        <v>0</v>
      </c>
      <c r="AT342" s="1806">
        <f>IF(Q342=11,0,G342*Q342)</f>
        <v>0</v>
      </c>
      <c r="AU342" s="1806">
        <f>IF(S342=11,0,S342*G342)</f>
        <v>0</v>
      </c>
      <c r="AV342" s="1806">
        <f>IF(T342=11,0,T342*G342)</f>
        <v>0</v>
      </c>
      <c r="BC342" s="7"/>
      <c r="BD342" s="816"/>
      <c r="BE342" s="110"/>
      <c r="BF342" s="477"/>
      <c r="BG342" s="113"/>
      <c r="BH342" s="481"/>
      <c r="BI342" s="113"/>
      <c r="BJ342" s="482"/>
      <c r="BK342" s="478"/>
    </row>
    <row r="343" spans="2:63" ht="32" customHeight="1" thickBot="1" x14ac:dyDescent="0.25">
      <c r="B343" s="2030"/>
      <c r="C343" s="798" t="s">
        <v>746</v>
      </c>
      <c r="D343" s="799">
        <f>_xlfn.XLOOKUP(H343,H341:H342,D341:D342)</f>
        <v>0</v>
      </c>
      <c r="E343" s="800">
        <f>_xlfn.XLOOKUP(H343,H341:H342,E341:E342)</f>
        <v>0</v>
      </c>
      <c r="F343" s="801"/>
      <c r="G343" s="801"/>
      <c r="H343" s="795">
        <f>IF(AND(K341=TRUE,K342=FALSE),H341,IF(AND(K341=FALSE,K342=TRUE),H342,MAX(H341,H342)))</f>
        <v>0</v>
      </c>
      <c r="I343" s="1625"/>
      <c r="J343" s="802"/>
      <c r="K343" s="803" t="b">
        <f>IF(AND(K341=FALSE,K342=FALSE),FALSE,TRUE)</f>
        <v>0</v>
      </c>
      <c r="L343" s="45"/>
      <c r="M343" s="45"/>
      <c r="N343" s="45"/>
      <c r="O343" s="1623"/>
      <c r="P343" s="1625"/>
      <c r="Q343" s="802"/>
      <c r="R343" s="1638" t="b">
        <f>IF(AND(R341=FALSE,R342=FALSE),FALSE,TRUE)</f>
        <v>0</v>
      </c>
      <c r="S343" s="1625"/>
      <c r="T343" s="802"/>
      <c r="U343" s="1638" t="b">
        <f>IF(AND(U341=FALSE,U342=FALSE),FALSE,TRUE)</f>
        <v>0</v>
      </c>
      <c r="V343" s="931"/>
      <c r="W343" s="931"/>
      <c r="X343" s="1392"/>
      <c r="Y343" s="8"/>
      <c r="Z343" s="1397"/>
      <c r="AA343" s="8"/>
      <c r="AB343" s="1400"/>
      <c r="AD343" s="960"/>
      <c r="AE343" s="961"/>
      <c r="AF343" s="960"/>
      <c r="AG343" s="961"/>
      <c r="AH343" s="960"/>
      <c r="AI343" s="961"/>
      <c r="AK343" s="10"/>
      <c r="AL343" s="10"/>
      <c r="AM343" s="10"/>
      <c r="AN343" s="2100">
        <f>IF($K343=TRUE,MAX(AN341:AN342),0)</f>
        <v>0</v>
      </c>
      <c r="AO343" s="2100">
        <f>IF($R343=TRUE,MAX(AO341:AO342),0)</f>
        <v>0</v>
      </c>
      <c r="AP343" s="2100">
        <f>IF($U343=TRUE,MAX(AP341:AP342),0)</f>
        <v>0</v>
      </c>
      <c r="AQ343" s="2099">
        <f>MAX(AQ341:AQ342)</f>
        <v>0</v>
      </c>
      <c r="AR343" s="2099">
        <f t="shared" ref="AR343" si="326">MAX(AR341:AR342)</f>
        <v>0</v>
      </c>
      <c r="AS343" s="2099">
        <f t="shared" ref="AS343" si="327">MAX(AS341:AS342)</f>
        <v>0</v>
      </c>
      <c r="AT343" s="2099">
        <f t="shared" ref="AT343" si="328">MAX(AT341:AT342)</f>
        <v>0</v>
      </c>
      <c r="AU343" s="2099">
        <f t="shared" ref="AU343" si="329">MAX(AU341:AU342)</f>
        <v>0</v>
      </c>
      <c r="AV343" s="2099">
        <f t="shared" ref="AV343" si="330">MAX(AV341:AV342)</f>
        <v>0</v>
      </c>
      <c r="BC343" s="7"/>
      <c r="BD343" s="816"/>
      <c r="BE343" s="110"/>
      <c r="BF343" s="477"/>
      <c r="BG343" s="113"/>
      <c r="BH343" s="481"/>
      <c r="BI343" s="113"/>
      <c r="BJ343" s="482"/>
      <c r="BK343" s="478"/>
    </row>
    <row r="344" spans="2:63" ht="32" customHeight="1" thickBot="1" x14ac:dyDescent="0.25">
      <c r="B344" s="2030"/>
      <c r="C344" s="804" t="s">
        <v>754</v>
      </c>
      <c r="D344" s="805"/>
      <c r="E344" s="805" t="str">
        <f>IF(H344=H340,E340,E343)</f>
        <v>limite les contacts de l'enfant avec la famille élargie</v>
      </c>
      <c r="F344" s="806"/>
      <c r="G344" s="806"/>
      <c r="H344" s="806">
        <f>IF(AND(K340=TRUE,K343=FALSE),H340,IF(AND(K340=FALSE,K343=TRUE),H343,IF(AND(K340=TRUE,K343=TRUE),H340+H343,MAX(H340,H343))))</f>
        <v>0</v>
      </c>
      <c r="I344" s="1626"/>
      <c r="J344" s="807"/>
      <c r="K344" s="808" t="b">
        <f>IF(AND(K340=FALSE,K343=FALSE),FALSE,TRUE)</f>
        <v>0</v>
      </c>
      <c r="L344" s="1610"/>
      <c r="M344" s="1610"/>
      <c r="N344" s="1610"/>
      <c r="O344" s="1627"/>
      <c r="P344" s="1626"/>
      <c r="Q344" s="807"/>
      <c r="R344" s="808" t="b">
        <f>IF(AND(R340=FALSE,R343=FALSE),FALSE,TRUE)</f>
        <v>0</v>
      </c>
      <c r="S344" s="1626"/>
      <c r="T344" s="807"/>
      <c r="U344" s="808" t="b">
        <f>IF(AND(U340=FALSE,U343=FALSE),FALSE,TRUE)</f>
        <v>0</v>
      </c>
      <c r="V344" s="931"/>
      <c r="W344" s="931" t="s">
        <v>942</v>
      </c>
      <c r="X344" s="1392"/>
      <c r="Y344" s="8"/>
      <c r="Z344" s="1397"/>
      <c r="AA344" s="8"/>
      <c r="AB344" s="1400"/>
      <c r="AD344" s="960" t="str">
        <f>IF(K344=TRUE,"V","F")</f>
        <v>F</v>
      </c>
      <c r="AE344" s="961"/>
      <c r="AF344" s="960" t="str">
        <f>IF(R344=TRUE,"V","F")</f>
        <v>F</v>
      </c>
      <c r="AG344" s="961"/>
      <c r="AH344" s="960" t="str">
        <f>IF(U344=TRUE,"V","F")</f>
        <v>F</v>
      </c>
      <c r="AI344" s="961"/>
      <c r="AJ344" t="str">
        <f>IF(OR(AD344="V",AF344="V"),IF(H343&gt;H340,"Le NC contribue plus que le coparent","Le coparent joue un plus grand rôle que le NC"),"pas de contexte significatif de la part du coparent et NC")</f>
        <v>pas de contexte significatif de la part du coparent et NC</v>
      </c>
      <c r="AK344" s="10"/>
      <c r="AL344" s="10"/>
      <c r="AM344" s="10"/>
      <c r="AN344" s="631">
        <f>IF(AND($K340=TRUE,$K343=FALSE),AN340,IF(AND($K340=FALSE,$K343=TRUE),AN343,IF(AND($K340=TRUE,$K343=TRUE),AN340+AN343,0)))</f>
        <v>0</v>
      </c>
      <c r="AO344" s="631">
        <f>IF(AND($R340=TRUE,$R343=FALSE),AO340,IF(AND($R340=FALSE,$R343=TRUE),AO343,IF(AND($R340=TRUE,$R343=TRUE),AO340+AO343,0)))</f>
        <v>0</v>
      </c>
      <c r="AP344" s="631">
        <f>IF(AND($U340=TRUE,$U343=FALSE),AP340,IF(AND($U340=FALSE,$U343=TRUE),AP343,IF(AND($U340=TRUE,$U343=TRUE),AP340+AP343,0)))</f>
        <v>0</v>
      </c>
      <c r="AQ344" s="631">
        <f>IF(AND($K340=TRUE,$K343=FALSE),AQ340,IF(AND($K340=FALSE,$K343=TRUE),AQ343,IF(AND($K340=TRUE,$K343=TRUE),AQ340+AQ343,MAX(AQ340,AQ343))))</f>
        <v>8</v>
      </c>
      <c r="AR344" s="631">
        <f>IF(AND($K340=TRUE,$K343=FALSE),AR340,IF(AND($K340=FALSE,$K343=TRUE),AR343,IF(AND($K340=TRUE,$K343=TRUE),AR340+AR343,MAX(AR340,AR343))))</f>
        <v>20</v>
      </c>
      <c r="AS344" s="631">
        <f t="shared" ref="AS344" si="331">IF(AND($R340=TRUE,$R343=FALSE),AS340,IF(AND($R340=FALSE,$R343=TRUE),AS343,IF(AND($R340=TRUE,$R343=TRUE),AS340+AS343,MAX(AS340,AS343))))</f>
        <v>8</v>
      </c>
      <c r="AT344" s="631">
        <f t="shared" ref="AT344" si="332">IF(AND($R340=TRUE,$R343=FALSE),AT340,IF(AND($R340=FALSE,$R343=TRUE),AT343,IF(AND($R340=TRUE,$R343=TRUE),AT340+AT343,MAX(AT340,AT343))))</f>
        <v>14</v>
      </c>
      <c r="AU344" s="631">
        <f t="shared" ref="AU344" si="333">IF(AND($U340=TRUE,$U343=FALSE),AU340,IF(AND($U340=FALSE,$U343=TRUE),AU343,IF(AND($U340=TRUE,$U343=TRUE),AU340+AU343,MAX(AU340,AU343))))</f>
        <v>8</v>
      </c>
      <c r="AV344" s="631">
        <f t="shared" ref="AV344" si="334">IF(AND($U340=TRUE,$U343=FALSE),AV340,IF(AND($U340=FALSE,$U343=TRUE),AV343,IF(AND($U340=TRUE,$U343=TRUE),AV340+AV343,MAX(AV340,AV343))))</f>
        <v>14</v>
      </c>
      <c r="BC344" s="7"/>
      <c r="BD344" s="816"/>
      <c r="BE344" s="110"/>
      <c r="BF344" s="477"/>
      <c r="BG344" s="113"/>
      <c r="BH344" s="481"/>
      <c r="BI344" s="113"/>
      <c r="BJ344" s="482"/>
      <c r="BK344" s="478"/>
    </row>
    <row r="345" spans="2:63" ht="40" customHeight="1" x14ac:dyDescent="0.2">
      <c r="B345" s="2030" t="str">
        <f>'Action-Réaction finale'!Q54</f>
        <v>H: Rôle actif, Réponse au CC, r</v>
      </c>
      <c r="C345" s="313" t="str">
        <f>'Action-Réaction finale'!O54</f>
        <v>E35</v>
      </c>
      <c r="D345" s="26" t="str">
        <f>Test_Bible!B330</f>
        <v>Comment qualiferiez-vous la relation entre votre enfant et votre famille élargie  (cousin.es, grands-parents, etc.) ?</v>
      </c>
      <c r="E345" s="101" t="s">
        <v>784</v>
      </c>
      <c r="F345" s="790">
        <f>Test_Bible!P330</f>
        <v>4</v>
      </c>
      <c r="G345" s="790">
        <f>Test_Bible!D330</f>
        <v>1</v>
      </c>
      <c r="H345" s="790">
        <f>F345*G345</f>
        <v>4</v>
      </c>
      <c r="I345" s="1622">
        <v>4</v>
      </c>
      <c r="J345" s="1615">
        <f>$J$18</f>
        <v>10</v>
      </c>
      <c r="K345" s="45" t="b">
        <f>IF(AND(F345&gt;=I345,F345&lt;=J345),TRUE,FALSE)</f>
        <v>1</v>
      </c>
      <c r="L345" s="45"/>
      <c r="M345" s="45"/>
      <c r="N345" s="45"/>
      <c r="O345" s="1623"/>
      <c r="P345" s="1622">
        <v>2</v>
      </c>
      <c r="Q345" s="1615">
        <v>4</v>
      </c>
      <c r="R345" s="1623" t="b">
        <f>IF(AND(F345&gt;=P345,F345&lt;=Q345),TRUE,FALSE)</f>
        <v>1</v>
      </c>
      <c r="S345" s="1622"/>
      <c r="T345" s="1615"/>
      <c r="U345" s="1623"/>
      <c r="V345" s="931"/>
      <c r="W345" s="1403"/>
      <c r="X345" s="1404">
        <v>4</v>
      </c>
      <c r="Y345" s="1405"/>
      <c r="Z345" s="1408">
        <v>2</v>
      </c>
      <c r="AA345" s="1405"/>
      <c r="AB345" s="1416">
        <v>11</v>
      </c>
      <c r="AD345" s="960" t="s">
        <v>945</v>
      </c>
      <c r="AE345" s="961"/>
      <c r="AF345" s="960"/>
      <c r="AG345" s="961"/>
      <c r="AH345" s="960"/>
      <c r="AI345" s="961"/>
      <c r="AK345" s="10"/>
      <c r="AL345" s="10"/>
      <c r="AM345" s="10"/>
      <c r="AN345" s="975">
        <f>IF($K345=TRUE,H345,0)</f>
        <v>4</v>
      </c>
      <c r="AO345" s="975">
        <f>IF($R345=TRUE,H345,0)</f>
        <v>4</v>
      </c>
      <c r="AP345" s="975"/>
      <c r="AQ345" s="1806">
        <f>IF(I345=11,0,G345*I345)</f>
        <v>4</v>
      </c>
      <c r="AR345" s="1806">
        <f>IF(J345=11,0,G345*J345)</f>
        <v>10</v>
      </c>
      <c r="AS345" s="1806">
        <f>IF(P345=11,0,G345*P345)</f>
        <v>2</v>
      </c>
      <c r="AT345" s="1806">
        <f>IF(Q345=11,0,G345*Q345)</f>
        <v>4</v>
      </c>
      <c r="AU345" s="1806"/>
      <c r="AV345" s="1806"/>
      <c r="BC345" s="7"/>
      <c r="BD345" s="816"/>
      <c r="BE345" s="110"/>
      <c r="BF345" s="477"/>
      <c r="BG345" s="113"/>
      <c r="BH345" s="481"/>
      <c r="BI345" s="113"/>
      <c r="BJ345" s="482"/>
      <c r="BK345" s="478"/>
    </row>
    <row r="346" spans="2:63" ht="32" customHeight="1" thickBot="1" x14ac:dyDescent="0.25">
      <c r="B346" s="2030"/>
      <c r="C346" s="313" t="s">
        <v>309</v>
      </c>
      <c r="D346" s="26"/>
      <c r="E346" s="101"/>
      <c r="F346" s="790"/>
      <c r="G346" s="789"/>
      <c r="H346" s="790">
        <f>F346*G346</f>
        <v>0</v>
      </c>
      <c r="I346" s="1647">
        <v>11</v>
      </c>
      <c r="J346" s="1648">
        <v>11</v>
      </c>
      <c r="K346" s="45" t="b">
        <f>IF(AND(F346&gt;=I346,F346&lt;=J346),TRUE,FALSE)</f>
        <v>0</v>
      </c>
      <c r="L346" s="45"/>
      <c r="M346" s="45"/>
      <c r="N346" s="45"/>
      <c r="O346" s="1623"/>
      <c r="P346" s="1647">
        <v>11</v>
      </c>
      <c r="Q346" s="1648">
        <v>11</v>
      </c>
      <c r="R346" s="1623" t="b">
        <f>IF(AND(F346&gt;=P346,F346&lt;=Q346),TRUE,FALSE)</f>
        <v>0</v>
      </c>
      <c r="S346" s="1647"/>
      <c r="T346" s="1648"/>
      <c r="U346" s="1623"/>
      <c r="V346" s="931"/>
      <c r="W346" s="1406" t="s">
        <v>943</v>
      </c>
      <c r="X346" s="1425">
        <v>11</v>
      </c>
      <c r="Y346" s="1426"/>
      <c r="Z346" s="1427">
        <v>11</v>
      </c>
      <c r="AA346" s="1426"/>
      <c r="AB346" s="1421">
        <v>11</v>
      </c>
      <c r="AD346" s="960"/>
      <c r="AE346" s="961"/>
      <c r="AF346" s="960"/>
      <c r="AG346" s="961"/>
      <c r="AH346" s="960"/>
      <c r="AI346" s="961"/>
      <c r="AK346" s="10"/>
      <c r="AL346" s="10"/>
      <c r="AM346" s="10"/>
      <c r="AN346" s="975">
        <f>IF($K346=TRUE,H346,0)</f>
        <v>0</v>
      </c>
      <c r="AO346" s="975">
        <f>IF($R346=TRUE,H346,0)</f>
        <v>0</v>
      </c>
      <c r="AP346" s="975"/>
      <c r="AQ346" s="1806">
        <f>IF(I346=11,0,G346*I346)</f>
        <v>0</v>
      </c>
      <c r="AR346" s="1806">
        <f>IF(J346=11,0,G346*J346)</f>
        <v>0</v>
      </c>
      <c r="AS346" s="1806">
        <f>IF(P346=11,0,G346*P346)</f>
        <v>0</v>
      </c>
      <c r="AT346" s="1806">
        <f>IF(Q346=11,0,G346*Q346)</f>
        <v>0</v>
      </c>
      <c r="AU346" s="1806"/>
      <c r="AV346" s="1806"/>
      <c r="BC346" s="7"/>
      <c r="BD346" s="816"/>
      <c r="BE346" s="110"/>
      <c r="BF346" s="477"/>
      <c r="BG346" s="113"/>
      <c r="BH346" s="481"/>
      <c r="BI346" s="113"/>
      <c r="BJ346" s="482"/>
      <c r="BK346" s="478"/>
    </row>
    <row r="347" spans="2:63" ht="32" customHeight="1" thickBot="1" x14ac:dyDescent="0.25">
      <c r="B347" s="2030"/>
      <c r="C347" s="809" t="s">
        <v>747</v>
      </c>
      <c r="D347" s="810" t="str">
        <f>_xlfn.XLOOKUP(H347,H345:H346,D345:D346)</f>
        <v>Comment qualiferiez-vous la relation entre votre enfant et votre famille élargie  (cousin.es, grands-parents, etc.) ?</v>
      </c>
      <c r="E347" s="810" t="str">
        <f>_xlfn.XLOOKUP(H347,H345:H346,E345:E346)</f>
        <v>refuse les contacts avec la famille élargie</v>
      </c>
      <c r="F347" s="811"/>
      <c r="G347" s="811"/>
      <c r="H347" s="811">
        <f>IF(AND(K345=TRUE,K346=FALSE),H345,IF(AND(K345=FALSE,K346=TRUE),H346,MAX(H345,H346)))</f>
        <v>4</v>
      </c>
      <c r="I347" s="1628"/>
      <c r="J347" s="812"/>
      <c r="K347" s="813" t="b">
        <f>IF(AND(K345=FALSE,K346=FALSE),FALSE,TRUE)</f>
        <v>1</v>
      </c>
      <c r="L347" s="1611"/>
      <c r="M347" s="1611"/>
      <c r="N347" s="1611"/>
      <c r="O347" s="1629"/>
      <c r="P347" s="1628"/>
      <c r="Q347" s="812"/>
      <c r="R347" s="813" t="b">
        <f>IF(AND(R345=FALSE,R346=FALSE),FALSE,TRUE)</f>
        <v>1</v>
      </c>
      <c r="S347" s="1628"/>
      <c r="T347" s="812"/>
      <c r="U347" s="813"/>
      <c r="V347" s="931"/>
      <c r="W347" s="931"/>
      <c r="X347" s="1394"/>
      <c r="Z347" s="1398"/>
      <c r="AB347" s="1402"/>
      <c r="AD347" s="960" t="str">
        <f>IF(K347=TRUE,"V","F")</f>
        <v>V</v>
      </c>
      <c r="AE347" s="961"/>
      <c r="AF347" s="960" t="str">
        <f>IF(R347=TRUE,"V","F")</f>
        <v>V</v>
      </c>
      <c r="AG347" s="961"/>
      <c r="AH347" s="960"/>
      <c r="AI347" s="961"/>
      <c r="AK347" s="10"/>
      <c r="AL347" s="10"/>
      <c r="AM347" s="10"/>
      <c r="AN347" s="2102">
        <f>IF(AND($K345=TRUE,$K346=FALSE),AN345,IF(AND($K345=FALSE,$K346=TRUE),AN346,IF(AND($K345=TRUE,$K346=TRUE),MAX(AN345,AN346),0)))</f>
        <v>4</v>
      </c>
      <c r="AO347" s="2102">
        <f>IF(AND($R345=TRUE,$R346=FALSE),AO345,IF(AND($R345=FALSE,$R346=TRUE),AO346,IF(AND($R345=TRUE,$R346=TRUE),MAX(AO345,AO346),0)))</f>
        <v>4</v>
      </c>
      <c r="AP347" s="2102"/>
      <c r="AQ347" s="2102">
        <f>IF(AND($K345=TRUE,$K346=FALSE),AQ345,IF(AND($K345=FALSE,$K346=TRUE),AQ346,IF(AND($K345=TRUE,$K346=TRUE),MAX(AQ345,AQ346),0)))</f>
        <v>4</v>
      </c>
      <c r="AR347" s="2102">
        <f>IF(AND($K345=TRUE,$K346=FALSE),AR345,IF(AND($K345=FALSE,$K346=TRUE),AR346,IF(AND($K345=TRUE,$K346=TRUE),MAX(AR345,AR346),0)))</f>
        <v>10</v>
      </c>
      <c r="AS347" s="2102">
        <f t="shared" ref="AS347" si="335">IF(AND($R345=TRUE,$R346=FALSE),AS345,IF(AND($R345=FALSE,$R346=TRUE),AS346,IF(AND($R345=TRUE,$R346=TRUE),MAX(AS345,AS346),0)))</f>
        <v>2</v>
      </c>
      <c r="AT347" s="2102">
        <f t="shared" ref="AT347" si="336">IF(AND($R345=TRUE,$R346=FALSE),AT345,IF(AND($R345=FALSE,$R346=TRUE),AT346,IF(AND($R345=TRUE,$R346=TRUE),MAX(AT345,AT346),0)))</f>
        <v>4</v>
      </c>
      <c r="AU347" s="2102"/>
      <c r="AV347" s="2102"/>
      <c r="BD347" s="816"/>
      <c r="BE347" s="110"/>
      <c r="BF347" s="477"/>
      <c r="BG347" s="113"/>
      <c r="BH347" s="481"/>
      <c r="BI347" s="113"/>
      <c r="BJ347" s="482"/>
      <c r="BK347" s="478"/>
    </row>
    <row r="348" spans="2:63" ht="32" customHeight="1" x14ac:dyDescent="0.2">
      <c r="B348" s="2030"/>
      <c r="D348" s="421" t="s">
        <v>310</v>
      </c>
      <c r="E348" s="785"/>
      <c r="F348" s="474" t="s">
        <v>398</v>
      </c>
      <c r="G348" s="47"/>
      <c r="H348" s="47">
        <f>IF(AND(K344=TRUE,K347=FALSE),H344,IF(AND(K344=FALSE,K347=TRUE),H347,IF(AND(K344=TRUE,K347=TRUE),H344+H347,MAX(H344,H347))))</f>
        <v>4</v>
      </c>
      <c r="I348" s="1630"/>
      <c r="J348" s="475"/>
      <c r="K348" s="1613"/>
      <c r="L348" s="1614" t="str">
        <f>IF(AND(K347=TRUE,K344=TRUE),E347,"")</f>
        <v/>
      </c>
      <c r="M348" s="1614" t="str">
        <f>IF(AND(K344=TRUE,K347=FALSE),"Bien que le parent "&amp;E344&amp;" l'enfant ne semble pas s'ingérer","")</f>
        <v/>
      </c>
      <c r="N348" s="1614" t="str">
        <f>IF(AND(K344=FALSE,K347=TRUE),E347&amp;" sans signe de la participation du parent favorisé et|ou nouveau conjoint.e","")</f>
        <v>refuse les contacts avec la famille élargie sans signe de la participation du parent favorisé et|ou nouveau conjoint.e</v>
      </c>
      <c r="O348" s="1631" t="str">
        <f>IF(AND(K344=FALSE,K347=FALSE),"aucun comportement significatif de cette nature","")</f>
        <v/>
      </c>
      <c r="P348" s="1630"/>
      <c r="Q348" s="475"/>
      <c r="R348" s="1639"/>
      <c r="S348" s="1630"/>
      <c r="T348" s="475"/>
      <c r="U348" s="1639"/>
      <c r="V348" s="170"/>
      <c r="W348" s="170"/>
      <c r="X348" s="1394"/>
      <c r="Z348" s="1398"/>
      <c r="AB348" s="1402"/>
      <c r="AD348" s="962"/>
      <c r="AE348" s="963">
        <f>IF(AND(AD344="V",AD347="V"),2,IF(OR(AD344="V",AD347="V"),1,0))</f>
        <v>1</v>
      </c>
      <c r="AF348" s="962"/>
      <c r="AG348" s="963">
        <f>IF(OR(AF344="V",AF347="V"),1,0)</f>
        <v>1</v>
      </c>
      <c r="AH348" s="962"/>
      <c r="AI348" s="963"/>
      <c r="AK348" s="10"/>
      <c r="AL348" s="10"/>
      <c r="AM348" s="10"/>
      <c r="AN348" s="2097">
        <f>IF(AND($AD344="V",$AD347="F"),AN344,IF(AND($AD344="F",$AD347="V"),AN347,IF(AND($AD344="V",$AD347="V"),AN344+AN347,0)))</f>
        <v>4</v>
      </c>
      <c r="AO348" s="2097">
        <f>IF(AND($AF344="V",$AF347="F"),AO344,IF(AND($AF344="F",$AF347="V"),AO347,IF(AND($AF344="V",$AF347="V"),AO344+AO347,0)))</f>
        <v>4</v>
      </c>
      <c r="AP348" s="2097"/>
      <c r="AQ348" s="2097">
        <f>IF(AND($AD344="V",$AD347="F"),AQ344,IF(AND($AD344="F",$AD347="V"),AQ347,IF(AND($AD344="V",$AD347="V"),AQ344+AQ347,0)))</f>
        <v>4</v>
      </c>
      <c r="AR348" s="2097">
        <f>IF(AND($AD344="V",$AD347="F"),AR344,IF(AND($AD344="F",$AD347="V"),AR347,IF(AND($AD344="V",$AD347="V"),AR344+AR347,0)))</f>
        <v>10</v>
      </c>
      <c r="AS348" s="2097">
        <f>IF(AND($AF344="V",$AF347="F"),AS344,IF(AND($AF344="F",$AF347="V"),AS347,IF(AND($AF344="V",$AF347="V"),AS344+AS347,0)))</f>
        <v>2</v>
      </c>
      <c r="AT348" s="2097">
        <f>IF(AND($AF344="V",$AF347="F"),AT344,IF(AND($AF344="F",$AF347="V"),AT347,IF(AND($AF344="V",$AF347="V"),AT344+AT347,0)))</f>
        <v>4</v>
      </c>
      <c r="AU348" s="2097"/>
      <c r="AV348" s="2097"/>
      <c r="BD348" s="816"/>
      <c r="BE348" s="110"/>
      <c r="BF348" s="477"/>
      <c r="BG348" s="113"/>
      <c r="BH348" s="481"/>
      <c r="BI348" s="113"/>
      <c r="BJ348" s="482"/>
      <c r="BK348" s="478"/>
    </row>
    <row r="349" spans="2:63" ht="32" customHeight="1" x14ac:dyDescent="0.2">
      <c r="B349" s="2030"/>
      <c r="C349" t="s">
        <v>243</v>
      </c>
      <c r="I349" s="146"/>
      <c r="L349" s="46"/>
      <c r="M349" s="46"/>
      <c r="N349" s="46"/>
      <c r="O349" s="1652"/>
      <c r="P349" s="146"/>
      <c r="R349" s="326"/>
      <c r="S349" s="146"/>
      <c r="U349" s="326"/>
      <c r="V349" s="46"/>
      <c r="AD349" s="960"/>
      <c r="AE349" s="961"/>
      <c r="AF349" s="960"/>
      <c r="AG349" s="961"/>
      <c r="AH349" s="960"/>
      <c r="AI349" s="961"/>
      <c r="AK349" s="10"/>
      <c r="AL349" s="10"/>
      <c r="AM349" s="10"/>
      <c r="AN349" s="975"/>
      <c r="AO349" s="975"/>
      <c r="AP349" s="975"/>
      <c r="AQ349" s="1806"/>
      <c r="AR349" s="1806"/>
      <c r="AS349" s="1806"/>
      <c r="AT349" s="1806"/>
      <c r="AU349" s="1806"/>
      <c r="AV349" s="1806"/>
      <c r="BD349" s="816"/>
      <c r="BE349" s="110"/>
      <c r="BF349" s="477"/>
      <c r="BG349" s="113"/>
      <c r="BH349" s="481"/>
      <c r="BI349" s="113"/>
      <c r="BJ349" s="482"/>
      <c r="BK349" s="478"/>
    </row>
    <row r="350" spans="2:63" ht="32" customHeight="1" x14ac:dyDescent="0.2">
      <c r="B350" s="2030"/>
      <c r="C350" s="964"/>
      <c r="D350" s="972"/>
      <c r="E350" s="965"/>
      <c r="F350" s="973"/>
      <c r="G350" s="973"/>
      <c r="H350" s="973">
        <f>F350*G350</f>
        <v>0</v>
      </c>
      <c r="I350" s="1647">
        <v>11</v>
      </c>
      <c r="J350" s="1648">
        <v>11</v>
      </c>
      <c r="K350" s="45" t="b">
        <f>IF(AND(F350&gt;=I350,F350&lt;=J350),TRUE,FALSE)</f>
        <v>0</v>
      </c>
      <c r="L350" s="32"/>
      <c r="M350" s="32"/>
      <c r="N350" s="32"/>
      <c r="O350" s="1632"/>
      <c r="P350" s="1647">
        <v>11</v>
      </c>
      <c r="Q350" s="1648">
        <v>11</v>
      </c>
      <c r="R350" s="1623" t="b">
        <f>IF(AND(F350&gt;=P350,F350&lt;=Q350),TRUE,FALSE)</f>
        <v>0</v>
      </c>
      <c r="S350" s="1647">
        <v>11</v>
      </c>
      <c r="T350" s="1648">
        <v>11</v>
      </c>
      <c r="U350" s="1623" t="b">
        <f>IF(AND(F350&gt;=S350,F350&lt;=T350),TRUE,FALSE)</f>
        <v>0</v>
      </c>
      <c r="V350" s="46"/>
      <c r="W350" s="1428"/>
      <c r="X350" s="1422">
        <v>11</v>
      </c>
      <c r="Y350" s="1423"/>
      <c r="Z350" s="1424">
        <v>11</v>
      </c>
      <c r="AA350" s="1423"/>
      <c r="AB350" s="1416">
        <v>11</v>
      </c>
      <c r="AD350" s="960"/>
      <c r="AE350" s="961"/>
      <c r="AF350" s="960"/>
      <c r="AG350" s="961"/>
      <c r="AH350" s="960"/>
      <c r="AI350" s="961"/>
      <c r="AK350" s="10"/>
      <c r="AL350" s="10"/>
      <c r="AM350" s="10"/>
      <c r="AN350" s="975">
        <f>IF($K350=TRUE,H350,0)</f>
        <v>0</v>
      </c>
      <c r="AO350" s="975">
        <f>IF($R350=TRUE,H350,0)</f>
        <v>0</v>
      </c>
      <c r="AP350" s="975">
        <f>IF($U350=TRUE,H350,0)</f>
        <v>0</v>
      </c>
      <c r="AQ350" s="1806">
        <f>IF(I350=11,0,G350*I350)</f>
        <v>0</v>
      </c>
      <c r="AR350" s="1806">
        <f>IF(J350=11,0,G350*J350)</f>
        <v>0</v>
      </c>
      <c r="AS350" s="1806">
        <f>IF(P350=11,0,G350*P350)</f>
        <v>0</v>
      </c>
      <c r="AT350" s="1806">
        <f>IF(Q350=11,0,G350*Q350)</f>
        <v>0</v>
      </c>
      <c r="AU350" s="1806">
        <f>IF(S350=11,0,S350*G350)</f>
        <v>0</v>
      </c>
      <c r="AV350" s="1806">
        <f>IF(T350=11,0,T350*G350)</f>
        <v>0</v>
      </c>
      <c r="BD350" s="816"/>
      <c r="BE350" s="110"/>
      <c r="BF350" s="477"/>
      <c r="BG350" s="113"/>
      <c r="BH350" s="481"/>
      <c r="BI350" s="113"/>
      <c r="BJ350" s="482"/>
      <c r="BK350" s="478"/>
    </row>
    <row r="351" spans="2:63" ht="32" customHeight="1" thickBot="1" x14ac:dyDescent="0.25">
      <c r="B351" s="2030"/>
      <c r="C351" s="964"/>
      <c r="D351" s="972"/>
      <c r="E351" s="965"/>
      <c r="F351" s="973"/>
      <c r="G351" s="973"/>
      <c r="H351" s="973">
        <f>F351*G351</f>
        <v>0</v>
      </c>
      <c r="I351" s="1647">
        <v>11</v>
      </c>
      <c r="J351" s="1648">
        <v>11</v>
      </c>
      <c r="K351" s="45" t="b">
        <f>IF(AND(F351&gt;=I351,F351&lt;=J351),TRUE,FALSE)</f>
        <v>0</v>
      </c>
      <c r="L351" s="32"/>
      <c r="M351" s="32"/>
      <c r="N351" s="32"/>
      <c r="O351" s="1632"/>
      <c r="P351" s="1647">
        <v>11</v>
      </c>
      <c r="Q351" s="1648">
        <v>11</v>
      </c>
      <c r="R351" s="1623" t="b">
        <f>IF(AND(F351&gt;=P351,F351&lt;=Q351),TRUE,FALSE)</f>
        <v>0</v>
      </c>
      <c r="S351" s="1647">
        <v>11</v>
      </c>
      <c r="T351" s="1648">
        <v>11</v>
      </c>
      <c r="U351" s="1623" t="b">
        <f>IF(AND(F351&gt;=S351,F351&lt;=T351),TRUE,FALSE)</f>
        <v>0</v>
      </c>
      <c r="W351" s="1429"/>
      <c r="X351" s="1425">
        <v>11</v>
      </c>
      <c r="Y351" s="1426"/>
      <c r="Z351" s="1427">
        <v>11</v>
      </c>
      <c r="AA351" s="1426"/>
      <c r="AB351" s="1421">
        <v>11</v>
      </c>
      <c r="AD351" s="960"/>
      <c r="AE351" s="961"/>
      <c r="AF351" s="960"/>
      <c r="AG351" s="961"/>
      <c r="AH351" s="960"/>
      <c r="AI351" s="961"/>
      <c r="AK351" s="10"/>
      <c r="AL351" s="10"/>
      <c r="AM351" s="10"/>
      <c r="AN351" s="975">
        <f>IF($K351=TRUE,H351,0)</f>
        <v>0</v>
      </c>
      <c r="AO351" s="975">
        <f>IF($R351=TRUE,H351,0)</f>
        <v>0</v>
      </c>
      <c r="AP351" s="975">
        <f>IF($U351=TRUE,H351,0)</f>
        <v>0</v>
      </c>
      <c r="AQ351" s="1806">
        <f>IF(I351=11,0,G351*I351)</f>
        <v>0</v>
      </c>
      <c r="AR351" s="1806">
        <f>IF(J351=11,0,G351*J351)</f>
        <v>0</v>
      </c>
      <c r="AS351" s="1806">
        <f>IF(P351=11,0,G351*P351)</f>
        <v>0</v>
      </c>
      <c r="AT351" s="1806">
        <f>IF(Q351=11,0,G351*Q351)</f>
        <v>0</v>
      </c>
      <c r="AU351" s="1806">
        <f>IF(S351=11,0,S351*G351)</f>
        <v>0</v>
      </c>
      <c r="AV351" s="1806">
        <f>IF(T351=11,0,T351*G351)</f>
        <v>0</v>
      </c>
      <c r="BD351" s="816"/>
      <c r="BE351" s="110"/>
      <c r="BF351" s="477"/>
      <c r="BG351" s="113"/>
      <c r="BH351" s="481"/>
      <c r="BI351" s="113"/>
      <c r="BJ351" s="482"/>
      <c r="BK351" s="478"/>
    </row>
    <row r="352" spans="2:63" ht="32" customHeight="1" thickBot="1" x14ac:dyDescent="0.25">
      <c r="B352" s="2030"/>
      <c r="C352" s="7"/>
      <c r="D352" s="297"/>
      <c r="E352" s="297"/>
      <c r="F352" s="89"/>
      <c r="G352" s="16"/>
      <c r="H352" s="47">
        <f>IF(AND(K350=TRUE,K351=FALSE),H350,IF(AND(K350=FALSE,K351=TRUE),H351,MAX(H350,H351)))</f>
        <v>0</v>
      </c>
      <c r="I352" s="1644"/>
      <c r="J352" s="1645"/>
      <c r="K352" s="1651" t="b">
        <f>IF(AND(K350=FALSE,K351=FALSE),FALSE,TRUE)</f>
        <v>0</v>
      </c>
      <c r="L352" s="1633"/>
      <c r="M352" s="1634"/>
      <c r="N352" s="1634"/>
      <c r="O352" s="1635"/>
      <c r="P352" s="1644"/>
      <c r="Q352" s="1645"/>
      <c r="R352" s="1651" t="b">
        <f>IF(AND(R350=FALSE,R351=FALSE),FALSE,TRUE)</f>
        <v>0</v>
      </c>
      <c r="S352" s="1656"/>
      <c r="T352" s="1657"/>
      <c r="U352" s="1658" t="b">
        <f>IF(AND(U350=FALSE,U351=FALSE),FALSE,TRUE)</f>
        <v>0</v>
      </c>
      <c r="AD352" s="1564" t="str">
        <f>IF(K352=TRUE,"V","F")</f>
        <v>F</v>
      </c>
      <c r="AE352" s="1565"/>
      <c r="AF352" s="1564" t="str">
        <f>IF(R352=TRUE,"V","F")</f>
        <v>F</v>
      </c>
      <c r="AG352" s="1565"/>
      <c r="AH352" s="1564" t="str">
        <f>IF(U352=TRUE,"V","F")</f>
        <v>F</v>
      </c>
      <c r="AI352" s="1565"/>
      <c r="AK352" s="10"/>
      <c r="AL352" s="10"/>
      <c r="AM352" s="10"/>
      <c r="AN352" s="2102">
        <f>IF(AND($K350=TRUE,$K351=FALSE),AN350,IF(AND($K350=FALSE,$K351=TRUE),AN351,MAX(AN350,AN351)))</f>
        <v>0</v>
      </c>
      <c r="AO352" s="2102">
        <f>IF(AND($R350=TRUE,$R351=FALSE),AO350,IF(AND($R350=FALSE,$R351=TRUE),AO351,MAX(AO350,AO351)))</f>
        <v>0</v>
      </c>
      <c r="AP352" s="2102">
        <f>IF(AND($U350=TRUE,$U351=FALSE),AP350,IF(AND($U350=FALSE,$U351=TRUE),AP351,MAX(AP350,AP351)))</f>
        <v>0</v>
      </c>
      <c r="AQ352" s="2102">
        <f>IF(AND($K350=TRUE,$K351=FALSE),AQ350,IF(AND($K350=FALSE,$K351=TRUE),AQ351,MAX(AQ350,AQ351)))</f>
        <v>0</v>
      </c>
      <c r="AR352" s="2102">
        <f>IF(AND($K350=TRUE,$K351=FALSE),AR350,IF(AND($K350=FALSE,$K351=TRUE),AR351,MAX(AR350,AR351)))</f>
        <v>0</v>
      </c>
      <c r="AS352" s="2102">
        <f>IF(AND($R350=TRUE,$R351=FALSE),AS350,IF(AND($R350=FALSE,$R351=TRUE),AS351,MAX(AS350,AS351)))</f>
        <v>0</v>
      </c>
      <c r="AT352" s="2102">
        <f>IF(AND($R350=TRUE,$R351=FALSE),AT350,IF(AND($R350=FALSE,$R351=TRUE),AT351,MAX(AT350,AT351)))</f>
        <v>0</v>
      </c>
      <c r="AU352" s="2102">
        <f>IF(AND($U350=TRUE,$U351=FALSE),AU350,IF(AND($U350=FALSE,$U351=TRUE),AU351,MAX(AU350,AU351)))</f>
        <v>0</v>
      </c>
      <c r="AV352" s="2102">
        <f>IF(AND($U350=TRUE,$U351=FALSE),AV350,IF(AND($U350=FALSE,$U351=TRUE),AV351,MAX(AV350,AV351)))</f>
        <v>0</v>
      </c>
      <c r="BD352" s="816"/>
      <c r="BE352" s="110"/>
      <c r="BF352" s="477"/>
      <c r="BG352" s="113"/>
      <c r="BH352" s="481"/>
      <c r="BI352" s="113"/>
      <c r="BJ352" s="482"/>
      <c r="BK352" s="478"/>
    </row>
    <row r="353" spans="2:63" ht="32" customHeight="1" thickBot="1" x14ac:dyDescent="0.35">
      <c r="D353" s="16"/>
      <c r="E353" s="16"/>
      <c r="F353" s="89"/>
      <c r="G353" s="473"/>
      <c r="H353" s="473"/>
      <c r="I353" s="8"/>
      <c r="J353" s="8"/>
      <c r="K353" s="932"/>
      <c r="L353" s="933"/>
      <c r="M353" s="933"/>
      <c r="N353" s="933"/>
      <c r="O353" s="933"/>
      <c r="P353" s="933"/>
      <c r="Q353" s="933"/>
      <c r="R353" s="933"/>
      <c r="S353" s="933"/>
      <c r="T353" s="933"/>
      <c r="U353" s="933"/>
      <c r="V353" s="933"/>
      <c r="W353" s="933"/>
      <c r="AD353" s="1649"/>
      <c r="AE353" s="1650">
        <f>IF(AND(AD352="V",AD344="V"),AE348-1,AE348)</f>
        <v>1</v>
      </c>
      <c r="AF353" s="1649"/>
      <c r="AG353" s="1650">
        <f>IF(OR(AF344="V",AF347="V",AF352="V"),1,0)</f>
        <v>1</v>
      </c>
      <c r="AH353" s="1649"/>
      <c r="AI353" s="1650">
        <f>IF(AH344="V",1,IF(AH352="V",1,0))</f>
        <v>0</v>
      </c>
      <c r="AK353" s="10">
        <v>1</v>
      </c>
      <c r="AL353" s="10">
        <v>1</v>
      </c>
      <c r="AM353" s="10">
        <v>1</v>
      </c>
      <c r="AN353" s="2101">
        <f>IF($AD352="F",AN348,AN348+AN352)</f>
        <v>4</v>
      </c>
      <c r="AO353" s="2101">
        <f>IF($AF352="F",AO348,AO348+AO352)</f>
        <v>4</v>
      </c>
      <c r="AP353" s="2101">
        <f>IF(AND($AH344="V",$AH352="F"),AP344,IF(AND($AH344="F",$AH352="V"),AP352,IF(AND($AH344="V",$AH352="V"),AP344+AP352,0)))</f>
        <v>0</v>
      </c>
      <c r="AQ353" s="2101">
        <f>IF($AD352="F",AQ348,AQ348+AQ352)</f>
        <v>4</v>
      </c>
      <c r="AR353" s="2101">
        <f t="shared" ref="AR353" si="337">IF($AD352="F",AR348,AR348+AR352)</f>
        <v>10</v>
      </c>
      <c r="AS353" s="2101">
        <f t="shared" ref="AS353" si="338">IF($AF352="F",AS348,AS348+AS352)</f>
        <v>2</v>
      </c>
      <c r="AT353" s="2101">
        <f t="shared" ref="AT353" si="339">IF($AF352="F",AT348,AT348+AT352)</f>
        <v>4</v>
      </c>
      <c r="AU353" s="2101">
        <f t="shared" ref="AU353" si="340">IF(AND($AH344="V",$AH352="F"),AU344,IF(AND($AH344="F",$AH352="V"),AU352,IF(AND($AH344="V",$AH352="V"),AU344+AU352,0)))</f>
        <v>0</v>
      </c>
      <c r="AV353" s="2101">
        <f t="shared" ref="AV353" si="341">IF(AND($AH344="V",$AH352="F"),AV344,IF(AND($AH344="F",$AH352="V"),AV352,IF(AND($AH344="V",$AH352="V"),AV344+AV352,0)))</f>
        <v>0</v>
      </c>
      <c r="BD353" s="816"/>
      <c r="BE353" s="110"/>
      <c r="BF353" s="477"/>
      <c r="BG353" s="113"/>
      <c r="BH353" s="481"/>
      <c r="BI353" s="113"/>
      <c r="BJ353" s="482"/>
      <c r="BK353" s="478"/>
    </row>
    <row r="354" spans="2:63" ht="32" customHeight="1" x14ac:dyDescent="0.3">
      <c r="D354" s="16"/>
      <c r="E354" s="16"/>
      <c r="F354" s="89"/>
      <c r="G354" s="473"/>
      <c r="H354" s="473"/>
      <c r="I354" s="1616"/>
      <c r="J354" s="1617"/>
      <c r="K354" s="1618"/>
      <c r="L354" s="2268"/>
      <c r="M354" s="2268"/>
      <c r="N354" s="2268"/>
      <c r="O354" s="1619"/>
      <c r="P354" s="1636"/>
      <c r="Q354" s="1618"/>
      <c r="R354" s="1619"/>
      <c r="S354" s="1636"/>
      <c r="T354" s="1618"/>
      <c r="U354" s="1619"/>
      <c r="V354" s="170"/>
      <c r="W354" s="170"/>
      <c r="X354" s="8"/>
      <c r="Y354" s="8"/>
      <c r="Z354" s="8"/>
      <c r="AA354" s="8"/>
      <c r="AB354" s="8"/>
      <c r="AD354" s="1668"/>
      <c r="AE354" s="1669"/>
      <c r="AF354" s="1409"/>
      <c r="AG354" s="1409"/>
      <c r="AH354" s="1409"/>
      <c r="AI354" s="1409"/>
      <c r="AK354" s="10"/>
      <c r="AL354" s="10"/>
      <c r="AM354" s="10"/>
      <c r="BD354" s="816"/>
      <c r="BE354" s="110"/>
      <c r="BF354" s="477"/>
      <c r="BG354" s="113"/>
      <c r="BH354" s="481"/>
      <c r="BI354" s="113"/>
      <c r="BJ354" s="482"/>
      <c r="BK354" s="478"/>
    </row>
    <row r="355" spans="2:63" ht="32" customHeight="1" x14ac:dyDescent="0.3">
      <c r="B355" s="2029">
        <v>18</v>
      </c>
      <c r="D355" s="476" t="str">
        <f>'Action-Réaction finale'!F56</f>
        <v>Sujet personnel|intime partagé à l'enfant</v>
      </c>
      <c r="E355" s="107"/>
      <c r="F355" s="65"/>
      <c r="G355" s="18"/>
      <c r="H355" s="18"/>
      <c r="I355" s="2255" t="s">
        <v>734</v>
      </c>
      <c r="J355" s="2256"/>
      <c r="K355" s="2256"/>
      <c r="L355" s="2257" t="s">
        <v>1378</v>
      </c>
      <c r="M355" s="2257"/>
      <c r="N355" s="2257"/>
      <c r="O355" s="2258"/>
      <c r="P355" s="2259" t="s">
        <v>733</v>
      </c>
      <c r="Q355" s="2260"/>
      <c r="R355" s="2261"/>
      <c r="S355" s="2262" t="s">
        <v>735</v>
      </c>
      <c r="T355" s="2263"/>
      <c r="U355" s="2264"/>
      <c r="V355" s="15"/>
      <c r="W355" s="15"/>
      <c r="AD355" s="956"/>
      <c r="AE355" s="956"/>
      <c r="AF355" s="956"/>
      <c r="AG355" s="956"/>
      <c r="AH355" s="956"/>
      <c r="AI355" s="957"/>
      <c r="AK355" s="10"/>
      <c r="AL355" s="10"/>
      <c r="AM355" s="10"/>
      <c r="AN355" s="1659" t="s">
        <v>734</v>
      </c>
      <c r="AO355" s="1659" t="s">
        <v>733</v>
      </c>
      <c r="AP355" s="1659" t="s">
        <v>735</v>
      </c>
      <c r="AQ355" s="2254" t="s">
        <v>734</v>
      </c>
      <c r="AR355" s="2254"/>
      <c r="AS355" s="2254" t="s">
        <v>733</v>
      </c>
      <c r="AT355" s="2254"/>
      <c r="AU355" s="2254" t="s">
        <v>735</v>
      </c>
      <c r="AV355" s="2254"/>
      <c r="BD355" s="816"/>
      <c r="BE355" s="110"/>
      <c r="BF355" s="477"/>
      <c r="BG355" s="113"/>
      <c r="BH355" s="481"/>
      <c r="BI355" s="113"/>
      <c r="BJ355" s="482"/>
      <c r="BK355" s="478"/>
    </row>
    <row r="356" spans="2:63" ht="32" customHeight="1" x14ac:dyDescent="0.3">
      <c r="D356" s="102" t="s">
        <v>998</v>
      </c>
      <c r="E356" s="983" t="s">
        <v>997</v>
      </c>
      <c r="F356" s="32" t="s">
        <v>748</v>
      </c>
      <c r="G356" s="32" t="s">
        <v>749</v>
      </c>
      <c r="H356" s="32" t="s">
        <v>750</v>
      </c>
      <c r="I356" s="1620" t="s">
        <v>306</v>
      </c>
      <c r="J356" s="43" t="s">
        <v>307</v>
      </c>
      <c r="K356" s="43" t="s">
        <v>308</v>
      </c>
      <c r="L356" s="43" t="s">
        <v>413</v>
      </c>
      <c r="M356" s="43" t="s">
        <v>388</v>
      </c>
      <c r="N356" s="43" t="s">
        <v>389</v>
      </c>
      <c r="O356" s="1621" t="s">
        <v>390</v>
      </c>
      <c r="P356" s="1620" t="s">
        <v>306</v>
      </c>
      <c r="Q356" s="43" t="s">
        <v>307</v>
      </c>
      <c r="R356" s="1621" t="s">
        <v>308</v>
      </c>
      <c r="S356" s="1620" t="s">
        <v>306</v>
      </c>
      <c r="T356" s="43" t="s">
        <v>307</v>
      </c>
      <c r="U356" s="1621" t="s">
        <v>308</v>
      </c>
      <c r="V356" s="818"/>
      <c r="W356" s="955" t="s">
        <v>928</v>
      </c>
      <c r="X356" s="1391" t="s">
        <v>734</v>
      </c>
      <c r="Y356" s="955" t="s">
        <v>928</v>
      </c>
      <c r="Z356" s="1395" t="s">
        <v>733</v>
      </c>
      <c r="AA356" s="955"/>
      <c r="AB356" s="1399" t="s">
        <v>735</v>
      </c>
      <c r="AD356" s="970" t="s">
        <v>734</v>
      </c>
      <c r="AE356" s="971" t="s">
        <v>946</v>
      </c>
      <c r="AF356" s="970" t="s">
        <v>733</v>
      </c>
      <c r="AG356" s="971" t="s">
        <v>947</v>
      </c>
      <c r="AH356" s="970" t="s">
        <v>735</v>
      </c>
      <c r="AI356" s="971" t="s">
        <v>948</v>
      </c>
      <c r="AK356" s="10"/>
      <c r="AL356" s="10"/>
      <c r="AM356" s="10"/>
      <c r="AN356" s="10"/>
      <c r="AO356" s="10"/>
      <c r="AP356" s="10"/>
      <c r="AQ356" s="1806" t="s">
        <v>1322</v>
      </c>
      <c r="AR356" s="1806" t="s">
        <v>1323</v>
      </c>
      <c r="AS356" s="1806" t="s">
        <v>1322</v>
      </c>
      <c r="AT356" s="1806" t="s">
        <v>1323</v>
      </c>
      <c r="AU356" s="1806" t="s">
        <v>1322</v>
      </c>
      <c r="AV356" s="1806" t="s">
        <v>1323</v>
      </c>
      <c r="BD356" s="816"/>
      <c r="BE356" s="110"/>
      <c r="BF356" s="477"/>
      <c r="BG356" s="113"/>
      <c r="BH356" s="481"/>
      <c r="BI356" s="113"/>
      <c r="BJ356" s="482"/>
      <c r="BK356" s="478"/>
    </row>
    <row r="357" spans="2:63" ht="32" customHeight="1" x14ac:dyDescent="0.2">
      <c r="B357" s="2030" t="str">
        <f>'Action-Réaction finale'!I56</f>
        <v>G: Parentification</v>
      </c>
      <c r="C357" s="414" t="str">
        <f>'Action-Réaction finale'!G56</f>
        <v>PFA31a1</v>
      </c>
      <c r="D357" s="767" t="str">
        <f>Test_Bible!B245</f>
        <v>Dans quelle mesure diriez-vous que l'autre parent se confie à votre enfant sur des sujets qui vous sont personnels ou qui concernent votre passé (intime) ?</v>
      </c>
      <c r="E357" s="101" t="s">
        <v>785</v>
      </c>
      <c r="F357" s="790">
        <f>Test_Bible!P245</f>
        <v>2</v>
      </c>
      <c r="G357" s="789">
        <f>Test_Bible!D245</f>
        <v>2</v>
      </c>
      <c r="H357" s="790">
        <f>F357*G357</f>
        <v>4</v>
      </c>
      <c r="I357" s="1622">
        <v>7</v>
      </c>
      <c r="J357" s="1615">
        <v>10</v>
      </c>
      <c r="K357" s="45" t="b">
        <f>IF(AND(F357&gt;=I357,F357&lt;=J357),TRUE,FALSE)</f>
        <v>0</v>
      </c>
      <c r="L357" s="45"/>
      <c r="M357" s="45"/>
      <c r="N357" s="45"/>
      <c r="O357" s="1623"/>
      <c r="P357" s="1622">
        <v>2</v>
      </c>
      <c r="Q357" s="1615">
        <v>7</v>
      </c>
      <c r="R357" s="1623" t="b">
        <f>IF(AND(F357&gt;=P357,F357&lt;=Q357),TRUE,FALSE)</f>
        <v>1</v>
      </c>
      <c r="S357" s="1647">
        <v>11</v>
      </c>
      <c r="T357" s="1648">
        <v>11</v>
      </c>
      <c r="U357" s="1623" t="b">
        <f>IF(AND(F357&gt;=S357,F357&lt;=T357),TRUE,FALSE)</f>
        <v>0</v>
      </c>
      <c r="V357" s="931"/>
      <c r="W357" s="1403"/>
      <c r="X357" s="1404">
        <v>4</v>
      </c>
      <c r="Y357" s="1405"/>
      <c r="Z357" s="1408">
        <v>2</v>
      </c>
      <c r="AA357" s="1405"/>
      <c r="AB357" s="1416">
        <v>11</v>
      </c>
      <c r="AD357" s="958"/>
      <c r="AE357" s="959"/>
      <c r="AF357" s="958"/>
      <c r="AG357" s="959"/>
      <c r="AH357" s="958"/>
      <c r="AI357" s="959"/>
      <c r="AK357" s="10"/>
      <c r="AL357" s="10"/>
      <c r="AM357" s="10"/>
      <c r="AN357" s="975">
        <f>IF($K357=TRUE,H357,0)</f>
        <v>0</v>
      </c>
      <c r="AO357" s="975">
        <f>IF($R357=TRUE,H357,0)</f>
        <v>4</v>
      </c>
      <c r="AP357" s="975">
        <f>IF($U357=TRUE,H357,0)</f>
        <v>0</v>
      </c>
      <c r="AQ357" s="1806">
        <f>IF(I357=11,0,G357*I357)</f>
        <v>14</v>
      </c>
      <c r="AR357" s="1806">
        <f>IF(J357=11,0,G357*J357)</f>
        <v>20</v>
      </c>
      <c r="AS357" s="1806">
        <f>IF(P357=11,0,G357*P357)</f>
        <v>4</v>
      </c>
      <c r="AT357" s="1806">
        <f>IF(Q357=11,0,G357*Q357)</f>
        <v>14</v>
      </c>
      <c r="AU357" s="1806">
        <f>IF(S357=11,0,S357*G357)</f>
        <v>0</v>
      </c>
      <c r="AV357" s="1806">
        <f>IF(T357=11,0,T357*G357)</f>
        <v>0</v>
      </c>
      <c r="BD357" s="816"/>
      <c r="BE357" s="110"/>
      <c r="BF357" s="477"/>
      <c r="BG357" s="113"/>
      <c r="BH357" s="481"/>
      <c r="BI357" s="113"/>
      <c r="BJ357" s="482"/>
      <c r="BK357" s="478"/>
    </row>
    <row r="358" spans="2:63" ht="32" customHeight="1" x14ac:dyDescent="0.2">
      <c r="B358" s="1847"/>
      <c r="C358" s="414" t="s">
        <v>293</v>
      </c>
      <c r="D358" s="26"/>
      <c r="E358" s="101"/>
      <c r="F358" s="790"/>
      <c r="G358" s="789"/>
      <c r="H358" s="790">
        <f>F358*G358</f>
        <v>0</v>
      </c>
      <c r="I358" s="1647">
        <v>11</v>
      </c>
      <c r="J358" s="1648">
        <v>11</v>
      </c>
      <c r="K358" s="45" t="b">
        <f>IF(AND(F358&gt;=I358,F358&lt;=J358),TRUE,FALSE)</f>
        <v>0</v>
      </c>
      <c r="L358" s="45"/>
      <c r="M358" s="45"/>
      <c r="N358" s="45"/>
      <c r="O358" s="1623"/>
      <c r="P358" s="1647">
        <v>11</v>
      </c>
      <c r="Q358" s="1648">
        <v>11</v>
      </c>
      <c r="R358" s="1623" t="b">
        <f>IF(AND(F358&gt;=P358,F358&lt;=Q358),TRUE,FALSE)</f>
        <v>0</v>
      </c>
      <c r="S358" s="1647">
        <v>11</v>
      </c>
      <c r="T358" s="1648">
        <v>11</v>
      </c>
      <c r="U358" s="1623" t="b">
        <f>IF(AND(F358&gt;=S358,F358&lt;=T358),TRUE,FALSE)</f>
        <v>0</v>
      </c>
      <c r="V358" s="931"/>
      <c r="W358" s="1406" t="s">
        <v>943</v>
      </c>
      <c r="X358" s="1425">
        <v>11</v>
      </c>
      <c r="Y358" s="1426"/>
      <c r="Z358" s="1427">
        <v>11</v>
      </c>
      <c r="AA358" s="1426"/>
      <c r="AB358" s="1421">
        <v>11</v>
      </c>
      <c r="AD358" s="960"/>
      <c r="AE358" s="961"/>
      <c r="AF358" s="960"/>
      <c r="AG358" s="961"/>
      <c r="AH358" s="960"/>
      <c r="AI358" s="961"/>
      <c r="AK358" s="10"/>
      <c r="AL358" s="10"/>
      <c r="AM358" s="10"/>
      <c r="AN358" s="975">
        <f>IF($K358=TRUE,H358,0)</f>
        <v>0</v>
      </c>
      <c r="AO358" s="975">
        <f>IF($R358=TRUE,H358,0)</f>
        <v>0</v>
      </c>
      <c r="AP358" s="975">
        <f>IF($U358=TRUE,H358,0)</f>
        <v>0</v>
      </c>
      <c r="AQ358" s="1806">
        <f>IF(I358=11,0,G358*I358)</f>
        <v>0</v>
      </c>
      <c r="AR358" s="1806">
        <f>IF(J358=11,0,G358*J358)</f>
        <v>0</v>
      </c>
      <c r="AS358" s="1806">
        <f>IF(P358=11,0,G358*P358)</f>
        <v>0</v>
      </c>
      <c r="AT358" s="1806">
        <f>IF(Q358=11,0,G358*Q358)</f>
        <v>0</v>
      </c>
      <c r="AU358" s="1806">
        <f>IF(S358=11,0,S358*G358)</f>
        <v>0</v>
      </c>
      <c r="AV358" s="1806">
        <f>IF(T358=11,0,T358*G358)</f>
        <v>0</v>
      </c>
      <c r="BD358" s="816"/>
      <c r="BE358" s="110"/>
      <c r="BF358" s="477"/>
      <c r="BG358" s="113"/>
      <c r="BH358" s="481"/>
      <c r="BI358" s="113"/>
      <c r="BJ358" s="482"/>
      <c r="BK358" s="478"/>
    </row>
    <row r="359" spans="2:63" ht="32" customHeight="1" x14ac:dyDescent="0.2">
      <c r="B359" s="2032"/>
      <c r="C359" s="792" t="s">
        <v>745</v>
      </c>
      <c r="D359" s="793" t="str">
        <f>_xlfn.XLOOKUP(H359,H357:H358,D357:D358)</f>
        <v>Dans quelle mesure diriez-vous que l'autre parent se confie à votre enfant sur des sujets qui vous sont personnels ou qui concernent votre passé (intime) ?</v>
      </c>
      <c r="E359" s="794" t="str">
        <f>_xlfn.XLOOKUP(H359,H357:H358,E357:E358)</f>
        <v>se confie à l'enfant sur des sujets personnels</v>
      </c>
      <c r="F359" s="795"/>
      <c r="G359" s="795"/>
      <c r="H359" s="795">
        <f>IF(AND(K357=TRUE,K358=FALSE),H357,IF(AND(K357=FALSE,K358=TRUE),H358,MAX(H357,H358)))</f>
        <v>4</v>
      </c>
      <c r="I359" s="1624"/>
      <c r="J359" s="796"/>
      <c r="K359" s="797" t="b">
        <f>IF(AND(K357=FALSE,K358=FALSE),FALSE,TRUE)</f>
        <v>0</v>
      </c>
      <c r="L359" s="45"/>
      <c r="M359" s="45"/>
      <c r="N359" s="45"/>
      <c r="O359" s="1623"/>
      <c r="P359" s="1624"/>
      <c r="Q359" s="796"/>
      <c r="R359" s="1637" t="b">
        <f>IF(AND(R357=FALSE,R358=FALSE),FALSE,TRUE)</f>
        <v>1</v>
      </c>
      <c r="S359" s="1624"/>
      <c r="T359" s="796"/>
      <c r="U359" s="1637" t="b">
        <f>IF(AND(U357=FALSE,U358=FALSE),FALSE,TRUE)</f>
        <v>0</v>
      </c>
      <c r="V359" s="931"/>
      <c r="W359" s="931" t="s">
        <v>943</v>
      </c>
      <c r="X359" s="1392"/>
      <c r="Y359" s="8"/>
      <c r="Z359" s="1397"/>
      <c r="AA359" s="8"/>
      <c r="AB359" s="1400"/>
      <c r="AD359" s="960"/>
      <c r="AE359" s="961"/>
      <c r="AF359" s="960"/>
      <c r="AG359" s="961"/>
      <c r="AH359" s="960"/>
      <c r="AI359" s="961"/>
      <c r="AK359" s="10"/>
      <c r="AL359" s="10"/>
      <c r="AM359" s="10"/>
      <c r="AN359" s="2100">
        <f>IF($K359=TRUE,MAX(AN357:AN358),0)</f>
        <v>0</v>
      </c>
      <c r="AO359" s="2100">
        <f>IF($R359=TRUE,MAX(AO357:AO358),0)</f>
        <v>4</v>
      </c>
      <c r="AP359" s="2100">
        <f>IF($U359=TRUE,MAX(AP357:AP358),0)</f>
        <v>0</v>
      </c>
      <c r="AQ359" s="2099">
        <f>MAX(AQ357:AQ358)</f>
        <v>14</v>
      </c>
      <c r="AR359" s="2099">
        <f t="shared" ref="AR359" si="342">MAX(AR357:AR358)</f>
        <v>20</v>
      </c>
      <c r="AS359" s="2099">
        <f t="shared" ref="AS359" si="343">MAX(AS357:AS358)</f>
        <v>4</v>
      </c>
      <c r="AT359" s="2099">
        <f t="shared" ref="AT359" si="344">MAX(AT357:AT358)</f>
        <v>14</v>
      </c>
      <c r="AU359" s="2099">
        <f t="shared" ref="AU359" si="345">MAX(AU357:AU358)</f>
        <v>0</v>
      </c>
      <c r="AV359" s="2099">
        <f t="shared" ref="AV359" si="346">MAX(AV357:AV358)</f>
        <v>0</v>
      </c>
      <c r="BD359" s="816"/>
      <c r="BE359" s="110"/>
      <c r="BF359" s="477"/>
      <c r="BG359" s="113"/>
      <c r="BH359" s="481"/>
      <c r="BI359" s="113"/>
      <c r="BJ359" s="482"/>
      <c r="BK359" s="478"/>
    </row>
    <row r="360" spans="2:63" ht="32" customHeight="1" x14ac:dyDescent="0.2">
      <c r="B360" s="1847"/>
      <c r="C360" s="52" t="s">
        <v>247</v>
      </c>
      <c r="D360" s="26"/>
      <c r="E360" s="101"/>
      <c r="F360" s="790"/>
      <c r="G360" s="789"/>
      <c r="H360" s="790">
        <f>F360*G360</f>
        <v>0</v>
      </c>
      <c r="I360" s="1647">
        <v>11</v>
      </c>
      <c r="J360" s="1648">
        <v>11</v>
      </c>
      <c r="K360" s="45" t="b">
        <f>IF(AND(F360&gt;=I360,F360&lt;=J360),TRUE,FALSE)</f>
        <v>0</v>
      </c>
      <c r="L360" s="45"/>
      <c r="M360" s="45"/>
      <c r="N360" s="45"/>
      <c r="O360" s="1623"/>
      <c r="P360" s="1647">
        <v>11</v>
      </c>
      <c r="Q360" s="1648">
        <v>11</v>
      </c>
      <c r="R360" s="1623" t="b">
        <f>IF(AND(F360&gt;=P360,F360&lt;=Q360),TRUE,FALSE)</f>
        <v>0</v>
      </c>
      <c r="S360" s="1647">
        <v>11</v>
      </c>
      <c r="T360" s="1648">
        <v>11</v>
      </c>
      <c r="U360" s="1623" t="b">
        <f>IF(AND(F360&gt;=S360,F360&lt;=T360),TRUE,FALSE)</f>
        <v>0</v>
      </c>
      <c r="V360" s="931"/>
      <c r="W360" s="1403"/>
      <c r="X360" s="1422">
        <v>11</v>
      </c>
      <c r="Y360" s="1423"/>
      <c r="Z360" s="1424">
        <v>11</v>
      </c>
      <c r="AA360" s="1423"/>
      <c r="AB360" s="1416">
        <v>11</v>
      </c>
      <c r="AD360" s="960"/>
      <c r="AE360" s="961"/>
      <c r="AF360" s="960"/>
      <c r="AG360" s="961"/>
      <c r="AH360" s="960"/>
      <c r="AI360" s="961"/>
      <c r="AK360" s="10"/>
      <c r="AL360" s="10"/>
      <c r="AM360" s="10"/>
      <c r="AN360" s="975">
        <f>IF(K360=TRUE,H360,0)</f>
        <v>0</v>
      </c>
      <c r="AO360" s="975">
        <f>IF(R360=TRUE,H360,0)</f>
        <v>0</v>
      </c>
      <c r="AP360" s="975">
        <f>IF(U360=TRUE,H360,0)</f>
        <v>0</v>
      </c>
      <c r="AQ360" s="1806">
        <f>IF(I360=11,0,G360*I360)</f>
        <v>0</v>
      </c>
      <c r="AR360" s="1806">
        <f>IF(J360=11,0,G360*J360)</f>
        <v>0</v>
      </c>
      <c r="AS360" s="1806">
        <f>IF(P360=11,0,G360*P360)</f>
        <v>0</v>
      </c>
      <c r="AT360" s="1806">
        <f>IF(Q360=11,0,G360*Q360)</f>
        <v>0</v>
      </c>
      <c r="AU360" s="1806">
        <f>IF(S360=11,0,S360*G360)</f>
        <v>0</v>
      </c>
      <c r="AV360" s="1806">
        <f>IF(T360=11,0,T360*G360)</f>
        <v>0</v>
      </c>
      <c r="BD360" s="816"/>
      <c r="BE360" s="110"/>
      <c r="BF360" s="477"/>
      <c r="BG360" s="113"/>
      <c r="BH360" s="481"/>
      <c r="BI360" s="113"/>
      <c r="BJ360" s="482"/>
      <c r="BK360" s="478"/>
    </row>
    <row r="361" spans="2:63" ht="32" customHeight="1" x14ac:dyDescent="0.2">
      <c r="B361" s="2030"/>
      <c r="C361" s="52" t="s">
        <v>247</v>
      </c>
      <c r="D361" s="26"/>
      <c r="E361" s="62"/>
      <c r="F361" s="35"/>
      <c r="G361" s="35"/>
      <c r="H361" s="35">
        <f>F361*G361</f>
        <v>0</v>
      </c>
      <c r="I361" s="1647">
        <v>11</v>
      </c>
      <c r="J361" s="1648">
        <v>11</v>
      </c>
      <c r="K361" s="45" t="b">
        <f>IF(AND(F361&gt;=I361,F361&lt;=J361),TRUE,FALSE)</f>
        <v>0</v>
      </c>
      <c r="L361" s="45"/>
      <c r="M361" s="45"/>
      <c r="N361" s="45"/>
      <c r="O361" s="1623"/>
      <c r="P361" s="1647">
        <v>11</v>
      </c>
      <c r="Q361" s="1648">
        <v>11</v>
      </c>
      <c r="R361" s="1623" t="b">
        <f>IF(AND(F361&gt;=P361,F361&lt;=Q361),TRUE,FALSE)</f>
        <v>0</v>
      </c>
      <c r="S361" s="1647">
        <v>11</v>
      </c>
      <c r="T361" s="1648">
        <v>11</v>
      </c>
      <c r="U361" s="1623" t="b">
        <f>IF(AND(F361&gt;=S361,F361&lt;=T361),TRUE,FALSE)</f>
        <v>0</v>
      </c>
      <c r="V361" s="931"/>
      <c r="W361" s="1406" t="s">
        <v>943</v>
      </c>
      <c r="X361" s="1425">
        <v>11</v>
      </c>
      <c r="Y361" s="1426"/>
      <c r="Z361" s="1427">
        <v>11</v>
      </c>
      <c r="AA361" s="1426"/>
      <c r="AB361" s="1421">
        <v>11</v>
      </c>
      <c r="AD361" s="960"/>
      <c r="AE361" s="961"/>
      <c r="AF361" s="960"/>
      <c r="AG361" s="961"/>
      <c r="AH361" s="960"/>
      <c r="AI361" s="961"/>
      <c r="AK361" s="10"/>
      <c r="AL361" s="10"/>
      <c r="AM361" s="10"/>
      <c r="AN361" s="975">
        <f>IF(K361=TRUE,H361,0)</f>
        <v>0</v>
      </c>
      <c r="AO361" s="975">
        <f>IF(R361=TRUE,H361,0)</f>
        <v>0</v>
      </c>
      <c r="AP361" s="975">
        <f>IF(U361=TRUE,H361,0)</f>
        <v>0</v>
      </c>
      <c r="AQ361" s="1806">
        <f>IF(I361=11,0,G361*I361)</f>
        <v>0</v>
      </c>
      <c r="AR361" s="1806">
        <f>IF(J361=11,0,G361*J361)</f>
        <v>0</v>
      </c>
      <c r="AS361" s="1806">
        <f>IF(P361=11,0,G361*P361)</f>
        <v>0</v>
      </c>
      <c r="AT361" s="1806">
        <f>IF(Q361=11,0,G361*Q361)</f>
        <v>0</v>
      </c>
      <c r="AU361" s="1806">
        <f>IF(S361=11,0,S361*G361)</f>
        <v>0</v>
      </c>
      <c r="AV361" s="1806">
        <f>IF(T361=11,0,T361*G361)</f>
        <v>0</v>
      </c>
      <c r="BC361" s="7"/>
      <c r="BD361" s="816"/>
      <c r="BE361" s="110"/>
      <c r="BF361" s="477"/>
      <c r="BG361" s="113"/>
      <c r="BH361" s="481"/>
      <c r="BI361" s="113"/>
      <c r="BJ361" s="482"/>
      <c r="BK361" s="478"/>
    </row>
    <row r="362" spans="2:63" ht="32" customHeight="1" thickBot="1" x14ac:dyDescent="0.25">
      <c r="B362" s="2030"/>
      <c r="C362" s="798" t="s">
        <v>746</v>
      </c>
      <c r="D362" s="799">
        <f>_xlfn.XLOOKUP(H362,H360:H361,D360:D361)</f>
        <v>0</v>
      </c>
      <c r="E362" s="800">
        <f>_xlfn.XLOOKUP(H362,H360:H361,E360:E361)</f>
        <v>0</v>
      </c>
      <c r="F362" s="801"/>
      <c r="G362" s="801"/>
      <c r="H362" s="795">
        <f>IF(AND(K360=TRUE,K361=FALSE),H360,IF(AND(K360=FALSE,K361=TRUE),H361,MAX(H360,H361)))</f>
        <v>0</v>
      </c>
      <c r="I362" s="1625"/>
      <c r="J362" s="802"/>
      <c r="K362" s="803" t="b">
        <f>IF(AND(K360=FALSE,K361=FALSE),FALSE,TRUE)</f>
        <v>0</v>
      </c>
      <c r="L362" s="45"/>
      <c r="M362" s="45"/>
      <c r="N362" s="45"/>
      <c r="O362" s="1623"/>
      <c r="P362" s="1625"/>
      <c r="Q362" s="802"/>
      <c r="R362" s="1638" t="b">
        <f>IF(AND(R360=FALSE,R361=FALSE),FALSE,TRUE)</f>
        <v>0</v>
      </c>
      <c r="S362" s="1625"/>
      <c r="T362" s="802"/>
      <c r="U362" s="1638" t="b">
        <f>IF(AND(U360=FALSE,U361=FALSE),FALSE,TRUE)</f>
        <v>0</v>
      </c>
      <c r="V362" s="931"/>
      <c r="W362" s="931"/>
      <c r="X362" s="1392"/>
      <c r="Y362" s="8"/>
      <c r="Z362" s="1397"/>
      <c r="AA362" s="8"/>
      <c r="AB362" s="1400"/>
      <c r="AD362" s="960"/>
      <c r="AE362" s="961"/>
      <c r="AF362" s="960"/>
      <c r="AG362" s="961"/>
      <c r="AH362" s="960"/>
      <c r="AI362" s="961"/>
      <c r="AK362" s="10"/>
      <c r="AL362" s="10"/>
      <c r="AM362" s="10"/>
      <c r="AN362" s="2100">
        <f>IF($K362=TRUE,MAX(AN360:AN361),0)</f>
        <v>0</v>
      </c>
      <c r="AO362" s="2100">
        <f>IF($R362=TRUE,MAX(AO360:AO361),0)</f>
        <v>0</v>
      </c>
      <c r="AP362" s="2100">
        <f>IF($U362=TRUE,MAX(AP360:AP361),0)</f>
        <v>0</v>
      </c>
      <c r="AQ362" s="2099">
        <f>MAX(AQ360:AQ361)</f>
        <v>0</v>
      </c>
      <c r="AR362" s="2099">
        <f t="shared" ref="AR362" si="347">MAX(AR360:AR361)</f>
        <v>0</v>
      </c>
      <c r="AS362" s="2099">
        <f t="shared" ref="AS362" si="348">MAX(AS360:AS361)</f>
        <v>0</v>
      </c>
      <c r="AT362" s="2099">
        <f t="shared" ref="AT362" si="349">MAX(AT360:AT361)</f>
        <v>0</v>
      </c>
      <c r="AU362" s="2099">
        <f t="shared" ref="AU362" si="350">MAX(AU360:AU361)</f>
        <v>0</v>
      </c>
      <c r="AV362" s="2099">
        <f t="shared" ref="AV362" si="351">MAX(AV360:AV361)</f>
        <v>0</v>
      </c>
      <c r="BC362" s="7"/>
      <c r="BD362" s="816"/>
      <c r="BE362" s="110"/>
      <c r="BF362" s="477"/>
      <c r="BG362" s="113"/>
      <c r="BH362" s="481"/>
      <c r="BI362" s="113"/>
      <c r="BJ362" s="482"/>
      <c r="BK362" s="478"/>
    </row>
    <row r="363" spans="2:63" ht="32" customHeight="1" thickBot="1" x14ac:dyDescent="0.25">
      <c r="B363" s="2030"/>
      <c r="C363" s="804" t="s">
        <v>754</v>
      </c>
      <c r="D363" s="805"/>
      <c r="E363" s="805" t="str">
        <f>IF(H363=H359,E359,E362)</f>
        <v>se confie à l'enfant sur des sujets personnels</v>
      </c>
      <c r="F363" s="806"/>
      <c r="G363" s="806"/>
      <c r="H363" s="806">
        <f>IF(AND(K359=TRUE,K362=FALSE),H359,IF(AND(K359=FALSE,K362=TRUE),H362,IF(AND(K359=TRUE,K362=TRUE),H359+H362,MAX(H359,H362))))</f>
        <v>4</v>
      </c>
      <c r="I363" s="1626"/>
      <c r="J363" s="807"/>
      <c r="K363" s="808" t="b">
        <f>IF(AND(K359=FALSE,K362=FALSE),FALSE,TRUE)</f>
        <v>0</v>
      </c>
      <c r="L363" s="1610"/>
      <c r="M363" s="1610"/>
      <c r="N363" s="1610"/>
      <c r="O363" s="1627"/>
      <c r="P363" s="1626"/>
      <c r="Q363" s="807"/>
      <c r="R363" s="808" t="b">
        <f>IF(AND(R359=FALSE,R362=FALSE),FALSE,TRUE)</f>
        <v>1</v>
      </c>
      <c r="S363" s="1626"/>
      <c r="T363" s="807"/>
      <c r="U363" s="808" t="b">
        <f>IF(AND(U359=FALSE,U362=FALSE),FALSE,TRUE)</f>
        <v>0</v>
      </c>
      <c r="V363" s="931"/>
      <c r="W363" s="931" t="s">
        <v>942</v>
      </c>
      <c r="X363" s="1392"/>
      <c r="Y363" s="8"/>
      <c r="Z363" s="1397"/>
      <c r="AA363" s="8"/>
      <c r="AB363" s="1400"/>
      <c r="AD363" s="960" t="str">
        <f>IF(K363=TRUE,"V","F")</f>
        <v>F</v>
      </c>
      <c r="AE363" s="961"/>
      <c r="AF363" s="960" t="str">
        <f>IF(R363=TRUE,"V","F")</f>
        <v>V</v>
      </c>
      <c r="AG363" s="961"/>
      <c r="AH363" s="960" t="str">
        <f>IF(U363=TRUE,"V","F")</f>
        <v>F</v>
      </c>
      <c r="AI363" s="961"/>
      <c r="AJ363" t="str">
        <f>IF(OR(AD363="V",AF363="V"),IF(H362&gt;H359,"Le NC contribue plus que le coparent","Le coparent joue un plus grand rôle que le NC"),"pas de contexte significatif de la part du coparent et NC")</f>
        <v>Le coparent joue un plus grand rôle que le NC</v>
      </c>
      <c r="AK363" s="10"/>
      <c r="AL363" s="10"/>
      <c r="AM363" s="10"/>
      <c r="AN363" s="631">
        <f>IF(AND($K359=TRUE,$K362=FALSE),AN359,IF(AND($K359=FALSE,$K362=TRUE),AN362,IF(AND($K359=TRUE,$K362=TRUE),AN359+AN362,0)))</f>
        <v>0</v>
      </c>
      <c r="AO363" s="631">
        <f>IF(AND($R359=TRUE,$R362=FALSE),AO359,IF(AND($R359=FALSE,$R362=TRUE),AO362,IF(AND($R359=TRUE,$R362=TRUE),AO359+AO362,0)))</f>
        <v>4</v>
      </c>
      <c r="AP363" s="631">
        <f>IF(AND($U359=TRUE,$U362=FALSE),AP359,IF(AND($U359=FALSE,$U362=TRUE),AP362,IF(AND($U359=TRUE,$U362=TRUE),AP359+AP362,0)))</f>
        <v>0</v>
      </c>
      <c r="AQ363" s="631">
        <f>IF(AND($K359=TRUE,$K362=FALSE),AQ359,IF(AND($K359=FALSE,$K362=TRUE),AQ362,IF(AND($K359=TRUE,$K362=TRUE),AQ359+AQ362,MAX(AQ359,AQ362))))</f>
        <v>14</v>
      </c>
      <c r="AR363" s="631">
        <f>IF(AND($K359=TRUE,$K362=FALSE),AR359,IF(AND($K359=FALSE,$K362=TRUE),AR362,IF(AND($K359=TRUE,$K362=TRUE),AR359+AR362,MAX(AR359,AR362))))</f>
        <v>20</v>
      </c>
      <c r="AS363" s="631">
        <f t="shared" ref="AS363" si="352">IF(AND($R359=TRUE,$R362=FALSE),AS359,IF(AND($R359=FALSE,$R362=TRUE),AS362,IF(AND($R359=TRUE,$R362=TRUE),AS359+AS362,MAX(AS359,AS362))))</f>
        <v>4</v>
      </c>
      <c r="AT363" s="631">
        <f t="shared" ref="AT363" si="353">IF(AND($R359=TRUE,$R362=FALSE),AT359,IF(AND($R359=FALSE,$R362=TRUE),AT362,IF(AND($R359=TRUE,$R362=TRUE),AT359+AT362,MAX(AT359,AT362))))</f>
        <v>14</v>
      </c>
      <c r="AU363" s="631">
        <f t="shared" ref="AU363" si="354">IF(AND($U359=TRUE,$U362=FALSE),AU359,IF(AND($U359=FALSE,$U362=TRUE),AU362,IF(AND($U359=TRUE,$U362=TRUE),AU359+AU362,MAX(AU359,AU362))))</f>
        <v>0</v>
      </c>
      <c r="AV363" s="631">
        <f t="shared" ref="AV363" si="355">IF(AND($U359=TRUE,$U362=FALSE),AV359,IF(AND($U359=FALSE,$U362=TRUE),AV362,IF(AND($U359=TRUE,$U362=TRUE),AV359+AV362,MAX(AV359,AV362))))</f>
        <v>0</v>
      </c>
      <c r="BC363" s="7"/>
      <c r="BD363" s="816"/>
      <c r="BE363" s="110"/>
      <c r="BF363" s="477"/>
      <c r="BG363" s="113"/>
      <c r="BH363" s="481"/>
      <c r="BI363" s="113"/>
      <c r="BJ363" s="482"/>
      <c r="BK363" s="478"/>
    </row>
    <row r="364" spans="2:63" ht="32" customHeight="1" x14ac:dyDescent="0.2">
      <c r="B364" s="2030" t="str">
        <f>'Action-Réaction finale'!Q56</f>
        <v>F: Interférence lien affectif ou symbolique</v>
      </c>
      <c r="C364" s="313" t="str">
        <f>'Action-Réaction finale'!O56</f>
        <v>E22</v>
      </c>
      <c r="D364" s="26" t="str">
        <f>Test_Bible!B304</f>
        <v>Votre enfant connait des informations personnelles ou intimes sur vous dont vous n'avez jamais discuté avec lui ou avec elle.</v>
      </c>
      <c r="E364" s="101" t="s">
        <v>786</v>
      </c>
      <c r="F364" s="790">
        <f>Test_Bible!P304</f>
        <v>4</v>
      </c>
      <c r="G364" s="789">
        <f>Test_Bible!D304</f>
        <v>2</v>
      </c>
      <c r="H364" s="790">
        <f>F364*G364</f>
        <v>8</v>
      </c>
      <c r="I364" s="1622">
        <v>7</v>
      </c>
      <c r="J364" s="1615">
        <f>$J$18</f>
        <v>10</v>
      </c>
      <c r="K364" s="45" t="b">
        <f>IF(AND(F364&gt;=I364,F364&lt;=J364),TRUE,FALSE)</f>
        <v>0</v>
      </c>
      <c r="L364" s="45"/>
      <c r="M364" s="45"/>
      <c r="N364" s="45"/>
      <c r="O364" s="1623"/>
      <c r="P364" s="1622">
        <v>4</v>
      </c>
      <c r="Q364" s="1615">
        <v>7</v>
      </c>
      <c r="R364" s="1623" t="b">
        <f>IF(AND(F364&gt;=P364,F364&lt;=Q364),TRUE,FALSE)</f>
        <v>1</v>
      </c>
      <c r="S364" s="1622"/>
      <c r="T364" s="1615"/>
      <c r="U364" s="1623"/>
      <c r="V364" s="931"/>
      <c r="W364" s="1403"/>
      <c r="X364" s="1404">
        <v>4</v>
      </c>
      <c r="Y364" s="1405"/>
      <c r="Z364" s="1408">
        <v>2</v>
      </c>
      <c r="AA364" s="1405"/>
      <c r="AB364" s="1416">
        <v>11</v>
      </c>
      <c r="AD364" s="960" t="s">
        <v>945</v>
      </c>
      <c r="AE364" s="961"/>
      <c r="AF364" s="960"/>
      <c r="AG364" s="961"/>
      <c r="AH364" s="960"/>
      <c r="AI364" s="961"/>
      <c r="AK364" s="10"/>
      <c r="AL364" s="10"/>
      <c r="AM364" s="10"/>
      <c r="AN364" s="975">
        <f>IF($K364=TRUE,H364,0)</f>
        <v>0</v>
      </c>
      <c r="AO364" s="975">
        <f>IF($R364=TRUE,H364,0)</f>
        <v>8</v>
      </c>
      <c r="AP364" s="975"/>
      <c r="AQ364" s="1806">
        <f>IF(I364=11,0,G364*I364)</f>
        <v>14</v>
      </c>
      <c r="AR364" s="1806">
        <f>IF(J364=11,0,G364*J364)</f>
        <v>20</v>
      </c>
      <c r="AS364" s="1806">
        <f>IF(P364=11,0,G364*P364)</f>
        <v>8</v>
      </c>
      <c r="AT364" s="1806">
        <f>IF(Q364=11,0,G364*Q364)</f>
        <v>14</v>
      </c>
      <c r="AU364" s="1806"/>
      <c r="AV364" s="1806"/>
      <c r="BC364" s="7"/>
      <c r="BD364" s="816"/>
      <c r="BE364" s="110"/>
      <c r="BF364" s="477"/>
      <c r="BG364" s="113"/>
      <c r="BH364" s="481"/>
      <c r="BI364" s="113"/>
      <c r="BJ364" s="482"/>
      <c r="BK364" s="478"/>
    </row>
    <row r="365" spans="2:63" ht="32" customHeight="1" thickBot="1" x14ac:dyDescent="0.25">
      <c r="B365" s="2030"/>
      <c r="C365" s="313" t="s">
        <v>309</v>
      </c>
      <c r="D365" s="26"/>
      <c r="E365" s="101"/>
      <c r="F365" s="790"/>
      <c r="G365" s="789"/>
      <c r="H365" s="790">
        <f>F365*G365</f>
        <v>0</v>
      </c>
      <c r="I365" s="1647">
        <v>11</v>
      </c>
      <c r="J365" s="1648">
        <v>11</v>
      </c>
      <c r="K365" s="45" t="b">
        <f>IF(AND(F365&gt;=I365,F365&lt;=J365),TRUE,FALSE)</f>
        <v>0</v>
      </c>
      <c r="L365" s="45"/>
      <c r="M365" s="45"/>
      <c r="N365" s="45"/>
      <c r="O365" s="1623"/>
      <c r="P365" s="1647">
        <v>11</v>
      </c>
      <c r="Q365" s="1648">
        <v>11</v>
      </c>
      <c r="R365" s="1623" t="b">
        <f>IF(AND(F365&gt;=P365,F365&lt;=Q365),TRUE,FALSE)</f>
        <v>0</v>
      </c>
      <c r="S365" s="1647"/>
      <c r="T365" s="1648"/>
      <c r="U365" s="1623"/>
      <c r="V365" s="931"/>
      <c r="W365" s="1406" t="s">
        <v>943</v>
      </c>
      <c r="X365" s="1425">
        <v>11</v>
      </c>
      <c r="Y365" s="1426"/>
      <c r="Z365" s="1427">
        <v>11</v>
      </c>
      <c r="AA365" s="1426"/>
      <c r="AB365" s="1421">
        <v>11</v>
      </c>
      <c r="AD365" s="960"/>
      <c r="AE365" s="961"/>
      <c r="AF365" s="960"/>
      <c r="AG365" s="961"/>
      <c r="AH365" s="960"/>
      <c r="AI365" s="961"/>
      <c r="AK365" s="10"/>
      <c r="AL365" s="10"/>
      <c r="AM365" s="10"/>
      <c r="AN365" s="975">
        <f>IF($K365=TRUE,H365,0)</f>
        <v>0</v>
      </c>
      <c r="AO365" s="975">
        <f>IF($R365=TRUE,H365,0)</f>
        <v>0</v>
      </c>
      <c r="AP365" s="975"/>
      <c r="AQ365" s="1806">
        <f>IF(I365=11,0,G365*I365)</f>
        <v>0</v>
      </c>
      <c r="AR365" s="1806">
        <f>IF(J365=11,0,G365*J365)</f>
        <v>0</v>
      </c>
      <c r="AS365" s="1806">
        <f>IF(P365=11,0,G365*P365)</f>
        <v>0</v>
      </c>
      <c r="AT365" s="1806">
        <f>IF(Q365=11,0,G365*Q365)</f>
        <v>0</v>
      </c>
      <c r="AU365" s="1806"/>
      <c r="AV365" s="1806"/>
      <c r="BC365" s="7"/>
      <c r="BD365" s="816"/>
      <c r="BE365" s="110"/>
      <c r="BF365" s="477"/>
      <c r="BG365" s="113"/>
      <c r="BH365" s="481"/>
      <c r="BI365" s="113"/>
      <c r="BJ365" s="482"/>
      <c r="BK365" s="478"/>
    </row>
    <row r="366" spans="2:63" ht="32" customHeight="1" thickBot="1" x14ac:dyDescent="0.25">
      <c r="B366" s="2030"/>
      <c r="C366" s="809" t="s">
        <v>747</v>
      </c>
      <c r="D366" s="810" t="str">
        <f>_xlfn.XLOOKUP(H366,H364:H365,D364:D365)</f>
        <v>Votre enfant connait des informations personnelles ou intimes sur vous dont vous n'avez jamais discuté avec lui ou avec elle.</v>
      </c>
      <c r="E366" s="810" t="str">
        <f>_xlfn.XLOOKUP(H366,H364:H365,E364:E365)</f>
        <v>connait des informations personnelles sur vous que vous n'avez jamais discuté avec lui</v>
      </c>
      <c r="F366" s="811"/>
      <c r="G366" s="811"/>
      <c r="H366" s="811">
        <f>IF(AND(K364=TRUE,K365=FALSE),H364,IF(AND(K364=FALSE,K365=TRUE),H365,MAX(H364,H365)))</f>
        <v>8</v>
      </c>
      <c r="I366" s="1628"/>
      <c r="J366" s="812"/>
      <c r="K366" s="813" t="b">
        <f>IF(AND(K364=FALSE,K365=FALSE),FALSE,TRUE)</f>
        <v>0</v>
      </c>
      <c r="L366" s="1611"/>
      <c r="M366" s="1611"/>
      <c r="N366" s="1611"/>
      <c r="O366" s="1629"/>
      <c r="P366" s="1628"/>
      <c r="Q366" s="812"/>
      <c r="R366" s="813" t="b">
        <f>IF(AND(R364=FALSE,R365=FALSE),FALSE,TRUE)</f>
        <v>1</v>
      </c>
      <c r="S366" s="1628"/>
      <c r="T366" s="812"/>
      <c r="U366" s="813"/>
      <c r="V366" s="931"/>
      <c r="W366" s="931"/>
      <c r="X366" s="1394"/>
      <c r="Z366" s="1398"/>
      <c r="AB366" s="1402"/>
      <c r="AD366" s="960" t="str">
        <f>IF(K366=TRUE,"V","F")</f>
        <v>F</v>
      </c>
      <c r="AE366" s="961"/>
      <c r="AF366" s="960" t="str">
        <f>IF(R366=TRUE,"V","F")</f>
        <v>V</v>
      </c>
      <c r="AG366" s="961"/>
      <c r="AH366" s="960"/>
      <c r="AI366" s="961"/>
      <c r="AK366" s="10"/>
      <c r="AL366" s="10"/>
      <c r="AM366" s="10"/>
      <c r="AN366" s="2102">
        <f>IF(AND($K364=TRUE,$K365=FALSE),AN364,IF(AND($K364=FALSE,$K365=TRUE),AN365,IF(AND($K364=TRUE,$K365=TRUE),MAX(AN364,AN365),0)))</f>
        <v>0</v>
      </c>
      <c r="AO366" s="2102">
        <f>IF(AND($R364=TRUE,$R365=FALSE),AO364,IF(AND($R364=FALSE,$R365=TRUE),AO365,IF(AND($R364=TRUE,$R365=TRUE),MAX(AO364,AO365),0)))</f>
        <v>8</v>
      </c>
      <c r="AP366" s="2102"/>
      <c r="AQ366" s="2102">
        <f>IF(AND($K364=TRUE,$K365=FALSE),AQ364,IF(AND($K364=FALSE,$K365=TRUE),AQ365,IF(AND($K364=TRUE,$K365=TRUE),MAX(AQ364,AQ365),0)))</f>
        <v>0</v>
      </c>
      <c r="AR366" s="2102">
        <f>IF(AND($K364=TRUE,$K365=FALSE),AR364,IF(AND($K364=FALSE,$K365=TRUE),AR365,IF(AND($K364=TRUE,$K365=TRUE),MAX(AR364,AR365),0)))</f>
        <v>0</v>
      </c>
      <c r="AS366" s="2102">
        <f t="shared" ref="AS366" si="356">IF(AND($R364=TRUE,$R365=FALSE),AS364,IF(AND($R364=FALSE,$R365=TRUE),AS365,IF(AND($R364=TRUE,$R365=TRUE),MAX(AS364,AS365),0)))</f>
        <v>8</v>
      </c>
      <c r="AT366" s="2102">
        <f t="shared" ref="AT366" si="357">IF(AND($R364=TRUE,$R365=FALSE),AT364,IF(AND($R364=FALSE,$R365=TRUE),AT365,IF(AND($R364=TRUE,$R365=TRUE),MAX(AT364,AT365),0)))</f>
        <v>14</v>
      </c>
      <c r="AU366" s="2102"/>
      <c r="AV366" s="2102"/>
      <c r="BD366" s="816"/>
      <c r="BE366" s="110"/>
      <c r="BF366" s="477"/>
      <c r="BG366" s="113"/>
      <c r="BH366" s="481"/>
      <c r="BI366" s="113"/>
      <c r="BJ366" s="482"/>
      <c r="BK366" s="478"/>
    </row>
    <row r="367" spans="2:63" ht="32" customHeight="1" x14ac:dyDescent="0.2">
      <c r="B367" s="2030"/>
      <c r="D367" s="421" t="s">
        <v>310</v>
      </c>
      <c r="E367" s="785"/>
      <c r="F367" s="474" t="s">
        <v>398</v>
      </c>
      <c r="G367" s="47"/>
      <c r="H367" s="47">
        <f>IF(AND(K363=TRUE,K366=FALSE),H363,IF(AND(K363=FALSE,K366=TRUE),H366,IF(AND(K363=TRUE,K366=TRUE),H363+H366,MAX(H363,H366))))</f>
        <v>8</v>
      </c>
      <c r="I367" s="1630"/>
      <c r="J367" s="475"/>
      <c r="K367" s="1613"/>
      <c r="L367" s="1614" t="str">
        <f>IF(AND(K366=TRUE,K363=TRUE),E366,"")</f>
        <v/>
      </c>
      <c r="M367" s="1614" t="str">
        <f>IF(AND(K363=TRUE,K366=FALSE),"Bien que le parent "&amp;E363&amp;" l'enfant ne semble pas s'ingérer","")</f>
        <v/>
      </c>
      <c r="N367" s="1614" t="str">
        <f>IF(AND(K363=FALSE,K366=TRUE),E366&amp;" sans signe de la participation du parent favorisé et|ou nouveau conjoint.e","")</f>
        <v/>
      </c>
      <c r="O367" s="1631" t="str">
        <f>IF(AND(K363=FALSE,K366=FALSE),"aucun comportement significatif de cette nature","")</f>
        <v>aucun comportement significatif de cette nature</v>
      </c>
      <c r="P367" s="1630"/>
      <c r="Q367" s="475"/>
      <c r="R367" s="1639"/>
      <c r="S367" s="1630"/>
      <c r="T367" s="475"/>
      <c r="U367" s="1639"/>
      <c r="V367" s="170"/>
      <c r="W367" s="170"/>
      <c r="X367" s="1394"/>
      <c r="Z367" s="1398"/>
      <c r="AB367" s="1402"/>
      <c r="AD367" s="962"/>
      <c r="AE367" s="963">
        <f>IF(AND(AD363="V",AD366="V"),2,IF(OR(AD363="V",AD366="V"),1,0))</f>
        <v>0</v>
      </c>
      <c r="AF367" s="962"/>
      <c r="AG367" s="963">
        <f>IF(OR(AF363="V",AF366="V"),1,0)</f>
        <v>1</v>
      </c>
      <c r="AH367" s="962"/>
      <c r="AI367" s="963"/>
      <c r="AK367" s="10"/>
      <c r="AL367" s="10"/>
      <c r="AM367" s="10"/>
      <c r="AN367" s="2097">
        <f>IF(AND($AD363="V",$AD366="F"),AN363,IF(AND($AD363="F",$AD366="V"),AN366,IF(AND($AD363="V",$AD366="V"),AN363+AN366,0)))</f>
        <v>0</v>
      </c>
      <c r="AO367" s="2097">
        <f>IF(AND($AF363="V",$AF366="F"),AO363,IF(AND($AF363="F",$AF366="V"),AO366,IF(AND($AF363="V",$AF366="V"),AO363+AO366,0)))</f>
        <v>12</v>
      </c>
      <c r="AP367" s="2097"/>
      <c r="AQ367" s="2097">
        <f>IF(AND($AD363="V",$AD366="F"),AQ363,IF(AND($AD363="F",$AD366="V"),AQ366,IF(AND($AD363="V",$AD366="V"),AQ363+AQ366,0)))</f>
        <v>0</v>
      </c>
      <c r="AR367" s="2097">
        <f>IF(AND($AD363="V",$AD366="F"),AR363,IF(AND($AD363="F",$AD366="V"),AR366,IF(AND($AD363="V",$AD366="V"),AR363+AR366,0)))</f>
        <v>0</v>
      </c>
      <c r="AS367" s="2097">
        <f>IF(AND($AF363="V",$AF366="F"),AS363,IF(AND($AF363="F",$AF366="V"),AS366,IF(AND($AF363="V",$AF366="V"),AS363+AS366,0)))</f>
        <v>12</v>
      </c>
      <c r="AT367" s="2097">
        <f>IF(AND($AF363="V",$AF366="F"),AT363,IF(AND($AF363="F",$AF366="V"),AT366,IF(AND($AF363="V",$AF366="V"),AT363+AT366,0)))</f>
        <v>28</v>
      </c>
      <c r="AU367" s="2097"/>
      <c r="AV367" s="2097"/>
      <c r="BD367" s="816"/>
      <c r="BE367" s="110"/>
      <c r="BF367" s="477"/>
      <c r="BG367" s="113"/>
      <c r="BH367" s="481"/>
      <c r="BI367" s="113"/>
      <c r="BJ367" s="482"/>
      <c r="BK367" s="478"/>
    </row>
    <row r="368" spans="2:63" ht="32" customHeight="1" x14ac:dyDescent="0.2">
      <c r="B368" s="2030"/>
      <c r="C368" t="s">
        <v>243</v>
      </c>
      <c r="I368" s="146"/>
      <c r="L368" s="46"/>
      <c r="M368" s="46"/>
      <c r="N368" s="46"/>
      <c r="O368" s="1652"/>
      <c r="P368" s="146"/>
      <c r="R368" s="326"/>
      <c r="S368" s="146"/>
      <c r="U368" s="326"/>
      <c r="V368" s="46"/>
      <c r="AD368" s="960"/>
      <c r="AE368" s="961"/>
      <c r="AF368" s="960"/>
      <c r="AG368" s="961"/>
      <c r="AH368" s="960"/>
      <c r="AI368" s="961"/>
      <c r="AK368" s="10"/>
      <c r="AL368" s="10"/>
      <c r="AM368" s="10"/>
      <c r="AN368" s="975"/>
      <c r="AO368" s="975"/>
      <c r="AP368" s="975"/>
      <c r="AQ368" s="1806"/>
      <c r="AR368" s="1806"/>
      <c r="AS368" s="1806"/>
      <c r="AT368" s="1806"/>
      <c r="AU368" s="1806"/>
      <c r="AV368" s="1806"/>
      <c r="BD368" s="816"/>
      <c r="BE368" s="110"/>
      <c r="BF368" s="477"/>
      <c r="BG368" s="113"/>
      <c r="BH368" s="481"/>
      <c r="BI368" s="113"/>
      <c r="BJ368" s="482"/>
      <c r="BK368" s="478"/>
    </row>
    <row r="369" spans="2:63" ht="32" customHeight="1" x14ac:dyDescent="0.2">
      <c r="B369" s="2030"/>
      <c r="C369" s="964"/>
      <c r="D369" s="972"/>
      <c r="E369" s="965"/>
      <c r="F369" s="973"/>
      <c r="G369" s="973"/>
      <c r="H369" s="973">
        <f>F369*G369</f>
        <v>0</v>
      </c>
      <c r="I369" s="1647">
        <v>11</v>
      </c>
      <c r="J369" s="1648">
        <v>11</v>
      </c>
      <c r="K369" s="45" t="b">
        <f>IF(AND(F369&gt;=I369,F369&lt;=J369),TRUE,FALSE)</f>
        <v>0</v>
      </c>
      <c r="L369" s="32"/>
      <c r="M369" s="32"/>
      <c r="N369" s="32"/>
      <c r="O369" s="1632"/>
      <c r="P369" s="1647">
        <v>11</v>
      </c>
      <c r="Q369" s="1648">
        <v>11</v>
      </c>
      <c r="R369" s="1623" t="b">
        <f>IF(AND(F369&gt;=P369,F369&lt;=Q369),TRUE,FALSE)</f>
        <v>0</v>
      </c>
      <c r="S369" s="1647">
        <v>11</v>
      </c>
      <c r="T369" s="1648">
        <v>11</v>
      </c>
      <c r="U369" s="1623" t="b">
        <f>IF(AND(F369&gt;=S369,F369&lt;=T369),TRUE,FALSE)</f>
        <v>0</v>
      </c>
      <c r="V369" s="46"/>
      <c r="W369" s="1428"/>
      <c r="X369" s="1422">
        <v>11</v>
      </c>
      <c r="Y369" s="1423"/>
      <c r="Z369" s="1424">
        <v>11</v>
      </c>
      <c r="AA369" s="1423"/>
      <c r="AB369" s="1416">
        <v>11</v>
      </c>
      <c r="AD369" s="960"/>
      <c r="AE369" s="961"/>
      <c r="AF369" s="960"/>
      <c r="AG369" s="961"/>
      <c r="AH369" s="960"/>
      <c r="AI369" s="961"/>
      <c r="AK369" s="10"/>
      <c r="AL369" s="10"/>
      <c r="AM369" s="10"/>
      <c r="AN369" s="975">
        <f>IF($K369=TRUE,H369,0)</f>
        <v>0</v>
      </c>
      <c r="AO369" s="975">
        <f>IF($R369=TRUE,H369,0)</f>
        <v>0</v>
      </c>
      <c r="AP369" s="975">
        <f>IF($U369=TRUE,H369,0)</f>
        <v>0</v>
      </c>
      <c r="AQ369" s="1806">
        <f>IF(I369=11,0,G369*I369)</f>
        <v>0</v>
      </c>
      <c r="AR369" s="1806">
        <f>IF(J369=11,0,G369*J369)</f>
        <v>0</v>
      </c>
      <c r="AS369" s="1806">
        <f>IF(P369=11,0,G369*P369)</f>
        <v>0</v>
      </c>
      <c r="AT369" s="1806">
        <f>IF(Q369=11,0,G369*Q369)</f>
        <v>0</v>
      </c>
      <c r="AU369" s="1806">
        <f>IF(S369=11,0,S369*G369)</f>
        <v>0</v>
      </c>
      <c r="AV369" s="1806">
        <f>IF(T369=11,0,T369*G369)</f>
        <v>0</v>
      </c>
      <c r="BD369" s="816"/>
      <c r="BE369" s="110"/>
      <c r="BF369" s="477"/>
      <c r="BG369" s="113"/>
      <c r="BH369" s="481"/>
      <c r="BI369" s="113"/>
      <c r="BJ369" s="482"/>
      <c r="BK369" s="478"/>
    </row>
    <row r="370" spans="2:63" ht="32" customHeight="1" thickBot="1" x14ac:dyDescent="0.25">
      <c r="B370" s="2030"/>
      <c r="C370" s="964"/>
      <c r="D370" s="972"/>
      <c r="E370" s="965"/>
      <c r="F370" s="973"/>
      <c r="G370" s="973"/>
      <c r="H370" s="973">
        <f>F370*G370</f>
        <v>0</v>
      </c>
      <c r="I370" s="1647">
        <v>11</v>
      </c>
      <c r="J370" s="1648">
        <v>11</v>
      </c>
      <c r="K370" s="45" t="b">
        <f>IF(AND(F370&gt;=I370,F370&lt;=J370),TRUE,FALSE)</f>
        <v>0</v>
      </c>
      <c r="L370" s="32"/>
      <c r="M370" s="32"/>
      <c r="N370" s="32"/>
      <c r="O370" s="1632"/>
      <c r="P370" s="1647">
        <v>11</v>
      </c>
      <c r="Q370" s="1648">
        <v>11</v>
      </c>
      <c r="R370" s="1623" t="b">
        <f>IF(AND(F370&gt;=P370,F370&lt;=Q370),TRUE,FALSE)</f>
        <v>0</v>
      </c>
      <c r="S370" s="1647">
        <v>11</v>
      </c>
      <c r="T370" s="1648">
        <v>11</v>
      </c>
      <c r="U370" s="1623" t="b">
        <f>IF(AND(F370&gt;=S370,F370&lt;=T370),TRUE,FALSE)</f>
        <v>0</v>
      </c>
      <c r="W370" s="1429"/>
      <c r="X370" s="1425">
        <v>11</v>
      </c>
      <c r="Y370" s="1426"/>
      <c r="Z370" s="1427">
        <v>11</v>
      </c>
      <c r="AA370" s="1426"/>
      <c r="AB370" s="1421">
        <v>11</v>
      </c>
      <c r="AD370" s="960"/>
      <c r="AE370" s="961"/>
      <c r="AF370" s="960"/>
      <c r="AG370" s="961"/>
      <c r="AH370" s="960"/>
      <c r="AI370" s="961"/>
      <c r="AK370" s="10"/>
      <c r="AL370" s="10"/>
      <c r="AM370" s="10"/>
      <c r="AN370" s="975">
        <f>IF($K370=TRUE,H370,0)</f>
        <v>0</v>
      </c>
      <c r="AO370" s="975">
        <f>IF($R370=TRUE,H370,0)</f>
        <v>0</v>
      </c>
      <c r="AP370" s="975">
        <f>IF($U370=TRUE,H370,0)</f>
        <v>0</v>
      </c>
      <c r="AQ370" s="1806">
        <f>IF(I370=11,0,G370*I370)</f>
        <v>0</v>
      </c>
      <c r="AR370" s="1806">
        <f>IF(J370=11,0,G370*J370)</f>
        <v>0</v>
      </c>
      <c r="AS370" s="1806">
        <f>IF(P370=11,0,G370*P370)</f>
        <v>0</v>
      </c>
      <c r="AT370" s="1806">
        <f>IF(Q370=11,0,G370*Q370)</f>
        <v>0</v>
      </c>
      <c r="AU370" s="1806">
        <f>IF(S370=11,0,S370*G370)</f>
        <v>0</v>
      </c>
      <c r="AV370" s="1806">
        <f>IF(T370=11,0,T370*G370)</f>
        <v>0</v>
      </c>
      <c r="BD370" s="816"/>
      <c r="BE370" s="110"/>
      <c r="BF370" s="477"/>
      <c r="BG370" s="113"/>
      <c r="BH370" s="481"/>
      <c r="BI370" s="113"/>
      <c r="BJ370" s="482"/>
      <c r="BK370" s="478"/>
    </row>
    <row r="371" spans="2:63" ht="32" customHeight="1" thickBot="1" x14ac:dyDescent="0.25">
      <c r="B371" s="2030"/>
      <c r="C371" s="7"/>
      <c r="D371" s="297"/>
      <c r="E371" s="297"/>
      <c r="F371" s="89"/>
      <c r="G371" s="16"/>
      <c r="H371" s="47">
        <f>IF(AND(K369=TRUE,K370=FALSE),H369,IF(AND(K369=FALSE,K370=TRUE),H370,MAX(H369,H370)))</f>
        <v>0</v>
      </c>
      <c r="I371" s="1644"/>
      <c r="J371" s="1645"/>
      <c r="K371" s="1651" t="b">
        <f>IF(AND(K369=FALSE,K370=FALSE),FALSE,TRUE)</f>
        <v>0</v>
      </c>
      <c r="L371" s="1633"/>
      <c r="M371" s="1634"/>
      <c r="N371" s="1634"/>
      <c r="O371" s="1635"/>
      <c r="P371" s="1644"/>
      <c r="Q371" s="1645"/>
      <c r="R371" s="1651" t="b">
        <f>IF(AND(R369=FALSE,R370=FALSE),FALSE,TRUE)</f>
        <v>0</v>
      </c>
      <c r="S371" s="1656"/>
      <c r="T371" s="1657"/>
      <c r="U371" s="1658" t="b">
        <f>IF(AND(U369=FALSE,U370=FALSE),FALSE,TRUE)</f>
        <v>0</v>
      </c>
      <c r="AD371" s="1564" t="str">
        <f>IF(K371=TRUE,"V","F")</f>
        <v>F</v>
      </c>
      <c r="AE371" s="1565"/>
      <c r="AF371" s="1564" t="str">
        <f>IF(R371=TRUE,"V","F")</f>
        <v>F</v>
      </c>
      <c r="AG371" s="1565"/>
      <c r="AH371" s="1564" t="str">
        <f>IF(U371=TRUE,"V","F")</f>
        <v>F</v>
      </c>
      <c r="AI371" s="1565"/>
      <c r="AK371" s="10"/>
      <c r="AL371" s="10"/>
      <c r="AM371" s="10"/>
      <c r="AN371" s="2102">
        <f>IF(AND($K369=TRUE,$K370=FALSE),AN369,IF(AND($K369=FALSE,$K370=TRUE),AN370,MAX(AN369,AN370)))</f>
        <v>0</v>
      </c>
      <c r="AO371" s="2102">
        <f>IF(AND($R369=TRUE,$R370=FALSE),AO369,IF(AND($R369=FALSE,$R370=TRUE),AO370,MAX(AO369,AO370)))</f>
        <v>0</v>
      </c>
      <c r="AP371" s="2102">
        <f>IF(AND($U369=TRUE,$U370=FALSE),AP369,IF(AND($U369=FALSE,$U370=TRUE),AP370,MAX(AP369,AP370)))</f>
        <v>0</v>
      </c>
      <c r="AQ371" s="2102">
        <f>IF(AND($K369=TRUE,$K370=FALSE),AQ369,IF(AND($K369=FALSE,$K370=TRUE),AQ370,MAX(AQ369,AQ370)))</f>
        <v>0</v>
      </c>
      <c r="AR371" s="2102">
        <f>IF(AND($K369=TRUE,$K370=FALSE),AR369,IF(AND($K369=FALSE,$K370=TRUE),AR370,MAX(AR369,AR370)))</f>
        <v>0</v>
      </c>
      <c r="AS371" s="2102">
        <f>IF(AND($R369=TRUE,$R370=FALSE),AS369,IF(AND($R369=FALSE,$R370=TRUE),AS370,MAX(AS369,AS370)))</f>
        <v>0</v>
      </c>
      <c r="AT371" s="2102">
        <f>IF(AND($R369=TRUE,$R370=FALSE),AT369,IF(AND($R369=FALSE,$R370=TRUE),AT370,MAX(AT369,AT370)))</f>
        <v>0</v>
      </c>
      <c r="AU371" s="2102">
        <f>IF(AND($U369=TRUE,$U370=FALSE),AU369,IF(AND($U369=FALSE,$U370=TRUE),AU370,MAX(AU369,AU370)))</f>
        <v>0</v>
      </c>
      <c r="AV371" s="2102">
        <f>IF(AND($U369=TRUE,$U370=FALSE),AV369,IF(AND($U369=FALSE,$U370=TRUE),AV370,MAX(AV369,AV370)))</f>
        <v>0</v>
      </c>
      <c r="BD371" s="816"/>
      <c r="BE371" s="110"/>
      <c r="BF371" s="477"/>
      <c r="BG371" s="113"/>
      <c r="BH371" s="481"/>
      <c r="BI371" s="113"/>
      <c r="BJ371" s="482"/>
      <c r="BK371" s="478"/>
    </row>
    <row r="372" spans="2:63" ht="32" customHeight="1" thickBot="1" x14ac:dyDescent="0.35">
      <c r="D372" s="16"/>
      <c r="E372" s="16"/>
      <c r="F372" s="89"/>
      <c r="G372" s="473"/>
      <c r="H372" s="473"/>
      <c r="I372" s="8"/>
      <c r="J372" s="8"/>
      <c r="K372" s="932"/>
      <c r="L372" s="933"/>
      <c r="M372" s="933"/>
      <c r="N372" s="933"/>
      <c r="O372" s="933"/>
      <c r="P372" s="933"/>
      <c r="Q372" s="933"/>
      <c r="R372" s="933"/>
      <c r="S372" s="933"/>
      <c r="T372" s="933"/>
      <c r="U372" s="933"/>
      <c r="V372" s="933"/>
      <c r="W372" s="933"/>
      <c r="AD372" s="1649"/>
      <c r="AE372" s="1650">
        <f>IF(AND(AD371="V",AD363="V"),AE367-1,AE367)</f>
        <v>0</v>
      </c>
      <c r="AF372" s="1649"/>
      <c r="AG372" s="1650">
        <f>IF(OR(AF363="V",AF366="V",AF371="V"),1,0)</f>
        <v>1</v>
      </c>
      <c r="AH372" s="1649"/>
      <c r="AI372" s="1650">
        <f>IF(AH363="V",1,IF(AH371="V",1,0))</f>
        <v>0</v>
      </c>
      <c r="AK372" s="10">
        <v>1</v>
      </c>
      <c r="AL372" s="10">
        <v>1</v>
      </c>
      <c r="AM372" s="10"/>
      <c r="AN372" s="2101">
        <f>IF($AD371="F",AN367,AN367+AN371)</f>
        <v>0</v>
      </c>
      <c r="AO372" s="2101">
        <f>IF($AF371="F",AO367,AO367+AO371)</f>
        <v>12</v>
      </c>
      <c r="AP372" s="2101">
        <f>IF(AND($AH363="V",$AH371="F"),AP363,IF(AND($AH363="F",$AH371="V"),AP371,IF(AND($AH363="V",$AH371="V"),AP363+AP371,0)))</f>
        <v>0</v>
      </c>
      <c r="AQ372" s="2101">
        <f>IF($AD371="F",AQ367,AQ367+AQ371)</f>
        <v>0</v>
      </c>
      <c r="AR372" s="2101">
        <f t="shared" ref="AR372" si="358">IF($AD371="F",AR367,AR367+AR371)</f>
        <v>0</v>
      </c>
      <c r="AS372" s="2101">
        <f t="shared" ref="AS372" si="359">IF($AF371="F",AS367,AS367+AS371)</f>
        <v>12</v>
      </c>
      <c r="AT372" s="2101">
        <f t="shared" ref="AT372" si="360">IF($AF371="F",AT367,AT367+AT371)</f>
        <v>28</v>
      </c>
      <c r="AU372" s="2101">
        <f t="shared" ref="AU372" si="361">IF(AND($AH363="V",$AH371="F"),AU363,IF(AND($AH363="F",$AH371="V"),AU371,IF(AND($AH363="V",$AH371="V"),AU363+AU371,0)))</f>
        <v>0</v>
      </c>
      <c r="AV372" s="2101">
        <f t="shared" ref="AV372" si="362">IF(AND($AH363="V",$AH371="F"),AV363,IF(AND($AH363="F",$AH371="V"),AV371,IF(AND($AH363="V",$AH371="V"),AV363+AV371,0)))</f>
        <v>0</v>
      </c>
      <c r="BD372" s="816"/>
      <c r="BE372" s="110"/>
      <c r="BF372" s="477"/>
      <c r="BG372" s="113"/>
      <c r="BH372" s="481"/>
      <c r="BI372" s="113"/>
      <c r="BJ372" s="482"/>
      <c r="BK372" s="478"/>
    </row>
    <row r="373" spans="2:63" ht="32" customHeight="1" x14ac:dyDescent="0.3">
      <c r="D373" s="16"/>
      <c r="E373" s="16"/>
      <c r="F373" s="89"/>
      <c r="G373" s="473"/>
      <c r="H373" s="473"/>
      <c r="I373" s="1616"/>
      <c r="J373" s="1617"/>
      <c r="K373" s="1618"/>
      <c r="L373" s="2268"/>
      <c r="M373" s="2268"/>
      <c r="N373" s="2268"/>
      <c r="O373" s="1619"/>
      <c r="P373" s="1636"/>
      <c r="Q373" s="1618"/>
      <c r="R373" s="1619"/>
      <c r="S373" s="1636"/>
      <c r="T373" s="1618"/>
      <c r="U373" s="1619"/>
      <c r="V373" s="170"/>
      <c r="W373" s="170"/>
      <c r="AD373" s="1668"/>
      <c r="AE373" s="1669"/>
      <c r="AF373" s="1409"/>
      <c r="AG373" s="1409"/>
      <c r="AH373" s="1409"/>
      <c r="AI373" s="1409"/>
      <c r="BD373" s="816"/>
      <c r="BE373" s="110"/>
      <c r="BF373" s="477"/>
      <c r="BG373" s="113"/>
      <c r="BH373" s="481"/>
      <c r="BI373" s="113"/>
      <c r="BJ373" s="482"/>
      <c r="BK373" s="478"/>
    </row>
    <row r="374" spans="2:63" ht="32" customHeight="1" x14ac:dyDescent="0.3">
      <c r="B374" s="2029">
        <v>19</v>
      </c>
      <c r="D374" s="476" t="str">
        <f>'Action-Réaction finale'!F59</f>
        <v>Fait lire les communications à l'enfant</v>
      </c>
      <c r="E374" s="107"/>
      <c r="F374" s="65"/>
      <c r="G374" s="18"/>
      <c r="H374" s="18"/>
      <c r="I374" s="2255" t="s">
        <v>734</v>
      </c>
      <c r="J374" s="2256"/>
      <c r="K374" s="2256"/>
      <c r="L374" s="2257" t="s">
        <v>1378</v>
      </c>
      <c r="M374" s="2257"/>
      <c r="N374" s="2257"/>
      <c r="O374" s="2258"/>
      <c r="P374" s="2259" t="s">
        <v>733</v>
      </c>
      <c r="Q374" s="2260"/>
      <c r="R374" s="2261"/>
      <c r="S374" s="2262" t="s">
        <v>735</v>
      </c>
      <c r="T374" s="2263"/>
      <c r="U374" s="2264"/>
      <c r="V374" s="15"/>
      <c r="W374" s="15"/>
      <c r="AD374" s="956"/>
      <c r="AE374" s="956"/>
      <c r="AF374" s="956"/>
      <c r="AG374" s="956"/>
      <c r="AH374" s="956"/>
      <c r="AI374" s="957"/>
      <c r="AK374" s="10"/>
      <c r="AL374" s="10"/>
      <c r="AM374" s="10"/>
      <c r="AN374" s="1659" t="s">
        <v>734</v>
      </c>
      <c r="AO374" s="1659" t="s">
        <v>733</v>
      </c>
      <c r="AP374" s="1659" t="s">
        <v>735</v>
      </c>
      <c r="AQ374" s="2254" t="s">
        <v>734</v>
      </c>
      <c r="AR374" s="2254"/>
      <c r="AS374" s="2254" t="s">
        <v>733</v>
      </c>
      <c r="AT374" s="2254"/>
      <c r="AU374" s="2254" t="s">
        <v>735</v>
      </c>
      <c r="AV374" s="2254"/>
      <c r="BD374" s="816"/>
      <c r="BE374" s="110"/>
      <c r="BF374" s="477"/>
      <c r="BG374" s="113"/>
      <c r="BH374" s="481"/>
      <c r="BI374" s="113"/>
      <c r="BJ374" s="482"/>
      <c r="BK374" s="478"/>
    </row>
    <row r="375" spans="2:63" ht="32" customHeight="1" x14ac:dyDescent="0.3">
      <c r="D375" s="102" t="s">
        <v>998</v>
      </c>
      <c r="E375" s="983" t="s">
        <v>997</v>
      </c>
      <c r="F375" s="32" t="s">
        <v>748</v>
      </c>
      <c r="G375" s="32" t="s">
        <v>749</v>
      </c>
      <c r="H375" s="32" t="s">
        <v>750</v>
      </c>
      <c r="I375" s="1620" t="s">
        <v>306</v>
      </c>
      <c r="J375" s="43" t="s">
        <v>307</v>
      </c>
      <c r="K375" s="43" t="s">
        <v>308</v>
      </c>
      <c r="L375" s="43" t="s">
        <v>413</v>
      </c>
      <c r="M375" s="43" t="s">
        <v>388</v>
      </c>
      <c r="N375" s="43" t="s">
        <v>389</v>
      </c>
      <c r="O375" s="1621" t="s">
        <v>390</v>
      </c>
      <c r="P375" s="1620" t="s">
        <v>306</v>
      </c>
      <c r="Q375" s="43" t="s">
        <v>307</v>
      </c>
      <c r="R375" s="1621" t="s">
        <v>308</v>
      </c>
      <c r="S375" s="1620" t="s">
        <v>306</v>
      </c>
      <c r="T375" s="43" t="s">
        <v>307</v>
      </c>
      <c r="U375" s="1621" t="s">
        <v>308</v>
      </c>
      <c r="V375" s="818"/>
      <c r="W375" s="955" t="s">
        <v>928</v>
      </c>
      <c r="X375" s="1391" t="s">
        <v>734</v>
      </c>
      <c r="Y375" s="955" t="s">
        <v>928</v>
      </c>
      <c r="Z375" s="1395" t="s">
        <v>733</v>
      </c>
      <c r="AA375" s="955"/>
      <c r="AB375" s="1399" t="s">
        <v>735</v>
      </c>
      <c r="AD375" s="970" t="s">
        <v>734</v>
      </c>
      <c r="AE375" s="971" t="s">
        <v>946</v>
      </c>
      <c r="AF375" s="970" t="s">
        <v>733</v>
      </c>
      <c r="AG375" s="971" t="s">
        <v>947</v>
      </c>
      <c r="AH375" s="970" t="s">
        <v>735</v>
      </c>
      <c r="AI375" s="971" t="s">
        <v>948</v>
      </c>
      <c r="AK375" s="10"/>
      <c r="AL375" s="10"/>
      <c r="AM375" s="10"/>
      <c r="AN375" s="10"/>
      <c r="AO375" s="10"/>
      <c r="AP375" s="10"/>
      <c r="AQ375" s="1806" t="s">
        <v>1322</v>
      </c>
      <c r="AR375" s="1806" t="s">
        <v>1323</v>
      </c>
      <c r="AS375" s="1806" t="s">
        <v>1322</v>
      </c>
      <c r="AT375" s="1806" t="s">
        <v>1323</v>
      </c>
      <c r="AU375" s="1806" t="s">
        <v>1322</v>
      </c>
      <c r="AV375" s="1806" t="s">
        <v>1323</v>
      </c>
      <c r="BD375" s="816"/>
      <c r="BE375" s="110"/>
      <c r="BF375" s="477"/>
      <c r="BG375" s="113"/>
      <c r="BH375" s="481"/>
      <c r="BI375" s="113"/>
      <c r="BJ375" s="482"/>
      <c r="BK375" s="478"/>
    </row>
    <row r="376" spans="2:63" ht="32" customHeight="1" x14ac:dyDescent="0.2">
      <c r="B376" s="2030" t="str">
        <f>'Action-Réaction finale'!I59</f>
        <v>G: Parentification</v>
      </c>
      <c r="C376" s="414" t="str">
        <f>'Action-Réaction finale'!G59</f>
        <v>PFA32</v>
      </c>
      <c r="D376" s="26" t="str">
        <f>Test_Bible!B246</f>
        <v>L'autre parent fait lire vos échanges et communications (courriels, textos, etc.) à votre enfant.</v>
      </c>
      <c r="E376" s="101" t="s">
        <v>787</v>
      </c>
      <c r="F376" s="790">
        <f>Test_Bible!P246</f>
        <v>7</v>
      </c>
      <c r="G376" s="789">
        <f>Test_Bible!D246</f>
        <v>2</v>
      </c>
      <c r="H376" s="790">
        <f>F376*G376</f>
        <v>14</v>
      </c>
      <c r="I376" s="1622">
        <v>4</v>
      </c>
      <c r="J376" s="1615">
        <v>10</v>
      </c>
      <c r="K376" s="45" t="b">
        <f>IF(AND(F376&gt;=I376,F376&lt;=J376),TRUE,FALSE)</f>
        <v>1</v>
      </c>
      <c r="L376" s="45"/>
      <c r="M376" s="45"/>
      <c r="N376" s="45"/>
      <c r="O376" s="1623"/>
      <c r="P376" s="1622">
        <v>2</v>
      </c>
      <c r="Q376" s="1615">
        <v>7</v>
      </c>
      <c r="R376" s="1623" t="b">
        <f>IF(AND(F376&gt;=P376,F376&lt;=Q376),TRUE,FALSE)</f>
        <v>1</v>
      </c>
      <c r="S376" s="1622">
        <v>4</v>
      </c>
      <c r="T376" s="1615">
        <v>7</v>
      </c>
      <c r="U376" s="1623" t="b">
        <f>IF(AND(F376&gt;=S376,F376&lt;=T376),TRUE,FALSE)</f>
        <v>1</v>
      </c>
      <c r="V376" s="931"/>
      <c r="W376" s="1403"/>
      <c r="X376" s="1404">
        <v>4</v>
      </c>
      <c r="Y376" s="1405"/>
      <c r="Z376" s="1408">
        <v>2</v>
      </c>
      <c r="AA376" s="1405"/>
      <c r="AB376" s="1415">
        <v>4</v>
      </c>
      <c r="AD376" s="958"/>
      <c r="AE376" s="959"/>
      <c r="AF376" s="958"/>
      <c r="AG376" s="959"/>
      <c r="AH376" s="958"/>
      <c r="AI376" s="959"/>
      <c r="AK376" s="10"/>
      <c r="AL376" s="10"/>
      <c r="AM376" s="10"/>
      <c r="AN376" s="975">
        <f>IF($K376=TRUE,H376,0)</f>
        <v>14</v>
      </c>
      <c r="AO376" s="975">
        <f>IF($R376=TRUE,H376,0)</f>
        <v>14</v>
      </c>
      <c r="AP376" s="975">
        <f>IF($U376=TRUE,H376,0)</f>
        <v>14</v>
      </c>
      <c r="AQ376" s="1806">
        <f>IF(I376=11,0,G376*I376)</f>
        <v>8</v>
      </c>
      <c r="AR376" s="1806">
        <f>IF(J376=11,0,G376*J376)</f>
        <v>20</v>
      </c>
      <c r="AS376" s="1806">
        <f>IF(P376=11,0,G376*P376)</f>
        <v>4</v>
      </c>
      <c r="AT376" s="1806">
        <f>IF(Q376=11,0,G376*Q376)</f>
        <v>14</v>
      </c>
      <c r="AU376" s="1806">
        <f>IF(S376=11,0,S376*G376)</f>
        <v>8</v>
      </c>
      <c r="AV376" s="1806">
        <f>IF(T376=11,0,T376*G376)</f>
        <v>14</v>
      </c>
      <c r="BD376" s="816"/>
      <c r="BE376" s="110"/>
      <c r="BF376" s="477"/>
      <c r="BG376" s="113"/>
      <c r="BH376" s="481"/>
      <c r="BI376" s="113"/>
      <c r="BJ376" s="482"/>
      <c r="BK376" s="478"/>
    </row>
    <row r="377" spans="2:63" ht="32" customHeight="1" x14ac:dyDescent="0.2">
      <c r="B377" s="1847"/>
      <c r="C377" s="414" t="s">
        <v>293</v>
      </c>
      <c r="D377" s="26"/>
      <c r="E377" s="101"/>
      <c r="F377" s="790"/>
      <c r="G377" s="789"/>
      <c r="H377" s="790">
        <f>F377*G377</f>
        <v>0</v>
      </c>
      <c r="I377" s="1647">
        <v>11</v>
      </c>
      <c r="J377" s="1648">
        <v>11</v>
      </c>
      <c r="K377" s="45" t="b">
        <f>IF(AND(F377&gt;=I377,F377&lt;=J377),TRUE,FALSE)</f>
        <v>0</v>
      </c>
      <c r="L377" s="45"/>
      <c r="M377" s="45"/>
      <c r="N377" s="45"/>
      <c r="O377" s="1623"/>
      <c r="P377" s="1647">
        <v>11</v>
      </c>
      <c r="Q377" s="1648">
        <v>11</v>
      </c>
      <c r="R377" s="1623" t="b">
        <f>IF(AND(F377&gt;=P377,F377&lt;=Q377),TRUE,FALSE)</f>
        <v>0</v>
      </c>
      <c r="S377" s="1647">
        <v>11</v>
      </c>
      <c r="T377" s="1648">
        <v>11</v>
      </c>
      <c r="U377" s="1623" t="b">
        <f>IF(AND(F377&gt;=S377,F377&lt;=T377),TRUE,FALSE)</f>
        <v>0</v>
      </c>
      <c r="V377" s="931"/>
      <c r="W377" s="1406" t="s">
        <v>943</v>
      </c>
      <c r="X377" s="1425">
        <v>11</v>
      </c>
      <c r="Y377" s="1426"/>
      <c r="Z377" s="1427">
        <v>11</v>
      </c>
      <c r="AA377" s="1426"/>
      <c r="AB377" s="1421">
        <v>11</v>
      </c>
      <c r="AD377" s="960"/>
      <c r="AE377" s="961"/>
      <c r="AF377" s="960"/>
      <c r="AG377" s="961"/>
      <c r="AH377" s="960"/>
      <c r="AI377" s="961"/>
      <c r="AK377" s="10"/>
      <c r="AL377" s="10"/>
      <c r="AM377" s="10"/>
      <c r="AN377" s="975">
        <f>IF($K377=TRUE,H377,0)</f>
        <v>0</v>
      </c>
      <c r="AO377" s="975">
        <f>IF($R377=TRUE,H377,0)</f>
        <v>0</v>
      </c>
      <c r="AP377" s="975">
        <f>IF($U377=TRUE,H377,0)</f>
        <v>0</v>
      </c>
      <c r="AQ377" s="1806">
        <f>IF(I377=11,0,G377*I377)</f>
        <v>0</v>
      </c>
      <c r="AR377" s="1806">
        <f>IF(J377=11,0,G377*J377)</f>
        <v>0</v>
      </c>
      <c r="AS377" s="1806">
        <f>IF(P377=11,0,G377*P377)</f>
        <v>0</v>
      </c>
      <c r="AT377" s="1806">
        <f>IF(Q377=11,0,G377*Q377)</f>
        <v>0</v>
      </c>
      <c r="AU377" s="1806">
        <f>IF(S377=11,0,S377*G377)</f>
        <v>0</v>
      </c>
      <c r="AV377" s="1806">
        <f>IF(T377=11,0,T377*G377)</f>
        <v>0</v>
      </c>
      <c r="BD377" s="816"/>
      <c r="BE377" s="110"/>
      <c r="BF377" s="477"/>
      <c r="BG377" s="113"/>
      <c r="BH377" s="481"/>
      <c r="BI377" s="113"/>
      <c r="BJ377" s="482"/>
      <c r="BK377" s="478"/>
    </row>
    <row r="378" spans="2:63" ht="32" customHeight="1" x14ac:dyDescent="0.2">
      <c r="B378" s="2032"/>
      <c r="C378" s="792" t="s">
        <v>745</v>
      </c>
      <c r="D378" s="793" t="str">
        <f>_xlfn.XLOOKUP(H378,H376:H377,D376:D377)</f>
        <v>L'autre parent fait lire vos échanges et communications (courriels, textos, etc.) à votre enfant.</v>
      </c>
      <c r="E378" s="794" t="str">
        <f>_xlfn.XLOOKUP(H378,H376:H377,E376:E377)</f>
        <v>fait lire vos échanges à votre enfant</v>
      </c>
      <c r="F378" s="795"/>
      <c r="G378" s="795"/>
      <c r="H378" s="795">
        <f>IF(AND(K376=TRUE,K377=FALSE),H376,IF(AND(K376=FALSE,K377=TRUE),H377,MAX(H376,H377)))</f>
        <v>14</v>
      </c>
      <c r="I378" s="1624"/>
      <c r="J378" s="796"/>
      <c r="K378" s="797" t="b">
        <f>IF(AND(K376=FALSE,K377=FALSE),FALSE,TRUE)</f>
        <v>1</v>
      </c>
      <c r="L378" s="45"/>
      <c r="M378" s="45"/>
      <c r="N378" s="45"/>
      <c r="O378" s="1623"/>
      <c r="P378" s="1624"/>
      <c r="Q378" s="796"/>
      <c r="R378" s="1637" t="b">
        <f>IF(AND(R376=FALSE,R377=FALSE),FALSE,TRUE)</f>
        <v>1</v>
      </c>
      <c r="S378" s="1624"/>
      <c r="T378" s="796"/>
      <c r="U378" s="1637" t="b">
        <f>IF(AND(U376=FALSE,U377=FALSE),FALSE,TRUE)</f>
        <v>1</v>
      </c>
      <c r="V378" s="931"/>
      <c r="W378" s="931" t="s">
        <v>943</v>
      </c>
      <c r="X378" s="1392"/>
      <c r="Y378" s="8"/>
      <c r="Z378" s="1397"/>
      <c r="AA378" s="8"/>
      <c r="AB378" s="1400"/>
      <c r="AD378" s="960"/>
      <c r="AE378" s="961"/>
      <c r="AF378" s="960"/>
      <c r="AG378" s="961"/>
      <c r="AH378" s="960"/>
      <c r="AI378" s="961"/>
      <c r="AK378" s="10"/>
      <c r="AL378" s="10"/>
      <c r="AM378" s="10"/>
      <c r="AN378" s="2100">
        <f>IF($K378=TRUE,MAX(AN376:AN377),0)</f>
        <v>14</v>
      </c>
      <c r="AO378" s="2100">
        <f>IF($R378=TRUE,MAX(AO376:AO377),0)</f>
        <v>14</v>
      </c>
      <c r="AP378" s="2100">
        <f>IF($U378=TRUE,MAX(AP376:AP377),0)</f>
        <v>14</v>
      </c>
      <c r="AQ378" s="2099">
        <f>MAX(AQ376:AQ377)</f>
        <v>8</v>
      </c>
      <c r="AR378" s="2099">
        <f t="shared" ref="AR378" si="363">MAX(AR376:AR377)</f>
        <v>20</v>
      </c>
      <c r="AS378" s="2099">
        <f t="shared" ref="AS378" si="364">MAX(AS376:AS377)</f>
        <v>4</v>
      </c>
      <c r="AT378" s="2099">
        <f t="shared" ref="AT378" si="365">MAX(AT376:AT377)</f>
        <v>14</v>
      </c>
      <c r="AU378" s="2099">
        <f t="shared" ref="AU378" si="366">MAX(AU376:AU377)</f>
        <v>8</v>
      </c>
      <c r="AV378" s="2099">
        <f t="shared" ref="AV378" si="367">MAX(AV376:AV377)</f>
        <v>14</v>
      </c>
      <c r="BD378" s="816"/>
      <c r="BE378" s="110"/>
      <c r="BF378" s="477"/>
      <c r="BG378" s="113"/>
      <c r="BH378" s="481"/>
      <c r="BI378" s="113"/>
      <c r="BJ378" s="482"/>
      <c r="BK378" s="478"/>
    </row>
    <row r="379" spans="2:63" ht="32" customHeight="1" x14ac:dyDescent="0.2">
      <c r="B379" s="1847"/>
      <c r="C379" s="52" t="s">
        <v>247</v>
      </c>
      <c r="D379" s="26"/>
      <c r="E379" s="101"/>
      <c r="F379" s="790"/>
      <c r="G379" s="789"/>
      <c r="H379" s="790">
        <f>F379*G379</f>
        <v>0</v>
      </c>
      <c r="I379" s="1647">
        <v>11</v>
      </c>
      <c r="J379" s="1648">
        <v>11</v>
      </c>
      <c r="K379" s="45" t="b">
        <f>IF(AND(F379&gt;=I379,F379&lt;=J379),TRUE,FALSE)</f>
        <v>0</v>
      </c>
      <c r="L379" s="45"/>
      <c r="M379" s="45"/>
      <c r="N379" s="45"/>
      <c r="O379" s="1623"/>
      <c r="P379" s="1647">
        <v>11</v>
      </c>
      <c r="Q379" s="1648">
        <v>11</v>
      </c>
      <c r="R379" s="1623" t="b">
        <f>IF(AND(F379&gt;=P379,F379&lt;=Q379),TRUE,FALSE)</f>
        <v>0</v>
      </c>
      <c r="S379" s="1647">
        <v>11</v>
      </c>
      <c r="T379" s="1648">
        <v>11</v>
      </c>
      <c r="U379" s="1623" t="b">
        <f>IF(AND(F379&gt;=S379,F379&lt;=T379),TRUE,FALSE)</f>
        <v>0</v>
      </c>
      <c r="V379" s="931"/>
      <c r="W379" s="1403"/>
      <c r="X379" s="1422">
        <v>11</v>
      </c>
      <c r="Y379" s="1423"/>
      <c r="Z379" s="1424">
        <v>11</v>
      </c>
      <c r="AA379" s="1423"/>
      <c r="AB379" s="1416">
        <v>11</v>
      </c>
      <c r="AD379" s="960"/>
      <c r="AE379" s="961"/>
      <c r="AF379" s="960"/>
      <c r="AG379" s="961"/>
      <c r="AH379" s="960"/>
      <c r="AI379" s="961"/>
      <c r="AK379" s="10"/>
      <c r="AL379" s="10"/>
      <c r="AM379" s="10"/>
      <c r="AN379" s="975">
        <f>IF(K379=TRUE,H379,0)</f>
        <v>0</v>
      </c>
      <c r="AO379" s="975">
        <f>IF(R379=TRUE,H379,0)</f>
        <v>0</v>
      </c>
      <c r="AP379" s="975">
        <f>IF(U379=TRUE,H379,0)</f>
        <v>0</v>
      </c>
      <c r="AQ379" s="1806">
        <f>IF(I379=11,0,G379*I379)</f>
        <v>0</v>
      </c>
      <c r="AR379" s="1806">
        <f>IF(J379=11,0,G379*J379)</f>
        <v>0</v>
      </c>
      <c r="AS379" s="1806">
        <f>IF(P379=11,0,G379*P379)</f>
        <v>0</v>
      </c>
      <c r="AT379" s="1806">
        <f>IF(Q379=11,0,G379*Q379)</f>
        <v>0</v>
      </c>
      <c r="AU379" s="1806">
        <f>IF(S379=11,0,S379*G379)</f>
        <v>0</v>
      </c>
      <c r="AV379" s="1806">
        <f>IF(T379=11,0,T379*G379)</f>
        <v>0</v>
      </c>
      <c r="BD379" s="816"/>
      <c r="BE379" s="110"/>
      <c r="BF379" s="477"/>
      <c r="BG379" s="113"/>
      <c r="BH379" s="481"/>
      <c r="BI379" s="113"/>
      <c r="BJ379" s="482"/>
      <c r="BK379" s="478"/>
    </row>
    <row r="380" spans="2:63" ht="32" customHeight="1" x14ac:dyDescent="0.2">
      <c r="B380" s="2030"/>
      <c r="C380" s="52" t="s">
        <v>247</v>
      </c>
      <c r="D380" s="26"/>
      <c r="E380" s="62"/>
      <c r="F380" s="35"/>
      <c r="G380" s="35"/>
      <c r="H380" s="35">
        <f>F380*G380</f>
        <v>0</v>
      </c>
      <c r="I380" s="1647">
        <v>11</v>
      </c>
      <c r="J380" s="1648">
        <v>11</v>
      </c>
      <c r="K380" s="45" t="b">
        <f>IF(AND(F380&gt;=I380,F380&lt;=J380),TRUE,FALSE)</f>
        <v>0</v>
      </c>
      <c r="L380" s="45"/>
      <c r="M380" s="45"/>
      <c r="N380" s="45"/>
      <c r="O380" s="1623"/>
      <c r="P380" s="1647">
        <v>11</v>
      </c>
      <c r="Q380" s="1648">
        <v>11</v>
      </c>
      <c r="R380" s="1623" t="b">
        <f>IF(AND(F380&gt;=P380,F380&lt;=Q380),TRUE,FALSE)</f>
        <v>0</v>
      </c>
      <c r="S380" s="1647">
        <v>11</v>
      </c>
      <c r="T380" s="1648">
        <v>11</v>
      </c>
      <c r="U380" s="1623" t="b">
        <f>IF(AND(F380&gt;=S380,F380&lt;=T380),TRUE,FALSE)</f>
        <v>0</v>
      </c>
      <c r="V380" s="931"/>
      <c r="W380" s="1406" t="s">
        <v>943</v>
      </c>
      <c r="X380" s="1425">
        <v>11</v>
      </c>
      <c r="Y380" s="1426"/>
      <c r="Z380" s="1427">
        <v>11</v>
      </c>
      <c r="AA380" s="1426"/>
      <c r="AB380" s="1421">
        <v>11</v>
      </c>
      <c r="AD380" s="960"/>
      <c r="AE380" s="961"/>
      <c r="AF380" s="960"/>
      <c r="AG380" s="961"/>
      <c r="AH380" s="960"/>
      <c r="AI380" s="961"/>
      <c r="AK380" s="10"/>
      <c r="AL380" s="10"/>
      <c r="AM380" s="10"/>
      <c r="AN380" s="975">
        <f>IF(K380=TRUE,H380,0)</f>
        <v>0</v>
      </c>
      <c r="AO380" s="975">
        <f>IF(R380=TRUE,H380,0)</f>
        <v>0</v>
      </c>
      <c r="AP380" s="975">
        <f>IF(U380=TRUE,H380,0)</f>
        <v>0</v>
      </c>
      <c r="AQ380" s="1806">
        <f>IF(I380=11,0,G380*I380)</f>
        <v>0</v>
      </c>
      <c r="AR380" s="1806">
        <f>IF(J380=11,0,G380*J380)</f>
        <v>0</v>
      </c>
      <c r="AS380" s="1806">
        <f>IF(P380=11,0,G380*P380)</f>
        <v>0</v>
      </c>
      <c r="AT380" s="1806">
        <f>IF(Q380=11,0,G380*Q380)</f>
        <v>0</v>
      </c>
      <c r="AU380" s="1806">
        <f>IF(S380=11,0,S380*G380)</f>
        <v>0</v>
      </c>
      <c r="AV380" s="1806">
        <f>IF(T380=11,0,T380*G380)</f>
        <v>0</v>
      </c>
      <c r="BC380" s="7"/>
      <c r="BD380" s="816"/>
      <c r="BE380" s="110"/>
      <c r="BF380" s="477"/>
      <c r="BG380" s="113"/>
      <c r="BH380" s="481"/>
      <c r="BI380" s="113"/>
      <c r="BJ380" s="482"/>
      <c r="BK380" s="478"/>
    </row>
    <row r="381" spans="2:63" ht="32" customHeight="1" thickBot="1" x14ac:dyDescent="0.25">
      <c r="B381" s="2030"/>
      <c r="C381" s="798" t="s">
        <v>746</v>
      </c>
      <c r="D381" s="799">
        <f>_xlfn.XLOOKUP(H381,H379:H380,D379:D380)</f>
        <v>0</v>
      </c>
      <c r="E381" s="800">
        <f>_xlfn.XLOOKUP(H381,H379:H380,E379:E380)</f>
        <v>0</v>
      </c>
      <c r="F381" s="801"/>
      <c r="G381" s="801"/>
      <c r="H381" s="795">
        <f>IF(AND(K379=TRUE,K380=FALSE),H379,IF(AND(K379=FALSE,K380=TRUE),H380,MAX(H379,H380)))</f>
        <v>0</v>
      </c>
      <c r="I381" s="1625"/>
      <c r="J381" s="802"/>
      <c r="K381" s="803" t="b">
        <f>IF(AND(K379=FALSE,K380=FALSE),FALSE,TRUE)</f>
        <v>0</v>
      </c>
      <c r="L381" s="45"/>
      <c r="M381" s="45"/>
      <c r="N381" s="45"/>
      <c r="O381" s="1623"/>
      <c r="P381" s="1625"/>
      <c r="Q381" s="802"/>
      <c r="R381" s="1638" t="b">
        <f>IF(AND(R379=FALSE,R380=FALSE),FALSE,TRUE)</f>
        <v>0</v>
      </c>
      <c r="S381" s="1625"/>
      <c r="T381" s="802"/>
      <c r="U381" s="1638" t="b">
        <f>IF(AND(U379=FALSE,U380=FALSE),FALSE,TRUE)</f>
        <v>0</v>
      </c>
      <c r="V381" s="931"/>
      <c r="W381" s="931"/>
      <c r="X381" s="1392"/>
      <c r="Y381" s="8"/>
      <c r="Z381" s="1397"/>
      <c r="AA381" s="8"/>
      <c r="AB381" s="1400"/>
      <c r="AD381" s="960"/>
      <c r="AE381" s="961"/>
      <c r="AF381" s="960"/>
      <c r="AG381" s="961"/>
      <c r="AH381" s="960"/>
      <c r="AI381" s="961"/>
      <c r="AK381" s="10"/>
      <c r="AL381" s="10"/>
      <c r="AM381" s="10"/>
      <c r="AN381" s="2100">
        <f>IF($K381=TRUE,MAX(AN379:AN380),0)</f>
        <v>0</v>
      </c>
      <c r="AO381" s="2100">
        <f>IF($R381=TRUE,MAX(AO379:AO380),0)</f>
        <v>0</v>
      </c>
      <c r="AP381" s="2100">
        <f>IF($U381=TRUE,MAX(AP379:AP380),0)</f>
        <v>0</v>
      </c>
      <c r="AQ381" s="2099">
        <f>MAX(AQ379:AQ380)</f>
        <v>0</v>
      </c>
      <c r="AR381" s="2099">
        <f t="shared" ref="AR381" si="368">MAX(AR379:AR380)</f>
        <v>0</v>
      </c>
      <c r="AS381" s="2099">
        <f t="shared" ref="AS381" si="369">MAX(AS379:AS380)</f>
        <v>0</v>
      </c>
      <c r="AT381" s="2099">
        <f t="shared" ref="AT381" si="370">MAX(AT379:AT380)</f>
        <v>0</v>
      </c>
      <c r="AU381" s="2099">
        <f t="shared" ref="AU381" si="371">MAX(AU379:AU380)</f>
        <v>0</v>
      </c>
      <c r="AV381" s="2099">
        <f t="shared" ref="AV381" si="372">MAX(AV379:AV380)</f>
        <v>0</v>
      </c>
      <c r="BC381" s="7"/>
      <c r="BD381" s="816"/>
      <c r="BE381" s="110"/>
      <c r="BF381" s="477"/>
      <c r="BG381" s="113"/>
      <c r="BH381" s="481"/>
      <c r="BI381" s="113"/>
      <c r="BJ381" s="482"/>
      <c r="BK381" s="478"/>
    </row>
    <row r="382" spans="2:63" ht="32" customHeight="1" thickBot="1" x14ac:dyDescent="0.25">
      <c r="B382" s="2030"/>
      <c r="C382" s="804" t="s">
        <v>754</v>
      </c>
      <c r="D382" s="805"/>
      <c r="E382" s="805" t="str">
        <f>IF(H382=H378,E378,E381)</f>
        <v>fait lire vos échanges à votre enfant</v>
      </c>
      <c r="F382" s="806"/>
      <c r="G382" s="806"/>
      <c r="H382" s="806">
        <f>IF(AND(K378=TRUE,K381=FALSE),H378,IF(AND(K378=FALSE,K381=TRUE),H381,IF(AND(K378=TRUE,K381=TRUE),H378+H381,MAX(H378,H381))))</f>
        <v>14</v>
      </c>
      <c r="I382" s="1626"/>
      <c r="J382" s="807"/>
      <c r="K382" s="808" t="b">
        <f>IF(AND(K378=FALSE,K381=FALSE),FALSE,TRUE)</f>
        <v>1</v>
      </c>
      <c r="L382" s="1610"/>
      <c r="M382" s="1610"/>
      <c r="N382" s="1610"/>
      <c r="O382" s="1627"/>
      <c r="P382" s="1626"/>
      <c r="Q382" s="807"/>
      <c r="R382" s="808" t="b">
        <f>IF(AND(R378=FALSE,R381=FALSE),FALSE,TRUE)</f>
        <v>1</v>
      </c>
      <c r="S382" s="1626"/>
      <c r="T382" s="807"/>
      <c r="U382" s="808" t="b">
        <f>IF(AND(U378=FALSE,U381=FALSE),FALSE,TRUE)</f>
        <v>1</v>
      </c>
      <c r="V382" s="931"/>
      <c r="W382" s="931" t="s">
        <v>942</v>
      </c>
      <c r="X382" s="1392"/>
      <c r="Y382" s="8"/>
      <c r="Z382" s="1397"/>
      <c r="AA382" s="8"/>
      <c r="AB382" s="1400"/>
      <c r="AD382" s="960" t="str">
        <f>IF(K382=TRUE,"V","F")</f>
        <v>V</v>
      </c>
      <c r="AE382" s="961"/>
      <c r="AF382" s="960" t="str">
        <f>IF(R382=TRUE,"V","F")</f>
        <v>V</v>
      </c>
      <c r="AG382" s="961"/>
      <c r="AH382" s="960" t="str">
        <f>IF(U382=TRUE,"V","F")</f>
        <v>V</v>
      </c>
      <c r="AI382" s="961"/>
      <c r="AJ382" t="str">
        <f>IF(OR(AD382="V",AF382="V"),IF(H381&gt;H378,"Le NC contribue plus que le coparent","Le coparent joue un plus grand rôle que le NC"),"pas de contexte significatif de la part du coparent et NC")</f>
        <v>Le coparent joue un plus grand rôle que le NC</v>
      </c>
      <c r="AK382" s="10"/>
      <c r="AL382" s="10"/>
      <c r="AM382" s="10"/>
      <c r="AN382" s="631">
        <f>IF(AND($K378=TRUE,$K381=FALSE),AN378,IF(AND($K378=FALSE,$K381=TRUE),AN381,IF(AND($K378=TRUE,$K381=TRUE),AN378+AN381,0)))</f>
        <v>14</v>
      </c>
      <c r="AO382" s="631">
        <f>IF(AND($R378=TRUE,$R381=FALSE),AO378,IF(AND($R378=FALSE,$R381=TRUE),AO381,IF(AND($R378=TRUE,$R381=TRUE),AO378+AO381,0)))</f>
        <v>14</v>
      </c>
      <c r="AP382" s="631">
        <f>IF(AND($U378=TRUE,$U381=FALSE),AP378,IF(AND($U378=FALSE,$U381=TRUE),AP381,IF(AND($U378=TRUE,$U381=TRUE),AP378+AP381,0)))</f>
        <v>14</v>
      </c>
      <c r="AQ382" s="631">
        <f>IF(AND($K378=TRUE,$K381=FALSE),AQ378,IF(AND($K378=FALSE,$K381=TRUE),AQ381,IF(AND($K378=TRUE,$K381=TRUE),AQ378+AQ381,MAX(AQ378,AQ381))))</f>
        <v>8</v>
      </c>
      <c r="AR382" s="631">
        <f>IF(AND($K378=TRUE,$K381=FALSE),AR378,IF(AND($K378=FALSE,$K381=TRUE),AR381,IF(AND($K378=TRUE,$K381=TRUE),AR378+AR381,MAX(AR378,AR381))))</f>
        <v>20</v>
      </c>
      <c r="AS382" s="631">
        <f t="shared" ref="AS382" si="373">IF(AND($R378=TRUE,$R381=FALSE),AS378,IF(AND($R378=FALSE,$R381=TRUE),AS381,IF(AND($R378=TRUE,$R381=TRUE),AS378+AS381,MAX(AS378,AS381))))</f>
        <v>4</v>
      </c>
      <c r="AT382" s="631">
        <f t="shared" ref="AT382" si="374">IF(AND($R378=TRUE,$R381=FALSE),AT378,IF(AND($R378=FALSE,$R381=TRUE),AT381,IF(AND($R378=TRUE,$R381=TRUE),AT378+AT381,MAX(AT378,AT381))))</f>
        <v>14</v>
      </c>
      <c r="AU382" s="631">
        <f t="shared" ref="AU382" si="375">IF(AND($U378=TRUE,$U381=FALSE),AU378,IF(AND($U378=FALSE,$U381=TRUE),AU381,IF(AND($U378=TRUE,$U381=TRUE),AU378+AU381,MAX(AU378,AU381))))</f>
        <v>8</v>
      </c>
      <c r="AV382" s="631">
        <f t="shared" ref="AV382" si="376">IF(AND($U378=TRUE,$U381=FALSE),AV378,IF(AND($U378=FALSE,$U381=TRUE),AV381,IF(AND($U378=TRUE,$U381=TRUE),AV378+AV381,MAX(AV378,AV381))))</f>
        <v>14</v>
      </c>
      <c r="BC382" s="7"/>
      <c r="BD382" s="816"/>
      <c r="BE382" s="110"/>
      <c r="BF382" s="477"/>
      <c r="BG382" s="113"/>
      <c r="BH382" s="481"/>
      <c r="BI382" s="113"/>
      <c r="BJ382" s="482"/>
      <c r="BK382" s="478"/>
    </row>
    <row r="383" spans="2:63" ht="54" customHeight="1" x14ac:dyDescent="0.2">
      <c r="B383" s="2030" t="str">
        <f>'Action-Réaction finale'!Q59</f>
        <v>G: Parentification</v>
      </c>
      <c r="C383" s="313" t="str">
        <f>'Action-Réaction finale'!O59</f>
        <v>E24</v>
      </c>
      <c r="D383" s="26" t="str">
        <f>Test_Bible!B308</f>
        <v>L'autre parent a informé votre enfant du contexte juridique, financier ou autre associé au conflit vous opposant.</v>
      </c>
      <c r="E383" s="101" t="s">
        <v>788</v>
      </c>
      <c r="F383" s="790">
        <f>Test_Bible!P308</f>
        <v>7</v>
      </c>
      <c r="G383" s="789">
        <f>Test_Bible!D308</f>
        <v>2</v>
      </c>
      <c r="H383" s="790">
        <f>F383*G383</f>
        <v>14</v>
      </c>
      <c r="I383" s="1622">
        <v>4</v>
      </c>
      <c r="J383" s="1615">
        <f>$J$18</f>
        <v>10</v>
      </c>
      <c r="K383" s="45" t="b">
        <f>IF(AND(F383&gt;=I383,F383&lt;=J383),TRUE,FALSE)</f>
        <v>1</v>
      </c>
      <c r="L383" s="45"/>
      <c r="M383" s="45"/>
      <c r="N383" s="45"/>
      <c r="O383" s="1623"/>
      <c r="P383" s="1622">
        <v>2</v>
      </c>
      <c r="Q383" s="1615">
        <v>7</v>
      </c>
      <c r="R383" s="1623" t="b">
        <f>IF(AND(F383&gt;=P383,F383&lt;=Q383),TRUE,FALSE)</f>
        <v>1</v>
      </c>
      <c r="S383" s="1622"/>
      <c r="T383" s="1615"/>
      <c r="U383" s="1623"/>
      <c r="V383" s="931"/>
      <c r="W383" s="1403"/>
      <c r="X383" s="1404">
        <v>2</v>
      </c>
      <c r="Y383" s="1405"/>
      <c r="Z383" s="1408">
        <v>2</v>
      </c>
      <c r="AA383" s="1405"/>
      <c r="AB383" s="1416">
        <v>11</v>
      </c>
      <c r="AD383" s="960" t="s">
        <v>945</v>
      </c>
      <c r="AE383" s="961"/>
      <c r="AF383" s="960"/>
      <c r="AG383" s="961"/>
      <c r="AH383" s="960"/>
      <c r="AI383" s="961"/>
      <c r="AK383" s="10"/>
      <c r="AL383" s="10"/>
      <c r="AM383" s="10"/>
      <c r="AN383" s="975">
        <f>IF($K383=TRUE,H383,0)</f>
        <v>14</v>
      </c>
      <c r="AO383" s="975">
        <f>IF($R383=TRUE,H383,0)</f>
        <v>14</v>
      </c>
      <c r="AP383" s="975"/>
      <c r="AQ383" s="1806">
        <f>IF(I383=11,0,G383*I383)</f>
        <v>8</v>
      </c>
      <c r="AR383" s="1806">
        <f>IF(J383=11,0,G383*J383)</f>
        <v>20</v>
      </c>
      <c r="AS383" s="1806">
        <f>IF(P383=11,0,G383*P383)</f>
        <v>4</v>
      </c>
      <c r="AT383" s="1806">
        <f>IF(Q383=11,0,G383*Q383)</f>
        <v>14</v>
      </c>
      <c r="AU383" s="1806"/>
      <c r="AV383" s="1806"/>
      <c r="BC383" s="7"/>
      <c r="BD383" s="816"/>
      <c r="BE383" s="110"/>
      <c r="BF383" s="477"/>
      <c r="BG383" s="113"/>
      <c r="BH383" s="481"/>
      <c r="BI383" s="113"/>
      <c r="BJ383" s="482"/>
      <c r="BK383" s="478"/>
    </row>
    <row r="384" spans="2:63" ht="41" customHeight="1" x14ac:dyDescent="0.2">
      <c r="B384" s="2030" t="str">
        <f>'Action-Réaction finale'!Q60</f>
        <v>D: Dénigrement</v>
      </c>
      <c r="C384" s="313" t="str">
        <f>Test_Bible!A289</f>
        <v>E15a</v>
      </c>
      <c r="D384" s="26" t="str">
        <f>Test_Bible!B289</f>
        <v>Arrive-t-il à votre enfant de vous accuser de voler de l’argent à son autre parent ou d'être responsable de son apauvrissement ?</v>
      </c>
      <c r="E384" s="101"/>
      <c r="F384" s="790">
        <f>Test_Bible!P289</f>
        <v>1</v>
      </c>
      <c r="G384" s="789">
        <f>Test_Bible!D289</f>
        <v>3</v>
      </c>
      <c r="H384" s="790">
        <f>F384*G384</f>
        <v>3</v>
      </c>
      <c r="I384" s="1622">
        <v>4</v>
      </c>
      <c r="J384" s="1615">
        <f>$J$18</f>
        <v>10</v>
      </c>
      <c r="K384" s="45" t="b">
        <f>IF(AND(F384&gt;=I384,F384&lt;=J384),TRUE,FALSE)</f>
        <v>0</v>
      </c>
      <c r="L384" s="45"/>
      <c r="M384" s="45"/>
      <c r="N384" s="45"/>
      <c r="O384" s="1623"/>
      <c r="P384" s="1622">
        <v>2</v>
      </c>
      <c r="Q384" s="1615">
        <v>7</v>
      </c>
      <c r="R384" s="1623" t="b">
        <f>IF(AND(F384&gt;=P384,F384&lt;=Q384),TRUE,FALSE)</f>
        <v>0</v>
      </c>
      <c r="S384" s="1622"/>
      <c r="T384" s="1615"/>
      <c r="U384" s="1623"/>
      <c r="V384" s="931"/>
      <c r="W384" s="1410"/>
      <c r="X384" s="1392"/>
      <c r="Y384" s="8"/>
      <c r="Z384" s="1397"/>
      <c r="AA384" s="8"/>
      <c r="AB384" s="1432"/>
      <c r="AD384" s="960"/>
      <c r="AE384" s="961"/>
      <c r="AF384" s="960"/>
      <c r="AG384" s="961"/>
      <c r="AH384" s="960"/>
      <c r="AI384" s="961"/>
      <c r="AK384" s="10"/>
      <c r="AL384" s="10"/>
      <c r="AM384" s="10"/>
      <c r="AN384" s="975">
        <f>IF($K384=TRUE,H384,0)</f>
        <v>0</v>
      </c>
      <c r="AO384" s="975">
        <f>IF($R384=TRUE,H384,0)</f>
        <v>0</v>
      </c>
      <c r="AP384" s="975"/>
      <c r="AQ384" s="1806">
        <f>IF(I384=11,0,G384*I384)</f>
        <v>12</v>
      </c>
      <c r="AR384" s="1806">
        <f>IF(J384=11,0,G384*J384)</f>
        <v>30</v>
      </c>
      <c r="AS384" s="1806">
        <f>IF(P384=11,0,G384*P384)</f>
        <v>6</v>
      </c>
      <c r="AT384" s="1806">
        <f>IF(Q384=11,0,G384*Q384)</f>
        <v>21</v>
      </c>
      <c r="AU384" s="1806"/>
      <c r="AV384" s="1806"/>
      <c r="BC384" s="7"/>
      <c r="BD384" s="816"/>
      <c r="BE384" s="110"/>
      <c r="BF384" s="477"/>
      <c r="BG384" s="113"/>
      <c r="BH384" s="481"/>
      <c r="BI384" s="113"/>
      <c r="BJ384" s="482"/>
      <c r="BK384" s="478"/>
    </row>
    <row r="385" spans="2:63" ht="45" customHeight="1" thickBot="1" x14ac:dyDescent="0.25">
      <c r="B385" s="2030" t="str">
        <f>'Action-Réaction finale'!Q61</f>
        <v>H: Rôle actif, Réponse au CC, r</v>
      </c>
      <c r="C385" s="313" t="str">
        <f>Test_Bible!A325</f>
        <v>E32</v>
      </c>
      <c r="D385" s="26" t="str">
        <f>Test_Bible!B325</f>
        <v/>
      </c>
      <c r="E385" s="101"/>
      <c r="F385" s="790">
        <f>Test_Bible!P325</f>
        <v>0</v>
      </c>
      <c r="G385" s="789">
        <f>Test_Bible!D325</f>
        <v>2</v>
      </c>
      <c r="H385" s="790">
        <f>F385*G385</f>
        <v>0</v>
      </c>
      <c r="I385" s="1622">
        <v>4</v>
      </c>
      <c r="J385" s="1615">
        <f>$J$18</f>
        <v>10</v>
      </c>
      <c r="K385" s="45" t="b">
        <f>IF(AND(F385&gt;=I385,F385&lt;=J385),TRUE,FALSE)</f>
        <v>0</v>
      </c>
      <c r="L385" s="45"/>
      <c r="M385" s="45"/>
      <c r="N385" s="45"/>
      <c r="O385" s="1623"/>
      <c r="P385" s="1622">
        <v>2</v>
      </c>
      <c r="Q385" s="1615">
        <v>7</v>
      </c>
      <c r="R385" s="1623" t="b">
        <f>IF(AND(F385&gt;=P385,F385&lt;=Q385),TRUE,FALSE)</f>
        <v>0</v>
      </c>
      <c r="S385" s="1647"/>
      <c r="T385" s="1648"/>
      <c r="U385" s="1623"/>
      <c r="V385" s="931"/>
      <c r="W385" s="1406" t="s">
        <v>943</v>
      </c>
      <c r="X385" s="1425">
        <v>11</v>
      </c>
      <c r="Y385" s="1426"/>
      <c r="Z385" s="1427">
        <v>11</v>
      </c>
      <c r="AA385" s="1426"/>
      <c r="AB385" s="1421">
        <v>11</v>
      </c>
      <c r="AD385" s="960"/>
      <c r="AE385" s="961"/>
      <c r="AF385" s="960"/>
      <c r="AG385" s="961"/>
      <c r="AH385" s="960"/>
      <c r="AI385" s="961"/>
      <c r="AK385" s="10"/>
      <c r="AL385" s="10"/>
      <c r="AM385" s="10"/>
      <c r="AN385" s="975">
        <f>IF($K385=TRUE,H385,0)</f>
        <v>0</v>
      </c>
      <c r="AO385" s="975">
        <f>IF($R385=TRUE,H385,0)</f>
        <v>0</v>
      </c>
      <c r="AP385" s="975"/>
      <c r="AQ385" s="1806">
        <f>IF(I385=11,0,G385*I385)</f>
        <v>8</v>
      </c>
      <c r="AR385" s="1806">
        <f>IF(J385=11,0,G385*J385)</f>
        <v>20</v>
      </c>
      <c r="AS385" s="1806">
        <f>IF(P385=11,0,G385*P385)</f>
        <v>4</v>
      </c>
      <c r="AT385" s="1806">
        <f>IF(Q385=11,0,G385*Q385)</f>
        <v>14</v>
      </c>
      <c r="AU385" s="1806"/>
      <c r="AV385" s="1806"/>
      <c r="BC385" s="7"/>
      <c r="BD385" s="816"/>
      <c r="BE385" s="110"/>
      <c r="BF385" s="477"/>
      <c r="BG385" s="113"/>
      <c r="BH385" s="481"/>
      <c r="BI385" s="113"/>
      <c r="BJ385" s="482"/>
      <c r="BK385" s="478"/>
    </row>
    <row r="386" spans="2:63" ht="32" customHeight="1" thickBot="1" x14ac:dyDescent="0.25">
      <c r="B386" s="2030"/>
      <c r="C386" s="809" t="s">
        <v>747</v>
      </c>
      <c r="D386" s="810" t="str">
        <f>_xlfn.XLOOKUP(H386,H383:H385,D383:D385)</f>
        <v>L'autre parent a informé votre enfant du contexte juridique, financier ou autre associé au conflit vous opposant.</v>
      </c>
      <c r="E386" s="810" t="str">
        <f>_xlfn.XLOOKUP(H386,H383:H385,E383:E385)</f>
        <v>est informé du contexte juridique ou autre sujet associé au conflit</v>
      </c>
      <c r="F386" s="811"/>
      <c r="G386" s="811"/>
      <c r="H386" s="811">
        <f>IF(AND(K383=TRUE,K384=FALSE,K385=FALSE),H383,IF(AND(K383=FALSE,K384=TRUE,K385=FALSE),H384,IF(AND(K383=FALSE,K384=FALSE,K385=TRUE),H385,MAX(H383:H385))))</f>
        <v>14</v>
      </c>
      <c r="I386" s="1628"/>
      <c r="J386" s="812"/>
      <c r="K386" s="813" t="b">
        <f>IF(AND(K383=FALSE,K385=FALSE),FALSE,TRUE)</f>
        <v>1</v>
      </c>
      <c r="L386" s="1611"/>
      <c r="M386" s="1611"/>
      <c r="N386" s="1611"/>
      <c r="O386" s="1629"/>
      <c r="P386" s="1628"/>
      <c r="Q386" s="812"/>
      <c r="R386" s="813" t="b">
        <f>IF(AND(R383=FALSE,R385=FALSE),FALSE,TRUE)</f>
        <v>1</v>
      </c>
      <c r="S386" s="1628"/>
      <c r="T386" s="812"/>
      <c r="U386" s="813"/>
      <c r="V386" s="931"/>
      <c r="W386" s="931"/>
      <c r="X386" s="1394"/>
      <c r="Z386" s="1398"/>
      <c r="AB386" s="1402"/>
      <c r="AD386" s="960" t="str">
        <f>IF(K386=TRUE,"V","F")</f>
        <v>V</v>
      </c>
      <c r="AE386" s="961"/>
      <c r="AF386" s="960" t="str">
        <f>IF(R386=TRUE,"V","F")</f>
        <v>V</v>
      </c>
      <c r="AG386" s="961"/>
      <c r="AH386" s="960"/>
      <c r="AI386" s="961"/>
      <c r="AK386" s="10"/>
      <c r="AL386" s="10"/>
      <c r="AM386" s="10"/>
      <c r="AN386" s="2102">
        <f>IF(AND($K384=TRUE,$K385=FALSE),AN384,IF(AND($K384=FALSE,$K385=TRUE),AN385,IF(AND($K384=TRUE,$K385=TRUE),MAX(AN384,AN385),0)))</f>
        <v>0</v>
      </c>
      <c r="AO386" s="2102">
        <f>IF(AND($R384=TRUE,$R385=FALSE),AO384,IF(AND($R384=FALSE,$R385=TRUE),AO385,IF(AND($R384=TRUE,$R385=TRUE),MAX(AO384,AO385),0)))</f>
        <v>0</v>
      </c>
      <c r="AP386" s="2102"/>
      <c r="AQ386" s="2102">
        <f>IF(AND($K384=TRUE,$K385=FALSE),AQ384,IF(AND($K384=FALSE,$K385=TRUE),AQ385,IF(AND($K384=TRUE,$K385=TRUE),MAX(AQ384,AQ385),0)))</f>
        <v>0</v>
      </c>
      <c r="AR386" s="2102">
        <f>IF(AND($K384=TRUE,$K385=FALSE),AR384,IF(AND($K384=FALSE,$K385=TRUE),AR385,IF(AND($K384=TRUE,$K385=TRUE),MAX(AR384,AR385),0)))</f>
        <v>0</v>
      </c>
      <c r="AS386" s="2102">
        <f t="shared" ref="AS386" si="377">IF(AND($R384=TRUE,$R385=FALSE),AS384,IF(AND($R384=FALSE,$R385=TRUE),AS385,IF(AND($R384=TRUE,$R385=TRUE),MAX(AS384,AS385),0)))</f>
        <v>0</v>
      </c>
      <c r="AT386" s="2102">
        <f t="shared" ref="AT386" si="378">IF(AND($R384=TRUE,$R385=FALSE),AT384,IF(AND($R384=FALSE,$R385=TRUE),AT385,IF(AND($R384=TRUE,$R385=TRUE),MAX(AT384,AT385),0)))</f>
        <v>0</v>
      </c>
      <c r="AU386" s="2102"/>
      <c r="AV386" s="2102"/>
      <c r="BD386" s="816"/>
      <c r="BE386" s="110"/>
      <c r="BF386" s="477"/>
      <c r="BG386" s="113"/>
      <c r="BH386" s="481"/>
      <c r="BI386" s="113"/>
      <c r="BJ386" s="482"/>
      <c r="BK386" s="478"/>
    </row>
    <row r="387" spans="2:63" ht="32" customHeight="1" x14ac:dyDescent="0.2">
      <c r="B387" s="2030"/>
      <c r="D387" s="421" t="s">
        <v>310</v>
      </c>
      <c r="E387" s="785"/>
      <c r="F387" s="474" t="s">
        <v>398</v>
      </c>
      <c r="G387" s="47"/>
      <c r="H387" s="47">
        <f>IF(AND(K382=TRUE,K386=FALSE),H382,IF(AND(K382=FALSE,K386=TRUE),H386,IF(AND(K382=TRUE,K386=TRUE),H382+H386,MAX(H382,H386))))</f>
        <v>28</v>
      </c>
      <c r="I387" s="1630"/>
      <c r="J387" s="475"/>
      <c r="K387" s="1613"/>
      <c r="L387" s="1614" t="str">
        <f>IF(AND(K386=TRUE,K382=TRUE),E386,"")</f>
        <v>est informé du contexte juridique ou autre sujet associé au conflit</v>
      </c>
      <c r="M387" s="1614" t="str">
        <f>IF(AND(K382=TRUE,K386=FALSE),"Bien que le parent "&amp;E382&amp;" l'enfant ne semble pas s'ingérer","")</f>
        <v/>
      </c>
      <c r="N387" s="1614" t="str">
        <f>IF(AND(K382=FALSE,K386=TRUE),E386&amp;" sans signe de la participation du parent favorisé et|ou nouveau conjoint.e","")</f>
        <v/>
      </c>
      <c r="O387" s="1631" t="str">
        <f>IF(AND(K382=FALSE,K386=FALSE),"aucun comportement significatif de cette nature","")</f>
        <v/>
      </c>
      <c r="P387" s="1630"/>
      <c r="Q387" s="475"/>
      <c r="R387" s="1639"/>
      <c r="S387" s="1630"/>
      <c r="T387" s="475"/>
      <c r="U387" s="1639"/>
      <c r="V387" s="170"/>
      <c r="W387" s="170"/>
      <c r="X387" s="1394"/>
      <c r="Z387" s="1398"/>
      <c r="AB387" s="1402"/>
      <c r="AD387" s="962"/>
      <c r="AE387" s="963">
        <f>IF(AND(AD382="V",AD386="V"),2,IF(OR(AD382="V",AD386="V"),1,0))</f>
        <v>2</v>
      </c>
      <c r="AF387" s="962"/>
      <c r="AG387" s="963">
        <f>IF(OR(AF382="V",AF386="V"),1,0)</f>
        <v>1</v>
      </c>
      <c r="AH387" s="962"/>
      <c r="AI387" s="963"/>
      <c r="AK387" s="10"/>
      <c r="AL387" s="10"/>
      <c r="AM387" s="10"/>
      <c r="AN387" s="2097">
        <f>IF(AND($AD382="V",$AD386="F"),AN382,IF(AND($AD382="F",$AD386="V"),AN386,IF(AND($AD382="V",$AD386="V"),AN382+AN386,0)))</f>
        <v>14</v>
      </c>
      <c r="AO387" s="2097">
        <f>IF(AND($AF382="V",$AF386="F"),AO382,IF(AND($AF382="F",$AF386="V"),AO386,IF(AND($AF382="V",$AF386="V"),AO382+AO386,0)))</f>
        <v>14</v>
      </c>
      <c r="AP387" s="2097"/>
      <c r="AQ387" s="2097">
        <f>IF(AND($AD382="V",$AD386="F"),AQ383,IF(AND($AD382="F",$AD386="V"),AQ386,IF(AND($AD382="V",$AD386="V"),AQ383+AQ386,0)))</f>
        <v>8</v>
      </c>
      <c r="AR387" s="2097">
        <f>IF(AND($AD382="V",$AD386="F"),AR383,IF(AND($AD382="F",$AD386="V"),AR386,IF(AND($AD382="V",$AD386="V"),AR383+AR386,0)))</f>
        <v>20</v>
      </c>
      <c r="AS387" s="2097">
        <f>IF(AND($AF382="V",$AF386="F"),AS383,IF(AND($AF382="F",$AF386="V"),AS386,IF(AND($AF382="V",$AF386="V"),AS383+AS386,0)))</f>
        <v>4</v>
      </c>
      <c r="AT387" s="2097">
        <f>IF(AND($AF382="V",$AF386="F"),AT383,IF(AND($AF382="F",$AF386="V"),AT386,IF(AND($AF382="V",$AF386="V"),AT383+AT386,0)))</f>
        <v>14</v>
      </c>
      <c r="AU387" s="2097"/>
      <c r="AV387" s="2097"/>
      <c r="BD387" s="816"/>
      <c r="BE387" s="110"/>
      <c r="BF387" s="477"/>
      <c r="BG387" s="113"/>
      <c r="BH387" s="481"/>
      <c r="BI387" s="113"/>
      <c r="BJ387" s="482"/>
      <c r="BK387" s="478"/>
    </row>
    <row r="388" spans="2:63" ht="32" customHeight="1" x14ac:dyDescent="0.2">
      <c r="B388" s="2030"/>
      <c r="C388" t="s">
        <v>243</v>
      </c>
      <c r="I388" s="146"/>
      <c r="L388" s="46"/>
      <c r="M388" s="46"/>
      <c r="N388" s="46"/>
      <c r="O388" s="1652"/>
      <c r="P388" s="146"/>
      <c r="R388" s="326"/>
      <c r="S388" s="146"/>
      <c r="U388" s="326"/>
      <c r="V388" s="46"/>
      <c r="AD388" s="960"/>
      <c r="AE388" s="961"/>
      <c r="AF388" s="960"/>
      <c r="AG388" s="961"/>
      <c r="AH388" s="960"/>
      <c r="AI388" s="961"/>
      <c r="AK388" s="10"/>
      <c r="AL388" s="10"/>
      <c r="AM388" s="10"/>
      <c r="AN388" s="975"/>
      <c r="AO388" s="975"/>
      <c r="AP388" s="975"/>
      <c r="AQ388" s="1806"/>
      <c r="AR388" s="1806"/>
      <c r="AS388" s="1806"/>
      <c r="AT388" s="1806"/>
      <c r="AU388" s="1806"/>
      <c r="AV388" s="1806"/>
      <c r="BD388" s="816"/>
      <c r="BE388" s="110"/>
      <c r="BF388" s="477"/>
      <c r="BG388" s="113"/>
      <c r="BH388" s="481"/>
      <c r="BI388" s="113"/>
      <c r="BJ388" s="482"/>
      <c r="BK388" s="478"/>
    </row>
    <row r="389" spans="2:63" ht="32" customHeight="1" x14ac:dyDescent="0.2">
      <c r="B389" s="2030" t="str">
        <f>'Action-Réaction finale'!U59</f>
        <v>G: Parentification</v>
      </c>
      <c r="C389" s="964" t="str">
        <f>'Action-Réaction finale'!S59</f>
        <v>PCR15</v>
      </c>
      <c r="D389" s="965" t="str">
        <f>Test_Bible!B151</f>
        <v>Il est important que votre enfant soit au courant des enjeux de la séparation et/ou du conflit qui vous oppose à l'autre parent.</v>
      </c>
      <c r="E389" s="965"/>
      <c r="F389" s="973">
        <f>Test_Bible!P151</f>
        <v>1</v>
      </c>
      <c r="G389" s="973">
        <f>Test_Bible!D151</f>
        <v>3</v>
      </c>
      <c r="H389" s="973">
        <f>F389*G389</f>
        <v>3</v>
      </c>
      <c r="I389" s="1622">
        <v>4</v>
      </c>
      <c r="J389" s="1615">
        <v>10</v>
      </c>
      <c r="K389" s="45" t="b">
        <f>IF(AND(F389&gt;=I389,F389&lt;=J389),TRUE,FALSE)</f>
        <v>0</v>
      </c>
      <c r="L389" s="32"/>
      <c r="M389" s="32"/>
      <c r="N389" s="32"/>
      <c r="O389" s="1632"/>
      <c r="P389" s="1647">
        <v>11</v>
      </c>
      <c r="Q389" s="1648">
        <v>11</v>
      </c>
      <c r="R389" s="1623" t="b">
        <f>IF(AND(F389&gt;=P389,F389&lt;=Q389),TRUE,FALSE)</f>
        <v>0</v>
      </c>
      <c r="S389" s="1622">
        <v>4</v>
      </c>
      <c r="T389" s="1615">
        <v>7</v>
      </c>
      <c r="U389" s="1623" t="b">
        <f>IF(AND(F389&gt;=S389,F389&lt;=T389),TRUE,FALSE)</f>
        <v>0</v>
      </c>
      <c r="V389" s="46"/>
      <c r="W389" s="1428"/>
      <c r="X389" s="1404">
        <v>4</v>
      </c>
      <c r="Y389" s="1423"/>
      <c r="Z389" s="1424">
        <v>11</v>
      </c>
      <c r="AA389" s="1423"/>
      <c r="AB389" s="1415">
        <v>4</v>
      </c>
      <c r="AD389" s="960"/>
      <c r="AE389" s="961"/>
      <c r="AF389" s="960"/>
      <c r="AG389" s="961"/>
      <c r="AH389" s="960"/>
      <c r="AI389" s="961"/>
      <c r="AK389" s="10"/>
      <c r="AL389" s="10"/>
      <c r="AM389" s="10"/>
      <c r="AN389" s="975">
        <f>IF($K389=TRUE,H389,0)</f>
        <v>0</v>
      </c>
      <c r="AO389" s="975">
        <f>IF($R389=TRUE,H389,0)</f>
        <v>0</v>
      </c>
      <c r="AP389" s="975">
        <f>IF($U389=TRUE,H389,0)</f>
        <v>0</v>
      </c>
      <c r="AQ389" s="1806">
        <f>IF(I389=11,0,G389*I389)</f>
        <v>12</v>
      </c>
      <c r="AR389" s="1806">
        <f>IF(J389=11,0,G389*J389)</f>
        <v>30</v>
      </c>
      <c r="AS389" s="1806">
        <f>IF(P389=11,0,G389*P389)</f>
        <v>0</v>
      </c>
      <c r="AT389" s="1806">
        <f>IF(Q389=11,0,G389*Q389)</f>
        <v>0</v>
      </c>
      <c r="AU389" s="1806">
        <f>IF(S389=11,0,S389*G389)</f>
        <v>12</v>
      </c>
      <c r="AV389" s="1806">
        <f>IF(T389=11,0,T389*G389)</f>
        <v>21</v>
      </c>
      <c r="BD389" s="816"/>
      <c r="BE389" s="110"/>
      <c r="BF389" s="477"/>
      <c r="BG389" s="113"/>
      <c r="BH389" s="481"/>
      <c r="BI389" s="113"/>
      <c r="BJ389" s="482"/>
      <c r="BK389" s="478"/>
    </row>
    <row r="390" spans="2:63" ht="32" customHeight="1" thickBot="1" x14ac:dyDescent="0.25">
      <c r="B390" s="2030"/>
      <c r="C390" s="964"/>
      <c r="D390" s="972"/>
      <c r="E390" s="965"/>
      <c r="F390" s="973"/>
      <c r="G390" s="973"/>
      <c r="H390" s="973">
        <f>F390*G390</f>
        <v>0</v>
      </c>
      <c r="I390" s="1647">
        <v>11</v>
      </c>
      <c r="J390" s="1648">
        <v>11</v>
      </c>
      <c r="K390" s="45" t="b">
        <f>IF(AND(F390&gt;=I390,F390&lt;=J390),TRUE,FALSE)</f>
        <v>0</v>
      </c>
      <c r="L390" s="32"/>
      <c r="M390" s="32"/>
      <c r="N390" s="32"/>
      <c r="O390" s="1632"/>
      <c r="P390" s="1647">
        <v>11</v>
      </c>
      <c r="Q390" s="1648">
        <v>11</v>
      </c>
      <c r="R390" s="1623" t="b">
        <f>IF(AND(F390&gt;=P390,F390&lt;=Q390),TRUE,FALSE)</f>
        <v>0</v>
      </c>
      <c r="S390" s="1647">
        <v>11</v>
      </c>
      <c r="T390" s="1648">
        <v>11</v>
      </c>
      <c r="U390" s="1623" t="b">
        <f>IF(AND(F390&gt;=S390,F390&lt;=T390),TRUE,FALSE)</f>
        <v>0</v>
      </c>
      <c r="W390" s="1429"/>
      <c r="X390" s="1425">
        <v>11</v>
      </c>
      <c r="Y390" s="1426"/>
      <c r="Z390" s="1427">
        <v>11</v>
      </c>
      <c r="AA390" s="1426"/>
      <c r="AB390" s="1421">
        <v>11</v>
      </c>
      <c r="AD390" s="960"/>
      <c r="AE390" s="961"/>
      <c r="AF390" s="960"/>
      <c r="AG390" s="961"/>
      <c r="AH390" s="960"/>
      <c r="AI390" s="961"/>
      <c r="AK390" s="10"/>
      <c r="AL390" s="10"/>
      <c r="AM390" s="10"/>
      <c r="AN390" s="975">
        <f>IF($K390=TRUE,H390,0)</f>
        <v>0</v>
      </c>
      <c r="AO390" s="975">
        <f>IF($R390=TRUE,H390,0)</f>
        <v>0</v>
      </c>
      <c r="AP390" s="975">
        <f>IF($U390=TRUE,H390,0)</f>
        <v>0</v>
      </c>
      <c r="AQ390" s="1806">
        <f>IF(I390=11,0,G390*I390)</f>
        <v>0</v>
      </c>
      <c r="AR390" s="1806">
        <f>IF(J390=11,0,G390*J390)</f>
        <v>0</v>
      </c>
      <c r="AS390" s="1806">
        <f>IF(P390=11,0,G390*P390)</f>
        <v>0</v>
      </c>
      <c r="AT390" s="1806">
        <f>IF(Q390=11,0,G390*Q390)</f>
        <v>0</v>
      </c>
      <c r="AU390" s="1806">
        <f>IF(S390=11,0,S390*G390)</f>
        <v>0</v>
      </c>
      <c r="AV390" s="1806">
        <f>IF(T390=11,0,T390*G390)</f>
        <v>0</v>
      </c>
      <c r="BD390" s="816"/>
      <c r="BE390" s="110"/>
      <c r="BF390" s="477"/>
      <c r="BG390" s="113"/>
      <c r="BH390" s="481"/>
      <c r="BI390" s="113"/>
      <c r="BJ390" s="482"/>
      <c r="BK390" s="478"/>
    </row>
    <row r="391" spans="2:63" ht="32" customHeight="1" thickBot="1" x14ac:dyDescent="0.35">
      <c r="D391" s="16"/>
      <c r="E391" s="16"/>
      <c r="F391" s="89"/>
      <c r="G391" s="473"/>
      <c r="H391" s="47">
        <f>IF(AND(K389=TRUE,K390=FALSE),H389,IF(AND(K389=FALSE,K390=TRUE),H390,MAX(H389,H390)))</f>
        <v>3</v>
      </c>
      <c r="I391" s="1644"/>
      <c r="J391" s="1645"/>
      <c r="K391" s="1651" t="b">
        <f>IF(AND(K389=FALSE,K390=FALSE),FALSE,TRUE)</f>
        <v>0</v>
      </c>
      <c r="L391" s="1633"/>
      <c r="M391" s="1634"/>
      <c r="N391" s="1634"/>
      <c r="O391" s="1635"/>
      <c r="P391" s="1644"/>
      <c r="Q391" s="1645"/>
      <c r="R391" s="1651" t="b">
        <f>IF(AND(R389=FALSE,R390=FALSE),FALSE,TRUE)</f>
        <v>0</v>
      </c>
      <c r="S391" s="1656"/>
      <c r="T391" s="1657"/>
      <c r="U391" s="1658" t="b">
        <f>IF(AND(U389=FALSE,U390=FALSE),FALSE,TRUE)</f>
        <v>0</v>
      </c>
      <c r="V391" s="933"/>
      <c r="AD391" s="1564" t="str">
        <f>IF(K391=TRUE,"V","F")</f>
        <v>F</v>
      </c>
      <c r="AE391" s="1565"/>
      <c r="AF391" s="1564" t="str">
        <f>IF(R391=TRUE,"V","F")</f>
        <v>F</v>
      </c>
      <c r="AG391" s="1565"/>
      <c r="AH391" s="1564" t="str">
        <f>IF(U391=TRUE,"V","F")</f>
        <v>F</v>
      </c>
      <c r="AI391" s="1565"/>
      <c r="AK391" s="10"/>
      <c r="AL391" s="10"/>
      <c r="AM391" s="10"/>
      <c r="AN391" s="2102">
        <f>IF(AND($K389=TRUE,$K390=FALSE),AN389,IF(AND($K389=FALSE,$K390=TRUE),AN390,MAX(AN389,AN390)))</f>
        <v>0</v>
      </c>
      <c r="AO391" s="2102">
        <f>IF(AND($R389=TRUE,$R390=FALSE),AO389,IF(AND($R389=FALSE,$R390=TRUE),AO390,MAX(AO389,AO390)))</f>
        <v>0</v>
      </c>
      <c r="AP391" s="2102">
        <f>IF(AND($U389=TRUE,$U390=FALSE),AP389,IF(AND($U389=FALSE,$U390=TRUE),AP390,MAX(AP389,AP390)))</f>
        <v>0</v>
      </c>
      <c r="AQ391" s="2102">
        <f>IF(AND($K389=TRUE,$K390=FALSE),AQ389,IF(AND($K389=FALSE,$K390=TRUE),AQ390,MAX(AQ389,AQ390)))</f>
        <v>12</v>
      </c>
      <c r="AR391" s="2102">
        <f>IF(AND($K389=TRUE,$K390=FALSE),AR389,IF(AND($K389=FALSE,$K390=TRUE),AR390,MAX(AR389,AR390)))</f>
        <v>30</v>
      </c>
      <c r="AS391" s="2102">
        <f>IF(AND($R389=TRUE,$R390=FALSE),AS389,IF(AND($R389=FALSE,$R390=TRUE),AS390,MAX(AS389,AS390)))</f>
        <v>0</v>
      </c>
      <c r="AT391" s="2102">
        <f>IF(AND($R389=TRUE,$R390=FALSE),AT389,IF(AND($R389=FALSE,$R390=TRUE),AT390,MAX(AT389,AT390)))</f>
        <v>0</v>
      </c>
      <c r="AU391" s="2102">
        <f>IF(AND($U389=TRUE,$U390=FALSE),AU389,IF(AND($U389=FALSE,$U390=TRUE),AU390,MAX(AU389,AU390)))</f>
        <v>12</v>
      </c>
      <c r="AV391" s="2102">
        <f>IF(AND($U389=TRUE,$U390=FALSE),AV389,IF(AND($U389=FALSE,$U390=TRUE),AV390,MAX(AV389,AV390)))</f>
        <v>21</v>
      </c>
      <c r="BD391" s="816"/>
      <c r="BE391" s="110"/>
      <c r="BF391" s="477"/>
      <c r="BG391" s="113"/>
      <c r="BH391" s="481"/>
      <c r="BI391" s="113"/>
      <c r="BJ391" s="482"/>
      <c r="BK391" s="478"/>
    </row>
    <row r="392" spans="2:63" ht="32" customHeight="1" thickBot="1" x14ac:dyDescent="0.35">
      <c r="D392" s="16"/>
      <c r="E392" s="16"/>
      <c r="F392" s="89"/>
      <c r="G392" s="473"/>
      <c r="H392" s="473"/>
      <c r="I392" s="8"/>
      <c r="J392" s="8"/>
      <c r="K392" s="932"/>
      <c r="L392" s="933"/>
      <c r="M392" s="933"/>
      <c r="N392" s="933"/>
      <c r="O392" s="933"/>
      <c r="P392" s="933"/>
      <c r="Q392" s="933"/>
      <c r="R392" s="933"/>
      <c r="S392" s="933"/>
      <c r="T392" s="933"/>
      <c r="U392" s="933"/>
      <c r="V392" s="933"/>
      <c r="W392" s="933"/>
      <c r="AD392" s="1649"/>
      <c r="AE392" s="1650">
        <f>IF(AND(AD391="V",AD382="V"),AE387-1,AE387)</f>
        <v>2</v>
      </c>
      <c r="AF392" s="1649"/>
      <c r="AG392" s="1650">
        <f>IF(OR(AF382="V",AF386="V",AF391="V"),1,0)</f>
        <v>1</v>
      </c>
      <c r="AH392" s="1649"/>
      <c r="AI392" s="1650">
        <f>IF(AH382="V",1,IF(AH391="V",1,0))</f>
        <v>1</v>
      </c>
      <c r="AK392" s="10">
        <v>1</v>
      </c>
      <c r="AL392" s="10">
        <v>1</v>
      </c>
      <c r="AM392" s="10">
        <v>1</v>
      </c>
      <c r="AN392" s="2101">
        <f>IF($AD391="F",AN387,AN387+AN391)</f>
        <v>14</v>
      </c>
      <c r="AO392" s="2101">
        <f>IF($AF391="F",AO387,AO387+AO391)</f>
        <v>14</v>
      </c>
      <c r="AP392" s="2101">
        <f>IF(AND($AH383="V",$AH391="F"),AP383,IF(AND($AH383="F",$AH391="V"),AP391,IF(AND($AH383="V",$AH391="V"),AP383+AP391,0)))</f>
        <v>0</v>
      </c>
      <c r="AQ392" s="2101">
        <f>IF($AD391="F",AQ387,AQ387+AQ391)</f>
        <v>8</v>
      </c>
      <c r="AR392" s="2101">
        <f t="shared" ref="AR392" si="379">IF($AD391="F",AR387,AR387+AR391)</f>
        <v>20</v>
      </c>
      <c r="AS392" s="2101">
        <f t="shared" ref="AS392" si="380">IF($AF391="F",AS387,AS387+AS391)</f>
        <v>4</v>
      </c>
      <c r="AT392" s="2101">
        <f t="shared" ref="AT392" si="381">IF($AF391="F",AT387,AT387+AT391)</f>
        <v>14</v>
      </c>
      <c r="AU392" s="2101">
        <f>IF(AND($AH382="V",$AH391="F"),AU382,IF(AND($AH382="F",$AH391="V"),AU391,IF(AND($AH382="V",$AH391="V"),AU382+AU391,0)))</f>
        <v>8</v>
      </c>
      <c r="AV392" s="2101">
        <f>IF(AND($AH382="V",$AH391="F"),AV382,IF(AND($AH382="F",$AH391="V"),AV391,IF(AND($AH382="V",$AH391="V"),AV382+AV391,0)))</f>
        <v>14</v>
      </c>
      <c r="BD392" s="816"/>
      <c r="BE392" s="110"/>
      <c r="BF392" s="477"/>
      <c r="BG392" s="113"/>
      <c r="BH392" s="481"/>
      <c r="BI392" s="113"/>
      <c r="BJ392" s="482"/>
      <c r="BK392" s="478"/>
    </row>
    <row r="393" spans="2:63" ht="32" customHeight="1" x14ac:dyDescent="0.3">
      <c r="D393" s="16"/>
      <c r="E393" s="16"/>
      <c r="F393" s="89"/>
      <c r="G393" s="473"/>
      <c r="H393" s="473"/>
      <c r="I393" s="1616"/>
      <c r="J393" s="1617"/>
      <c r="K393" s="1618"/>
      <c r="L393" s="2268"/>
      <c r="M393" s="2268"/>
      <c r="N393" s="2268"/>
      <c r="O393" s="1619"/>
      <c r="P393" s="1636"/>
      <c r="Q393" s="1618"/>
      <c r="R393" s="1619"/>
      <c r="S393" s="1636"/>
      <c r="T393" s="1618"/>
      <c r="U393" s="1619"/>
      <c r="V393" s="170"/>
      <c r="W393" s="170"/>
      <c r="AD393" s="1668"/>
      <c r="AE393" s="1669"/>
      <c r="AF393" s="1409"/>
      <c r="AG393" s="1409"/>
      <c r="AH393" s="1409"/>
      <c r="AI393" s="1409"/>
      <c r="AK393" s="10"/>
      <c r="AL393" s="10"/>
      <c r="AM393" s="10"/>
      <c r="BD393" s="816"/>
      <c r="BE393" s="110"/>
      <c r="BF393" s="477"/>
      <c r="BG393" s="113"/>
      <c r="BH393" s="481"/>
      <c r="BI393" s="113"/>
      <c r="BJ393" s="482"/>
      <c r="BK393" s="478"/>
    </row>
    <row r="394" spans="2:63" ht="32" customHeight="1" x14ac:dyDescent="0.3">
      <c r="B394" s="2029">
        <v>20</v>
      </c>
      <c r="D394" s="476" t="str">
        <f>'Action-Réaction finale'!F63</f>
        <v>L'enfant est messager de la logistique</v>
      </c>
      <c r="E394" s="107"/>
      <c r="F394" s="65"/>
      <c r="G394" s="18"/>
      <c r="H394" s="18"/>
      <c r="I394" s="2255" t="s">
        <v>734</v>
      </c>
      <c r="J394" s="2256"/>
      <c r="K394" s="2256"/>
      <c r="L394" s="2257" t="s">
        <v>1378</v>
      </c>
      <c r="M394" s="2257"/>
      <c r="N394" s="2257"/>
      <c r="O394" s="2258"/>
      <c r="P394" s="2259" t="s">
        <v>733</v>
      </c>
      <c r="Q394" s="2260"/>
      <c r="R394" s="2261"/>
      <c r="S394" s="2262" t="s">
        <v>735</v>
      </c>
      <c r="T394" s="2263"/>
      <c r="U394" s="2264"/>
      <c r="V394" s="15"/>
      <c r="W394" s="15"/>
      <c r="AD394" s="956"/>
      <c r="AE394" s="956"/>
      <c r="AF394" s="956"/>
      <c r="AG394" s="956"/>
      <c r="AH394" s="956"/>
      <c r="AI394" s="957"/>
      <c r="AK394" s="10"/>
      <c r="AL394" s="10"/>
      <c r="AM394" s="10"/>
      <c r="AN394" s="1659" t="s">
        <v>734</v>
      </c>
      <c r="AO394" s="1659" t="s">
        <v>733</v>
      </c>
      <c r="AP394" s="1659" t="s">
        <v>735</v>
      </c>
      <c r="AQ394" s="2254" t="s">
        <v>734</v>
      </c>
      <c r="AR394" s="2254"/>
      <c r="AS394" s="2254" t="s">
        <v>733</v>
      </c>
      <c r="AT394" s="2254"/>
      <c r="AU394" s="2254" t="s">
        <v>735</v>
      </c>
      <c r="AV394" s="2254"/>
      <c r="BD394" s="816"/>
      <c r="BE394" s="110"/>
      <c r="BF394" s="477"/>
      <c r="BG394" s="113"/>
      <c r="BH394" s="481"/>
      <c r="BI394" s="113"/>
      <c r="BJ394" s="482"/>
      <c r="BK394" s="478"/>
    </row>
    <row r="395" spans="2:63" ht="32" customHeight="1" x14ac:dyDescent="0.3">
      <c r="D395" s="102" t="s">
        <v>998</v>
      </c>
      <c r="E395" s="983" t="s">
        <v>997</v>
      </c>
      <c r="F395" s="32" t="s">
        <v>748</v>
      </c>
      <c r="G395" s="32" t="s">
        <v>749</v>
      </c>
      <c r="H395" s="32" t="s">
        <v>750</v>
      </c>
      <c r="I395" s="1620" t="s">
        <v>306</v>
      </c>
      <c r="J395" s="43" t="s">
        <v>307</v>
      </c>
      <c r="K395" s="43" t="s">
        <v>308</v>
      </c>
      <c r="L395" s="43" t="s">
        <v>413</v>
      </c>
      <c r="M395" s="43" t="s">
        <v>388</v>
      </c>
      <c r="N395" s="43" t="s">
        <v>389</v>
      </c>
      <c r="O395" s="1621" t="s">
        <v>390</v>
      </c>
      <c r="P395" s="1620" t="s">
        <v>306</v>
      </c>
      <c r="Q395" s="43" t="s">
        <v>307</v>
      </c>
      <c r="R395" s="1621" t="s">
        <v>308</v>
      </c>
      <c r="S395" s="1620" t="s">
        <v>306</v>
      </c>
      <c r="T395" s="43" t="s">
        <v>307</v>
      </c>
      <c r="U395" s="1621" t="s">
        <v>308</v>
      </c>
      <c r="V395" s="818"/>
      <c r="W395" s="955" t="s">
        <v>928</v>
      </c>
      <c r="X395" s="1391" t="s">
        <v>734</v>
      </c>
      <c r="Y395" s="955" t="s">
        <v>928</v>
      </c>
      <c r="Z395" s="1395" t="s">
        <v>733</v>
      </c>
      <c r="AA395" s="955"/>
      <c r="AB395" s="1399" t="s">
        <v>735</v>
      </c>
      <c r="AD395" s="970" t="s">
        <v>734</v>
      </c>
      <c r="AE395" s="971" t="s">
        <v>946</v>
      </c>
      <c r="AF395" s="970" t="s">
        <v>733</v>
      </c>
      <c r="AG395" s="971" t="s">
        <v>947</v>
      </c>
      <c r="AH395" s="970" t="s">
        <v>735</v>
      </c>
      <c r="AI395" s="971" t="s">
        <v>948</v>
      </c>
      <c r="AK395" s="10"/>
      <c r="AL395" s="10"/>
      <c r="AM395" s="10"/>
      <c r="AN395" s="10"/>
      <c r="AO395" s="10"/>
      <c r="AP395" s="10"/>
      <c r="AQ395" s="1806" t="s">
        <v>1322</v>
      </c>
      <c r="AR395" s="1806" t="s">
        <v>1323</v>
      </c>
      <c r="AS395" s="1806" t="s">
        <v>1322</v>
      </c>
      <c r="AT395" s="1806" t="s">
        <v>1323</v>
      </c>
      <c r="AU395" s="1806" t="s">
        <v>1322</v>
      </c>
      <c r="AV395" s="1806" t="s">
        <v>1323</v>
      </c>
      <c r="BD395" s="816"/>
      <c r="BE395" s="110"/>
      <c r="BF395" s="477"/>
      <c r="BG395" s="113"/>
      <c r="BH395" s="481"/>
      <c r="BI395" s="113"/>
      <c r="BJ395" s="482"/>
      <c r="BK395" s="478"/>
    </row>
    <row r="396" spans="2:63" ht="54" customHeight="1" x14ac:dyDescent="0.2">
      <c r="B396" s="2030" t="str">
        <f>'Action-Réaction finale'!I63</f>
        <v>H: Rôle actif, Réponse au CC, r</v>
      </c>
      <c r="C396" s="414" t="str">
        <f>'Action-Réaction finale'!G63</f>
        <v>PFA34</v>
      </c>
      <c r="D396" s="26" t="str">
        <f>Test_Bible!B248</f>
        <v>L’autre parent refuse de vous parler et demande à votre enfant de faire les messages et autres demandes entourant la logistique familiale.</v>
      </c>
      <c r="E396" s="101" t="s">
        <v>789</v>
      </c>
      <c r="F396" s="790">
        <f>Test_Bible!P248</f>
        <v>7</v>
      </c>
      <c r="G396" s="789">
        <f>Test_Bible!D248</f>
        <v>3</v>
      </c>
      <c r="H396" s="790">
        <f>F396*G396</f>
        <v>21</v>
      </c>
      <c r="I396" s="1647">
        <v>11</v>
      </c>
      <c r="J396" s="1648">
        <v>11</v>
      </c>
      <c r="K396" s="45" t="b">
        <f>IF(AND(F396&gt;=I396,F396&lt;=J396),TRUE,FALSE)</f>
        <v>0</v>
      </c>
      <c r="L396" s="45"/>
      <c r="M396" s="45"/>
      <c r="N396" s="45"/>
      <c r="O396" s="1623"/>
      <c r="P396" s="1622">
        <v>2</v>
      </c>
      <c r="Q396" s="1615">
        <v>10</v>
      </c>
      <c r="R396" s="1623" t="b">
        <f>IF(AND(F396&gt;=P396,F396&lt;=Q396),TRUE,FALSE)</f>
        <v>1</v>
      </c>
      <c r="S396" s="1622">
        <v>7</v>
      </c>
      <c r="T396" s="1615">
        <v>10</v>
      </c>
      <c r="U396" s="1623" t="b">
        <f>IF(AND(F396&gt;=S396,F396&lt;=T396),TRUE,FALSE)</f>
        <v>1</v>
      </c>
      <c r="V396" s="931"/>
      <c r="W396" s="1403"/>
      <c r="X396" s="1422">
        <v>11</v>
      </c>
      <c r="Y396" s="1405"/>
      <c r="Z396" s="1408">
        <v>4</v>
      </c>
      <c r="AA396" s="1405"/>
      <c r="AB396" s="1415">
        <v>4</v>
      </c>
      <c r="AD396" s="958"/>
      <c r="AE396" s="959"/>
      <c r="AF396" s="958"/>
      <c r="AG396" s="959"/>
      <c r="AH396" s="958"/>
      <c r="AI396" s="959"/>
      <c r="AK396" s="10"/>
      <c r="AL396" s="10"/>
      <c r="AM396" s="10"/>
      <c r="AN396" s="975">
        <f>IF($K396=TRUE,H396,0)</f>
        <v>0</v>
      </c>
      <c r="AO396" s="975">
        <f>IF($R396=TRUE,H396,0)</f>
        <v>21</v>
      </c>
      <c r="AP396" s="975">
        <f>IF($U396=TRUE,H396,0)</f>
        <v>21</v>
      </c>
      <c r="AQ396" s="1806">
        <f>IF(I396=11,0,G396*I396)</f>
        <v>0</v>
      </c>
      <c r="AR396" s="1806">
        <f>IF(J396=11,0,G396*J396)</f>
        <v>0</v>
      </c>
      <c r="AS396" s="1806">
        <f>IF(P396=11,0,G396*P396)</f>
        <v>6</v>
      </c>
      <c r="AT396" s="1806">
        <f>IF(Q396=11,0,G396*Q396)</f>
        <v>30</v>
      </c>
      <c r="AU396" s="1806">
        <f>IF(S396=11,0,S396*G396)</f>
        <v>21</v>
      </c>
      <c r="AV396" s="1806">
        <f>IF(T396=11,0,T396*G396)</f>
        <v>30</v>
      </c>
      <c r="BD396" s="816"/>
      <c r="BE396" s="110"/>
      <c r="BF396" s="477"/>
      <c r="BG396" s="113"/>
      <c r="BH396" s="481"/>
      <c r="BI396" s="113"/>
      <c r="BJ396" s="482"/>
      <c r="BK396" s="478"/>
    </row>
    <row r="397" spans="2:63" ht="32" customHeight="1" x14ac:dyDescent="0.2">
      <c r="B397" s="2030"/>
      <c r="C397" s="414" t="s">
        <v>293</v>
      </c>
      <c r="D397" s="26"/>
      <c r="E397" s="101"/>
      <c r="F397" s="790"/>
      <c r="G397" s="789"/>
      <c r="H397" s="790">
        <f>F397*G397</f>
        <v>0</v>
      </c>
      <c r="I397" s="1647">
        <v>11</v>
      </c>
      <c r="J397" s="1648">
        <v>11</v>
      </c>
      <c r="K397" s="45" t="b">
        <f>IF(AND(F397&gt;=I397,F397&lt;=J397),TRUE,FALSE)</f>
        <v>0</v>
      </c>
      <c r="L397" s="45"/>
      <c r="M397" s="45"/>
      <c r="N397" s="45"/>
      <c r="O397" s="1623"/>
      <c r="P397" s="1647">
        <v>11</v>
      </c>
      <c r="Q397" s="1648">
        <v>11</v>
      </c>
      <c r="R397" s="1623" t="b">
        <f>IF(AND(F397&gt;=P397,F397&lt;=Q397),TRUE,FALSE)</f>
        <v>0</v>
      </c>
      <c r="S397" s="1647">
        <v>11</v>
      </c>
      <c r="T397" s="1648">
        <v>11</v>
      </c>
      <c r="U397" s="1623" t="b">
        <f>IF(AND(F397&gt;=S397,F397&lt;=T397),TRUE,FALSE)</f>
        <v>0</v>
      </c>
      <c r="V397" s="931"/>
      <c r="W397" s="1406" t="s">
        <v>943</v>
      </c>
      <c r="X397" s="1425">
        <v>11</v>
      </c>
      <c r="Y397" s="1426"/>
      <c r="Z397" s="1427">
        <v>11</v>
      </c>
      <c r="AA397" s="1426"/>
      <c r="AB397" s="1421">
        <v>11</v>
      </c>
      <c r="AD397" s="960"/>
      <c r="AE397" s="961"/>
      <c r="AF397" s="960"/>
      <c r="AG397" s="961"/>
      <c r="AH397" s="960"/>
      <c r="AI397" s="961"/>
      <c r="AK397" s="10"/>
      <c r="AL397" s="10"/>
      <c r="AM397" s="10"/>
      <c r="AN397" s="975">
        <f>IF($K397=TRUE,H397,0)</f>
        <v>0</v>
      </c>
      <c r="AO397" s="975">
        <f>IF($R397=TRUE,H397,0)</f>
        <v>0</v>
      </c>
      <c r="AP397" s="975">
        <f>IF($U397=TRUE,H397,0)</f>
        <v>0</v>
      </c>
      <c r="AQ397" s="1806">
        <f>IF(I397=11,0,G397*I397)</f>
        <v>0</v>
      </c>
      <c r="AR397" s="1806">
        <f>IF(J397=11,0,G397*J397)</f>
        <v>0</v>
      </c>
      <c r="AS397" s="1806">
        <f>IF(P397=11,0,G397*P397)</f>
        <v>0</v>
      </c>
      <c r="AT397" s="1806">
        <f>IF(Q397=11,0,G397*Q397)</f>
        <v>0</v>
      </c>
      <c r="AU397" s="1806">
        <f>IF(S397=11,0,S397*G397)</f>
        <v>0</v>
      </c>
      <c r="AV397" s="1806">
        <f>IF(T397=11,0,T397*G397)</f>
        <v>0</v>
      </c>
      <c r="BD397" s="816"/>
      <c r="BE397" s="110"/>
      <c r="BF397" s="477"/>
      <c r="BG397" s="113"/>
      <c r="BH397" s="481"/>
      <c r="BI397" s="113"/>
      <c r="BJ397" s="482"/>
      <c r="BK397" s="478"/>
    </row>
    <row r="398" spans="2:63" ht="32" customHeight="1" x14ac:dyDescent="0.2">
      <c r="B398" s="2030"/>
      <c r="C398" s="792" t="s">
        <v>745</v>
      </c>
      <c r="D398" s="793" t="str">
        <f>_xlfn.XLOOKUP(H398,H396:H397,D396:D397)</f>
        <v>L’autre parent refuse de vous parler et demande à votre enfant de faire les messages et autres demandes entourant la logistique familiale.</v>
      </c>
      <c r="E398" s="794" t="str">
        <f>_xlfn.XLOOKUP(H398,H396:H397,E396:E397)</f>
        <v>demande à l'enfant de faire les messages entourant la logistique</v>
      </c>
      <c r="F398" s="795"/>
      <c r="G398" s="795"/>
      <c r="H398" s="795">
        <f>IF(AND(K396=TRUE,K397=FALSE),H396,IF(AND(K396=FALSE,K397=TRUE),H397,IF(AND(K396=TRUE,K397=TRUE),H396+H397,MAX(H396,H397))))</f>
        <v>21</v>
      </c>
      <c r="I398" s="1624"/>
      <c r="J398" s="796"/>
      <c r="K398" s="797" t="b">
        <f>IF(AND(K396=FALSE,K397=FALSE),FALSE,TRUE)</f>
        <v>0</v>
      </c>
      <c r="L398" s="45"/>
      <c r="M398" s="45"/>
      <c r="N398" s="45"/>
      <c r="O398" s="1623"/>
      <c r="P398" s="1624"/>
      <c r="Q398" s="796"/>
      <c r="R398" s="1637" t="b">
        <f>IF(AND(R396=FALSE,R397=FALSE),FALSE,TRUE)</f>
        <v>1</v>
      </c>
      <c r="S398" s="1624"/>
      <c r="T398" s="796"/>
      <c r="U398" s="1637" t="b">
        <f>IF(AND(U396=FALSE,U397=FALSE),FALSE,TRUE)</f>
        <v>1</v>
      </c>
      <c r="V398" s="931"/>
      <c r="W398" s="931" t="s">
        <v>943</v>
      </c>
      <c r="X398" s="1392"/>
      <c r="Y398" s="8"/>
      <c r="Z398" s="1397"/>
      <c r="AA398" s="8"/>
      <c r="AB398" s="1400"/>
      <c r="AD398" s="960"/>
      <c r="AE398" s="961"/>
      <c r="AF398" s="960"/>
      <c r="AG398" s="961"/>
      <c r="AH398" s="960"/>
      <c r="AI398" s="961"/>
      <c r="AK398" s="10"/>
      <c r="AL398" s="10"/>
      <c r="AM398" s="10"/>
      <c r="AN398" s="2100">
        <f>IF($K398=TRUE,MAX(AN396:AN397),0)</f>
        <v>0</v>
      </c>
      <c r="AO398" s="2100">
        <f>IF($R398=TRUE,MAX(AO396:AO397),0)</f>
        <v>21</v>
      </c>
      <c r="AP398" s="2100">
        <f>IF($U398=TRUE,MAX(AP396:AP397),0)</f>
        <v>21</v>
      </c>
      <c r="AQ398" s="2099">
        <f>MAX(AQ396:AQ397)</f>
        <v>0</v>
      </c>
      <c r="AR398" s="2099">
        <f t="shared" ref="AR398" si="382">MAX(AR396:AR397)</f>
        <v>0</v>
      </c>
      <c r="AS398" s="2099">
        <f t="shared" ref="AS398" si="383">MAX(AS396:AS397)</f>
        <v>6</v>
      </c>
      <c r="AT398" s="2099">
        <f t="shared" ref="AT398" si="384">MAX(AT396:AT397)</f>
        <v>30</v>
      </c>
      <c r="AU398" s="2099">
        <f t="shared" ref="AU398" si="385">MAX(AU396:AU397)</f>
        <v>21</v>
      </c>
      <c r="AV398" s="2099">
        <f t="shared" ref="AV398" si="386">MAX(AV396:AV397)</f>
        <v>30</v>
      </c>
      <c r="BD398" s="816"/>
      <c r="BE398" s="110"/>
      <c r="BF398" s="477"/>
      <c r="BG398" s="113"/>
      <c r="BH398" s="481"/>
      <c r="BI398" s="113"/>
      <c r="BJ398" s="482"/>
      <c r="BK398" s="478"/>
    </row>
    <row r="399" spans="2:63" ht="52" customHeight="1" x14ac:dyDescent="0.2">
      <c r="B399" s="2030" t="str">
        <f>'Action-Réaction finale'!M63</f>
        <v>E: Interférence temps et/ou communication</v>
      </c>
      <c r="C399" s="52" t="str">
        <f>'Action-Réaction finale'!K63</f>
        <v>NC11</v>
      </c>
      <c r="D399" s="26" t="str">
        <f>Test_Bible!B421</f>
        <v xml:space="preserve">Le nouveau ou nouvelle conjoint·e est responsable de la logistique familiale (communications scolaires, rendez-vous médicaux, etc.). </v>
      </c>
      <c r="E399" s="101" t="s">
        <v>797</v>
      </c>
      <c r="F399" s="790">
        <f>Test_Bible!P421</f>
        <v>10</v>
      </c>
      <c r="G399" s="789">
        <f>Test_Bible!D421</f>
        <v>2</v>
      </c>
      <c r="H399" s="790">
        <f t="shared" ref="H399:H401" si="387">F399*G399</f>
        <v>20</v>
      </c>
      <c r="I399" s="1622">
        <v>7</v>
      </c>
      <c r="J399" s="1615">
        <v>10</v>
      </c>
      <c r="K399" s="45" t="b">
        <f>IF(AND(F399&gt;=I399,F399&lt;=J399),TRUE,FALSE)</f>
        <v>1</v>
      </c>
      <c r="L399" s="45"/>
      <c r="M399" s="45"/>
      <c r="N399" s="45"/>
      <c r="O399" s="1623"/>
      <c r="P399" s="1647">
        <v>11</v>
      </c>
      <c r="Q399" s="1648">
        <v>11</v>
      </c>
      <c r="R399" s="1623" t="b">
        <f>IF(AND(F399&gt;=P399,F399&lt;=Q399),TRUE,FALSE)</f>
        <v>0</v>
      </c>
      <c r="S399" s="1622">
        <v>7</v>
      </c>
      <c r="T399" s="1615">
        <v>10</v>
      </c>
      <c r="U399" s="1623" t="b">
        <f>IF(AND(F399&gt;=S399,F399&lt;=T399),TRUE,FALSE)</f>
        <v>1</v>
      </c>
      <c r="V399" s="931"/>
      <c r="W399" s="1403"/>
      <c r="X399" s="1404">
        <v>7</v>
      </c>
      <c r="Y399" s="1405"/>
      <c r="Z399" s="1424">
        <v>11</v>
      </c>
      <c r="AA399" s="1405"/>
      <c r="AB399" s="1416">
        <v>11</v>
      </c>
      <c r="AD399" s="960"/>
      <c r="AE399" s="961"/>
      <c r="AF399" s="960"/>
      <c r="AG399" s="961"/>
      <c r="AH399" s="960"/>
      <c r="AI399" s="961"/>
      <c r="AK399" s="10"/>
      <c r="AL399" s="10"/>
      <c r="AM399" s="10"/>
      <c r="AN399" s="975">
        <f>IF(K399=TRUE,H399,0)</f>
        <v>20</v>
      </c>
      <c r="AO399" s="975">
        <f>IF(R399=TRUE,H399,0)</f>
        <v>0</v>
      </c>
      <c r="AP399" s="975">
        <f>IF(U399=TRUE,H399,0)</f>
        <v>20</v>
      </c>
      <c r="AQ399" s="1806">
        <f>IF(I399=11,0,G399*I399)</f>
        <v>14</v>
      </c>
      <c r="AR399" s="1806">
        <f>IF(J399=11,0,G399*J399)</f>
        <v>20</v>
      </c>
      <c r="AS399" s="1806">
        <f>IF(P399=11,0,G399*P399)</f>
        <v>0</v>
      </c>
      <c r="AT399" s="1806">
        <f>IF(Q399=11,0,G399*Q399)</f>
        <v>0</v>
      </c>
      <c r="AU399" s="1806">
        <f>IF(S399=11,0,S399*G399)</f>
        <v>14</v>
      </c>
      <c r="AV399" s="1806">
        <f>IF(T399=11,0,T399*G399)</f>
        <v>20</v>
      </c>
      <c r="BD399" s="816"/>
      <c r="BE399" s="110"/>
      <c r="BF399" s="477"/>
      <c r="BG399" s="113"/>
      <c r="BH399" s="481"/>
      <c r="BI399" s="113"/>
      <c r="BJ399" s="482"/>
      <c r="BK399" s="478"/>
    </row>
    <row r="400" spans="2:63" ht="42" customHeight="1" x14ac:dyDescent="0.2">
      <c r="B400" s="2033" t="str">
        <f>'Action-Réaction finale'!M64</f>
        <v>D: Dénigrement</v>
      </c>
      <c r="C400" s="22" t="str">
        <f>Test_Bible!A414</f>
        <v>NC04a</v>
      </c>
      <c r="D400" s="767" t="str">
        <f>Test_Bible!B414</f>
        <v>Le nouveau ou nouvelle conjoint·e dénigre vos compétences parentales par texto, courriel ou autres?</v>
      </c>
      <c r="E400" s="101"/>
      <c r="F400" s="790">
        <f>Test_Bible!P414</f>
        <v>4</v>
      </c>
      <c r="G400" s="789">
        <f>Test_Bible!D414</f>
        <v>3</v>
      </c>
      <c r="H400" s="790">
        <f t="shared" si="387"/>
        <v>12</v>
      </c>
      <c r="I400" s="1622">
        <v>4</v>
      </c>
      <c r="J400" s="1615">
        <v>10</v>
      </c>
      <c r="K400" s="45" t="b">
        <f>IF(AND(F400&gt;=I400,F400&lt;=J400),TRUE,FALSE)</f>
        <v>1</v>
      </c>
      <c r="L400" s="45"/>
      <c r="M400" s="45"/>
      <c r="N400" s="45"/>
      <c r="O400" s="1623"/>
      <c r="P400" s="1647">
        <v>11</v>
      </c>
      <c r="Q400" s="1648">
        <v>11</v>
      </c>
      <c r="R400" s="1623" t="b">
        <f>IF(AND(F400&gt;=P400,F400&lt;=Q400),TRUE,FALSE)</f>
        <v>0</v>
      </c>
      <c r="S400" s="1622">
        <v>4</v>
      </c>
      <c r="T400" s="1615">
        <v>10</v>
      </c>
      <c r="U400" s="1623" t="b">
        <f>IF(AND(F400&gt;=S400,F400&lt;=T400),TRUE,FALSE)</f>
        <v>1</v>
      </c>
      <c r="V400" s="931"/>
      <c r="W400" s="1410"/>
      <c r="X400" s="1392"/>
      <c r="Y400" s="8"/>
      <c r="Z400" s="1430"/>
      <c r="AA400" s="8"/>
      <c r="AB400" s="1432"/>
      <c r="AD400" s="960"/>
      <c r="AE400" s="961"/>
      <c r="AF400" s="960"/>
      <c r="AG400" s="961"/>
      <c r="AH400" s="960"/>
      <c r="AI400" s="961"/>
      <c r="AK400" s="10"/>
      <c r="AL400" s="10"/>
      <c r="AM400" s="10"/>
      <c r="AN400" s="975">
        <f t="shared" ref="AN400:AN401" si="388">IF(K400=TRUE,H400,0)</f>
        <v>12</v>
      </c>
      <c r="AO400" s="975">
        <f t="shared" ref="AO400:AO401" si="389">IF(R400=TRUE,H400,0)</f>
        <v>0</v>
      </c>
      <c r="AP400" s="975">
        <f t="shared" ref="AP400" si="390">IF(U400=TRUE,H400,0)</f>
        <v>12</v>
      </c>
      <c r="AQ400" s="1806">
        <f>IF(I400=11,0,G400*I400)</f>
        <v>12</v>
      </c>
      <c r="AR400" s="1806">
        <f t="shared" ref="AR400:AR401" si="391">IF(J400=11,0,G400*J400)</f>
        <v>30</v>
      </c>
      <c r="AS400" s="1806">
        <f>IF(P400=11,0,G400*P400)</f>
        <v>0</v>
      </c>
      <c r="AT400" s="1806">
        <f t="shared" ref="AT400:AT401" si="392">IF(Q400=11,0,G400*Q400)</f>
        <v>0</v>
      </c>
      <c r="AU400" s="1806">
        <f t="shared" ref="AU400:AU401" si="393">IF(S400=11,0,S400*G400)</f>
        <v>12</v>
      </c>
      <c r="AV400" s="1806">
        <f t="shared" ref="AV400:AV401" si="394">IF(T400=11,0,T400*G400)</f>
        <v>30</v>
      </c>
      <c r="BD400" s="816"/>
      <c r="BE400" s="110"/>
      <c r="BF400" s="477"/>
      <c r="BG400" s="113"/>
      <c r="BH400" s="481"/>
      <c r="BI400" s="113"/>
      <c r="BJ400" s="482"/>
      <c r="BK400" s="478"/>
    </row>
    <row r="401" spans="2:63" ht="58" customHeight="1" x14ac:dyDescent="0.2">
      <c r="B401" s="2033" t="str">
        <f>'Action-Réaction finale'!M65</f>
        <v>D: Dénigrement</v>
      </c>
      <c r="C401" s="22" t="str">
        <f>Test_Bible!A415</f>
        <v>NC04a1</v>
      </c>
      <c r="D401" s="767" t="str">
        <f>Test_Bible!B415</f>
        <v>Arrive-t-il que le nouveau ou nouvelle conjoint·e vous critique ou dénigre vos compétences parentales devant votre enfant ?</v>
      </c>
      <c r="E401" s="62"/>
      <c r="F401" s="790">
        <f>Test_Bible!P415</f>
        <v>2</v>
      </c>
      <c r="G401" s="789">
        <f>Test_Bible!D415</f>
        <v>3</v>
      </c>
      <c r="H401" s="790">
        <f t="shared" si="387"/>
        <v>6</v>
      </c>
      <c r="I401" s="1622">
        <v>4</v>
      </c>
      <c r="J401" s="1615">
        <v>10</v>
      </c>
      <c r="K401" s="45" t="b">
        <f>IF(AND(F401&gt;=I401,F401&lt;=J401),TRUE,FALSE)</f>
        <v>0</v>
      </c>
      <c r="L401" s="45"/>
      <c r="M401" s="45"/>
      <c r="N401" s="45"/>
      <c r="O401" s="1623"/>
      <c r="P401" s="1647">
        <v>11</v>
      </c>
      <c r="Q401" s="1648">
        <v>11</v>
      </c>
      <c r="R401" s="1623" t="b">
        <f>IF(AND(F401&gt;=P401,F401&lt;=Q401),TRUE,FALSE)</f>
        <v>0</v>
      </c>
      <c r="S401" s="1622">
        <v>4</v>
      </c>
      <c r="T401" s="1615">
        <v>10</v>
      </c>
      <c r="U401" s="1623" t="b">
        <f>IF(AND(F401&gt;=S401,F401&lt;=T401),TRUE,FALSE)</f>
        <v>0</v>
      </c>
      <c r="V401" s="931"/>
      <c r="W401" s="1406" t="s">
        <v>943</v>
      </c>
      <c r="X401" s="1425">
        <v>11</v>
      </c>
      <c r="Y401" s="1426"/>
      <c r="Z401" s="1427">
        <v>11</v>
      </c>
      <c r="AA401" s="1426"/>
      <c r="AB401" s="1421">
        <v>11</v>
      </c>
      <c r="AD401" s="960"/>
      <c r="AE401" s="961"/>
      <c r="AF401" s="960"/>
      <c r="AG401" s="961"/>
      <c r="AH401" s="960"/>
      <c r="AI401" s="961"/>
      <c r="AK401" s="10"/>
      <c r="AL401" s="10"/>
      <c r="AM401" s="10"/>
      <c r="AN401" s="975">
        <f t="shared" si="388"/>
        <v>0</v>
      </c>
      <c r="AO401" s="975">
        <f t="shared" si="389"/>
        <v>0</v>
      </c>
      <c r="AP401" s="975">
        <f>IF(U401=TRUE,H401,0)</f>
        <v>0</v>
      </c>
      <c r="AQ401" s="1806">
        <f t="shared" ref="AQ401" si="395">IF(I401=11,0,G401*I401)</f>
        <v>12</v>
      </c>
      <c r="AR401" s="1806">
        <f t="shared" si="391"/>
        <v>30</v>
      </c>
      <c r="AS401" s="1806">
        <f t="shared" ref="AS401" si="396">IF(P401=11,0,G401*P401)</f>
        <v>0</v>
      </c>
      <c r="AT401" s="1806">
        <f t="shared" si="392"/>
        <v>0</v>
      </c>
      <c r="AU401" s="1806">
        <f t="shared" si="393"/>
        <v>12</v>
      </c>
      <c r="AV401" s="1806">
        <f t="shared" si="394"/>
        <v>30</v>
      </c>
      <c r="BC401" s="7"/>
      <c r="BD401" s="816"/>
      <c r="BE401" s="110"/>
      <c r="BF401" s="477"/>
      <c r="BG401" s="113"/>
      <c r="BH401" s="481"/>
      <c r="BI401" s="113"/>
      <c r="BJ401" s="482"/>
      <c r="BK401" s="478"/>
    </row>
    <row r="402" spans="2:63" ht="32" customHeight="1" thickBot="1" x14ac:dyDescent="0.25">
      <c r="B402" s="2030"/>
      <c r="C402" s="798" t="s">
        <v>746</v>
      </c>
      <c r="D402" s="799" t="str">
        <f>_xlfn.XLOOKUP(H402,H399:H401,D399:D401)</f>
        <v xml:space="preserve">Le nouveau ou nouvelle conjoint·e est responsable de la logistique familiale (communications scolaires, rendez-vous médicaux, etc.). </v>
      </c>
      <c r="E402" s="800" t="str">
        <f>_xlfn.XLOOKUP(H402,H399:H401,E399:E401)</f>
        <v>Le nouveau conjoint.e est responsable de la logistique familiale</v>
      </c>
      <c r="F402" s="801"/>
      <c r="G402" s="801"/>
      <c r="H402" s="795">
        <f>IF(AND(K399=TRUE,K400=FALSE,K401=FALSE),H399,IF(AND(K399=FALSE,K400=TRUE,K401=FALSE),H400,IF(AND(K399=FALSE,K400=FALSE,K401=TRUE),H401,IF(AND(K399=TRUE,K400=TRUE,K401=TRUE),H399+H400+H401,MAX(H399:H401)))))</f>
        <v>20</v>
      </c>
      <c r="I402" s="1625"/>
      <c r="J402" s="802"/>
      <c r="K402" s="803" t="b">
        <f>IF(AND(K399=FALSE,K400=FALSE,K401=FALSE),FALSE,TRUE)</f>
        <v>1</v>
      </c>
      <c r="L402" s="45"/>
      <c r="M402" s="45"/>
      <c r="N402" s="45"/>
      <c r="O402" s="1623"/>
      <c r="P402" s="1625"/>
      <c r="Q402" s="802"/>
      <c r="R402" s="1638" t="b">
        <f>IF(AND(R399=FALSE,R400=FALSE,R401=FALSE),FALSE,TRUE)</f>
        <v>0</v>
      </c>
      <c r="S402" s="1625"/>
      <c r="T402" s="802"/>
      <c r="U402" s="1638" t="b">
        <f>IF(AND(U399=FALSE,U400=FALSE,U401=FALSE),FALSE,TRUE)</f>
        <v>1</v>
      </c>
      <c r="V402" s="931"/>
      <c r="W402" s="931"/>
      <c r="X402" s="1392"/>
      <c r="Y402" s="8"/>
      <c r="Z402" s="1397"/>
      <c r="AA402" s="8"/>
      <c r="AB402" s="1400"/>
      <c r="AD402" s="960"/>
      <c r="AE402" s="961"/>
      <c r="AF402" s="960"/>
      <c r="AG402" s="961"/>
      <c r="AH402" s="960"/>
      <c r="AI402" s="961"/>
      <c r="AK402" s="10"/>
      <c r="AL402" s="10"/>
      <c r="AM402" s="10"/>
      <c r="AN402" s="2100">
        <f>IF($K402=TRUE,MAX(AN399:AN401),0)</f>
        <v>20</v>
      </c>
      <c r="AO402" s="2100">
        <f>IF($R402=TRUE,MAX(AO399:AO401),0)</f>
        <v>0</v>
      </c>
      <c r="AP402" s="2100">
        <f>IF($U402=TRUE,MAX(AP399:AP401),0)</f>
        <v>20</v>
      </c>
      <c r="AQ402" s="2099">
        <f t="shared" ref="AQ402:AV402" si="397">MAX(AQ399:AQ401)</f>
        <v>14</v>
      </c>
      <c r="AR402" s="2099">
        <f t="shared" si="397"/>
        <v>30</v>
      </c>
      <c r="AS402" s="2099">
        <f t="shared" si="397"/>
        <v>0</v>
      </c>
      <c r="AT402" s="2099">
        <f t="shared" si="397"/>
        <v>0</v>
      </c>
      <c r="AU402" s="2099">
        <f t="shared" si="397"/>
        <v>14</v>
      </c>
      <c r="AV402" s="2099">
        <f t="shared" si="397"/>
        <v>30</v>
      </c>
      <c r="BC402" s="7"/>
      <c r="BD402" s="816"/>
      <c r="BE402" s="110"/>
      <c r="BF402" s="477"/>
      <c r="BG402" s="113"/>
      <c r="BH402" s="481"/>
      <c r="BI402" s="113"/>
      <c r="BJ402" s="482"/>
      <c r="BK402" s="478"/>
    </row>
    <row r="403" spans="2:63" ht="32" customHeight="1" thickBot="1" x14ac:dyDescent="0.25">
      <c r="B403" s="2030"/>
      <c r="C403" s="804" t="s">
        <v>754</v>
      </c>
      <c r="D403" s="805"/>
      <c r="E403" s="805" t="str">
        <f>IF(H403=H398,E398,E402)</f>
        <v>Le nouveau conjoint.e est responsable de la logistique familiale</v>
      </c>
      <c r="F403" s="806"/>
      <c r="G403" s="806"/>
      <c r="H403" s="806">
        <f>IF(AND(K398=TRUE,K402=FALSE),H398,IF(AND(K398=FALSE,K402=TRUE),H402,IF(AND(K398=TRUE,K402=TRUE),H398+H402,MAX(H398,H402))))</f>
        <v>20</v>
      </c>
      <c r="I403" s="1626"/>
      <c r="J403" s="807"/>
      <c r="K403" s="808" t="b">
        <f>IF(AND(K398=FALSE,K402=FALSE),FALSE,TRUE)</f>
        <v>1</v>
      </c>
      <c r="L403" s="1610"/>
      <c r="M403" s="1610"/>
      <c r="N403" s="1610"/>
      <c r="O403" s="1627"/>
      <c r="P403" s="1626"/>
      <c r="Q403" s="807"/>
      <c r="R403" s="808" t="b">
        <f>IF(AND(R398=FALSE,R402=FALSE),FALSE,TRUE)</f>
        <v>1</v>
      </c>
      <c r="S403" s="1626"/>
      <c r="T403" s="807"/>
      <c r="U403" s="808" t="b">
        <f>IF(AND(U398=FALSE,U402=FALSE),FALSE,TRUE)</f>
        <v>1</v>
      </c>
      <c r="V403" s="931"/>
      <c r="W403" s="931" t="s">
        <v>942</v>
      </c>
      <c r="X403" s="1392"/>
      <c r="Y403" s="8"/>
      <c r="Z403" s="1397"/>
      <c r="AA403" s="8"/>
      <c r="AB403" s="1400"/>
      <c r="AD403" s="960" t="str">
        <f>IF(K403=TRUE,"V","F")</f>
        <v>V</v>
      </c>
      <c r="AE403" s="961"/>
      <c r="AF403" s="960" t="str">
        <f>IF(R403=TRUE,"V","F")</f>
        <v>V</v>
      </c>
      <c r="AG403" s="961"/>
      <c r="AH403" s="960" t="str">
        <f>IF(U403=TRUE,"V","F")</f>
        <v>V</v>
      </c>
      <c r="AI403" s="961"/>
      <c r="AJ403" t="str">
        <f>IF(OR(AD403="V",AF403="V"),IF(H402&gt;H398,"Le NC contribue plus que le coparent","Le coparent joue un plus grand rôle que le NC"),"pas de contexte significatif de la part du coparent et NC")</f>
        <v>Le coparent joue un plus grand rôle que le NC</v>
      </c>
      <c r="AK403" s="10"/>
      <c r="AL403" s="10"/>
      <c r="AM403" s="10"/>
      <c r="AN403" s="631">
        <f>IF(AND($K398=TRUE,$K402=FALSE),AN399,IF(AND($K398=FALSE,$K402=TRUE),AN402,IF(AND($K398=TRUE,$K402=TRUE),AN399+AN402,0)))</f>
        <v>20</v>
      </c>
      <c r="AO403" s="631">
        <f>IF(AND($R398=TRUE,$R402=FALSE),AO399,IF(AND($R398=FALSE,$R402=TRUE),AO402,IF(AND($R398=TRUE,$R402=TRUE),AO399+AO402,0)))</f>
        <v>0</v>
      </c>
      <c r="AP403" s="631">
        <f>IF(AND($U398=TRUE,$U402=FALSE),AP399,IF(AND($U398=FALSE,$U402=TRUE),AP402,IF(AND($U398=TRUE,$U402=TRUE),AP399+AP402,0)))</f>
        <v>40</v>
      </c>
      <c r="AQ403" s="631">
        <f>IF(AND($K398=TRUE,$K402=FALSE),AQ399,IF(AND($K398=FALSE,$K402=TRUE),AQ402,IF(AND($K398=TRUE,$K402=TRUE),AQ399+AQ402,MAX(AQ399,AQ402))))</f>
        <v>14</v>
      </c>
      <c r="AR403" s="631">
        <f>IF(AND($K398=TRUE,$K402=FALSE),AR399,IF(AND($K398=FALSE,$K402=TRUE),AR402,IF(AND($K398=TRUE,$K402=TRUE),AR399+AR402,MAX(AR399,AR402))))</f>
        <v>30</v>
      </c>
      <c r="AS403" s="631">
        <f>IF(AND($R398=TRUE,$R402=FALSE),AS399,IF(AND($R398=FALSE,$R402=TRUE),AS402,IF(AND($R398=TRUE,$R402=TRUE),AS399+AS402,MAX(AS399,AS402))))</f>
        <v>0</v>
      </c>
      <c r="AT403" s="631">
        <f>IF(AND($R398=TRUE,$R402=FALSE),AT399,IF(AND($R398=FALSE,$R402=TRUE),AT402,IF(AND($R398=TRUE,$R402=TRUE),AT399+AT402,MAX(AT399,AT402))))</f>
        <v>0</v>
      </c>
      <c r="AU403" s="631">
        <f>IF(AND($U398=TRUE,$U402=FALSE),AU399,IF(AND($U398=FALSE,$U402=TRUE),AU402,IF(AND($U398=TRUE,$U402=TRUE),AU399+AU402,MAX(AU399,AU402))))</f>
        <v>28</v>
      </c>
      <c r="AV403" s="631">
        <f>IF(AND($U398=TRUE,$U402=FALSE),AV399,IF(AND($U398=FALSE,$U402=TRUE),AV402,IF(AND($U398=TRUE,$U402=TRUE),AV399+AV402,MAX(AV399,AV402))))</f>
        <v>50</v>
      </c>
      <c r="BC403" s="7"/>
      <c r="BD403" s="816"/>
      <c r="BE403" s="110"/>
      <c r="BF403" s="477"/>
      <c r="BG403" s="113"/>
      <c r="BH403" s="481"/>
      <c r="BI403" s="113"/>
      <c r="BJ403" s="482"/>
      <c r="BK403" s="478"/>
    </row>
    <row r="404" spans="2:63" ht="32" customHeight="1" x14ac:dyDescent="0.2">
      <c r="B404" s="2030" t="str">
        <f>'Action-Réaction finale'!Q63</f>
        <v>G: Parentification</v>
      </c>
      <c r="C404" s="313" t="str">
        <f>'Action-Réaction finale'!O63</f>
        <v>E17</v>
      </c>
      <c r="D404" s="26" t="str">
        <f>Test_Bible!B306</f>
        <v xml:space="preserve">Dans quelle mesure diriez-vous que votre enfant a la responsabilité de vous communiquer les informations concernant la logistique familiale (gestion vêtements, lunch, activités, etc.) au retour d'un séjour chez l'autre parent ? </v>
      </c>
      <c r="E404" s="101" t="s">
        <v>798</v>
      </c>
      <c r="F404" s="790">
        <f>Test_Bible!P306</f>
        <v>7</v>
      </c>
      <c r="G404" s="789">
        <f>Test_Bible!D306</f>
        <v>1</v>
      </c>
      <c r="H404" s="790">
        <f>F404*G404</f>
        <v>7</v>
      </c>
      <c r="I404" s="1647">
        <v>11</v>
      </c>
      <c r="J404" s="1648">
        <v>11</v>
      </c>
      <c r="K404" s="45" t="b">
        <f>IF(AND(F404&gt;=I404,F404&lt;=J404),TRUE,FALSE)</f>
        <v>0</v>
      </c>
      <c r="L404" s="45"/>
      <c r="M404" s="45"/>
      <c r="N404" s="45"/>
      <c r="O404" s="1623"/>
      <c r="P404" s="1622">
        <v>4</v>
      </c>
      <c r="Q404" s="1615">
        <v>10</v>
      </c>
      <c r="R404" s="1623" t="b">
        <f>IF(AND(F404&gt;=P404,F404&lt;=Q404),TRUE,FALSE)</f>
        <v>1</v>
      </c>
      <c r="S404" s="1622"/>
      <c r="T404" s="1615"/>
      <c r="U404" s="1623"/>
      <c r="V404" s="931"/>
      <c r="W404" s="1403"/>
      <c r="X404" s="1404">
        <v>4</v>
      </c>
      <c r="Y404" s="1405"/>
      <c r="Z404" s="1408">
        <v>4</v>
      </c>
      <c r="AA404" s="1405"/>
      <c r="AB404" s="1416">
        <v>11</v>
      </c>
      <c r="AD404" s="960" t="s">
        <v>945</v>
      </c>
      <c r="AE404" s="961"/>
      <c r="AF404" s="960"/>
      <c r="AG404" s="961"/>
      <c r="AH404" s="960"/>
      <c r="AI404" s="961"/>
      <c r="AK404" s="10"/>
      <c r="AL404" s="10"/>
      <c r="AM404" s="10"/>
      <c r="AN404" s="975">
        <f>IF($K404=TRUE,H404,0)</f>
        <v>0</v>
      </c>
      <c r="AO404" s="975">
        <f>IF($R404=TRUE,H404,0)</f>
        <v>7</v>
      </c>
      <c r="AP404" s="975">
        <f>IF($U404=TRUE,H404,0)</f>
        <v>0</v>
      </c>
      <c r="AQ404" s="1806">
        <f>IF(I404=11,0,G404*I404)</f>
        <v>0</v>
      </c>
      <c r="AR404" s="1806">
        <f>IF(J404=11,0,G404*J404)</f>
        <v>0</v>
      </c>
      <c r="AS404" s="1806">
        <f>IF(P404=11,0,G404*P404)</f>
        <v>4</v>
      </c>
      <c r="AT404" s="1806">
        <f>IF(Q404=11,0,G404*Q404)</f>
        <v>10</v>
      </c>
      <c r="AU404" s="1806">
        <f>IF(S404=11,0,S404*G404)</f>
        <v>0</v>
      </c>
      <c r="AV404" s="1806">
        <f>IF(T404=11,0,T404*G404)</f>
        <v>0</v>
      </c>
      <c r="BC404" s="7"/>
      <c r="BD404" s="816"/>
      <c r="BE404" s="110"/>
      <c r="BF404" s="477"/>
      <c r="BG404" s="113"/>
      <c r="BH404" s="481"/>
      <c r="BI404" s="113"/>
      <c r="BJ404" s="482"/>
      <c r="BK404" s="478"/>
    </row>
    <row r="405" spans="2:63" ht="32" customHeight="1" thickBot="1" x14ac:dyDescent="0.25">
      <c r="B405" s="2030"/>
      <c r="C405" s="313" t="s">
        <v>309</v>
      </c>
      <c r="D405" s="26"/>
      <c r="E405" s="101"/>
      <c r="F405" s="790"/>
      <c r="G405" s="789"/>
      <c r="H405" s="790">
        <f>F405*G405</f>
        <v>0</v>
      </c>
      <c r="I405" s="1647">
        <v>11</v>
      </c>
      <c r="J405" s="1648">
        <v>11</v>
      </c>
      <c r="K405" s="45" t="b">
        <f>IF(AND(F405&gt;=I405,F405&lt;=J405),TRUE,FALSE)</f>
        <v>0</v>
      </c>
      <c r="L405" s="45"/>
      <c r="M405" s="45"/>
      <c r="N405" s="45"/>
      <c r="O405" s="1623"/>
      <c r="P405" s="1647">
        <v>11</v>
      </c>
      <c r="Q405" s="1648">
        <v>11</v>
      </c>
      <c r="R405" s="1623" t="b">
        <f>IF(AND(F405&gt;=P405,F405&lt;=Q405),TRUE,FALSE)</f>
        <v>0</v>
      </c>
      <c r="S405" s="1647"/>
      <c r="T405" s="1648"/>
      <c r="U405" s="1623"/>
      <c r="V405" s="931"/>
      <c r="W405" s="1406" t="s">
        <v>943</v>
      </c>
      <c r="X405" s="1425">
        <v>11</v>
      </c>
      <c r="Y405" s="1426"/>
      <c r="Z405" s="1427">
        <v>11</v>
      </c>
      <c r="AA405" s="1426"/>
      <c r="AB405" s="1421">
        <v>11</v>
      </c>
      <c r="AD405" s="960"/>
      <c r="AE405" s="961"/>
      <c r="AF405" s="960"/>
      <c r="AG405" s="961"/>
      <c r="AH405" s="960"/>
      <c r="AI405" s="961"/>
      <c r="AK405" s="10"/>
      <c r="AL405" s="10"/>
      <c r="AM405" s="10"/>
      <c r="AN405" s="975">
        <f>IF($K405=TRUE,H405,0)</f>
        <v>0</v>
      </c>
      <c r="AO405" s="975">
        <f>IF($R405=TRUE,H405,0)</f>
        <v>0</v>
      </c>
      <c r="AP405" s="975">
        <f>IF($U405=TRUE,H405,0)</f>
        <v>0</v>
      </c>
      <c r="AQ405" s="1806">
        <f>IF(I405=11,0,G405*I405)</f>
        <v>0</v>
      </c>
      <c r="AR405" s="1806">
        <f>IF(J405=11,0,G405*J405)</f>
        <v>0</v>
      </c>
      <c r="AS405" s="1806">
        <f>IF(P405=11,0,G405*P405)</f>
        <v>0</v>
      </c>
      <c r="AT405" s="1806">
        <f>IF(Q405=11,0,G405*Q405)</f>
        <v>0</v>
      </c>
      <c r="AU405" s="1806">
        <f>IF(S405=11,0,S405*G405)</f>
        <v>0</v>
      </c>
      <c r="AV405" s="1806">
        <f>IF(T405=11,0,T405*G405)</f>
        <v>0</v>
      </c>
      <c r="BC405" s="7"/>
      <c r="BD405" s="816"/>
      <c r="BE405" s="110"/>
      <c r="BF405" s="477"/>
      <c r="BG405" s="113"/>
      <c r="BH405" s="481"/>
      <c r="BI405" s="113"/>
      <c r="BJ405" s="482"/>
      <c r="BK405" s="478"/>
    </row>
    <row r="406" spans="2:63" ht="32" customHeight="1" thickBot="1" x14ac:dyDescent="0.25">
      <c r="B406" s="2030"/>
      <c r="C406" s="809" t="s">
        <v>747</v>
      </c>
      <c r="D406" s="810" t="str">
        <f>_xlfn.XLOOKUP(H406,H404:H405,D404:D405)</f>
        <v xml:space="preserve">Dans quelle mesure diriez-vous que votre enfant a la responsabilité de vous communiquer les informations concernant la logistique familiale (gestion vêtements, lunch, activités, etc.) au retour d'un séjour chez l'autre parent ? </v>
      </c>
      <c r="E406" s="810" t="str">
        <f>_xlfn.XLOOKUP(H406,H404:H405,E404:E405)</f>
        <v>a la responsabilité de communiquer les informations concernant la logistique familiale</v>
      </c>
      <c r="F406" s="811"/>
      <c r="G406" s="811"/>
      <c r="H406" s="811">
        <f>IF(AND(K404=TRUE,K405=FALSE),H404,IF(AND(K404=FALSE,K405=TRUE),H405,IF(AND(K404=TRUE,K405=TRUE),H404+H405,MAX(H404,H405))))</f>
        <v>7</v>
      </c>
      <c r="I406" s="1628"/>
      <c r="J406" s="812"/>
      <c r="K406" s="813" t="b">
        <f>IF(AND(K404=FALSE,K405=FALSE),FALSE,TRUE)</f>
        <v>0</v>
      </c>
      <c r="L406" s="1611"/>
      <c r="M406" s="1611"/>
      <c r="N406" s="1611"/>
      <c r="O406" s="1629"/>
      <c r="P406" s="1628"/>
      <c r="Q406" s="812"/>
      <c r="R406" s="813" t="b">
        <f>IF(AND(R404=FALSE,R405=FALSE),FALSE,TRUE)</f>
        <v>1</v>
      </c>
      <c r="S406" s="1628"/>
      <c r="T406" s="812"/>
      <c r="U406" s="813"/>
      <c r="V406" s="931"/>
      <c r="W406" s="931"/>
      <c r="X406" s="1394"/>
      <c r="Z406" s="1398"/>
      <c r="AB406" s="1402"/>
      <c r="AD406" s="960" t="str">
        <f>IF(K406=TRUE,"V","F")</f>
        <v>F</v>
      </c>
      <c r="AE406" s="961"/>
      <c r="AF406" s="960" t="str">
        <f>IF(R406=TRUE,"V","F")</f>
        <v>V</v>
      </c>
      <c r="AG406" s="961"/>
      <c r="AH406" s="960"/>
      <c r="AI406" s="961"/>
      <c r="AK406" s="10"/>
      <c r="AL406" s="10"/>
      <c r="AM406" s="10"/>
      <c r="AN406" s="2102">
        <f>IF(AND($K404=TRUE,$K405=FALSE),AN404,IF(AND($K404=FALSE,$K405=TRUE),AN405,IF(AND($K404=TRUE,$K405=TRUE),MAX(AN404,AN405),0)))</f>
        <v>0</v>
      </c>
      <c r="AO406" s="2102">
        <f>IF(AND($R404=TRUE,$R405=FALSE),AO404,IF(AND($R404=FALSE,$R405=TRUE),AO405,IF(AND($R404=TRUE,$R405=TRUE),MAX(AO404,AO405),0)))</f>
        <v>7</v>
      </c>
      <c r="AP406" s="2102"/>
      <c r="AQ406" s="2102">
        <f>IF(AND($K404=TRUE,$K405=FALSE),AQ404,IF(AND($K404=FALSE,$K405=TRUE),AQ405,IF(AND($K404=TRUE,$K405=TRUE),MAX(AQ404,AQ405),0)))</f>
        <v>0</v>
      </c>
      <c r="AR406" s="2102">
        <f>IF(AND($K404=TRUE,$K405=FALSE),AR404,IF(AND($K404=FALSE,$K405=TRUE),AR405,IF(AND($K404=TRUE,$K405=TRUE),MAX(AR404,AR405),0)))</f>
        <v>0</v>
      </c>
      <c r="AS406" s="2102">
        <f t="shared" ref="AS406" si="398">IF(AND($R404=TRUE,$R405=FALSE),AS404,IF(AND($R404=FALSE,$R405=TRUE),AS405,IF(AND($R404=TRUE,$R405=TRUE),MAX(AS404,AS405),0)))</f>
        <v>4</v>
      </c>
      <c r="AT406" s="2102">
        <f t="shared" ref="AT406" si="399">IF(AND($R404=TRUE,$R405=FALSE),AT404,IF(AND($R404=FALSE,$R405=TRUE),AT405,IF(AND($R404=TRUE,$R405=TRUE),MAX(AT404,AT405),0)))</f>
        <v>10</v>
      </c>
      <c r="AU406" s="2102"/>
      <c r="AV406" s="2102"/>
      <c r="BD406" s="816"/>
      <c r="BE406" s="110"/>
      <c r="BF406" s="477"/>
      <c r="BG406" s="113"/>
      <c r="BH406" s="481"/>
      <c r="BI406" s="113"/>
      <c r="BJ406" s="482"/>
      <c r="BK406" s="478"/>
    </row>
    <row r="407" spans="2:63" ht="32" customHeight="1" x14ac:dyDescent="0.3">
      <c r="D407" s="421" t="s">
        <v>310</v>
      </c>
      <c r="E407" s="785"/>
      <c r="F407" s="474" t="s">
        <v>398</v>
      </c>
      <c r="G407" s="47"/>
      <c r="H407" s="47">
        <f>IF(AND(K403=TRUE,K406=FALSE),H403,IF(AND(K403=FALSE,K406=TRUE),H406,IF(AND(K403=TRUE,K406=TRUE),H403+H406,MAX(H403,H406))))</f>
        <v>20</v>
      </c>
      <c r="I407" s="1630"/>
      <c r="J407" s="475"/>
      <c r="K407" s="1613"/>
      <c r="L407" s="1614" t="str">
        <f>IF(AND(K406=TRUE,K403=TRUE),E406,"")</f>
        <v/>
      </c>
      <c r="M407" s="1614" t="str">
        <f>IF(AND(K403=TRUE,K406=FALSE),"Bien que le parent "&amp;E403&amp;" l'enfant ne semble pas s'ingérer","")</f>
        <v>Bien que le parent Le nouveau conjoint.e est responsable de la logistique familiale l'enfant ne semble pas s'ingérer</v>
      </c>
      <c r="N407" s="1614" t="str">
        <f>IF(AND(K403=FALSE,K406=TRUE),E406&amp;" sans signe de la participation du parent favorisé et|ou nouveau conjoint.e","")</f>
        <v/>
      </c>
      <c r="O407" s="1631" t="str">
        <f>IF(AND(K403=FALSE,K406=FALSE),"aucun comportement significatif de cette nature","")</f>
        <v/>
      </c>
      <c r="P407" s="1630"/>
      <c r="Q407" s="475"/>
      <c r="R407" s="1639"/>
      <c r="S407" s="1630"/>
      <c r="T407" s="475"/>
      <c r="U407" s="1639"/>
      <c r="V407" s="170"/>
      <c r="W407" s="170"/>
      <c r="X407" s="1394"/>
      <c r="Z407" s="1398"/>
      <c r="AB407" s="1402"/>
      <c r="AD407" s="962"/>
      <c r="AE407" s="963">
        <f>IF(AND(AD403="V",AD406="V"),2,IF(OR(AD403="V",AD406="V"),1,0))</f>
        <v>1</v>
      </c>
      <c r="AF407" s="962"/>
      <c r="AG407" s="963">
        <f>IF(OR(AF403="V",AF406="V"),1,0)</f>
        <v>1</v>
      </c>
      <c r="AH407" s="962"/>
      <c r="AI407" s="963"/>
      <c r="AK407" s="10"/>
      <c r="AL407" s="10"/>
      <c r="AM407" s="10"/>
      <c r="AN407" s="2097">
        <f>IF(AND($AD403="V",$AD406="F"),AN403,IF(AND($AD403="F",$AD406="V"),AN406,IF(AND($AD403="V",$AD406="V"),AN403+AN406,0)))</f>
        <v>20</v>
      </c>
      <c r="AO407" s="2097">
        <f>IF(AND($AF403="V",$AF406="F"),AO403,IF(AND($AF403="F",$AF406="V"),AO406,IF(AND($AF403="V",$AF406="V"),AO403+AO406,0)))</f>
        <v>7</v>
      </c>
      <c r="AP407" s="2097"/>
      <c r="AQ407" s="2097">
        <f>IF(AND($AD403="V",$AD406="F"),AQ403,IF(AND($AD403="F",$AD406="V"),AQ406,IF(AND($AD403="V",$AD406="V"),AQ403+AQ406,0)))</f>
        <v>14</v>
      </c>
      <c r="AR407" s="2097">
        <f>IF(AND($AD403="V",$AD406="F"),AR403,IF(AND($AD403="F",$AD406="V"),AR406,IF(AND($AD403="V",$AD406="V"),AR403+AR406,0)))</f>
        <v>30</v>
      </c>
      <c r="AS407" s="2097">
        <f>IF(AND($AF403="V",$AF406="F"),AS403,IF(AND($AF403="F",$AF406="V"),AS406,IF(AND($AF403="V",$AF406="V"),AS403+AS406,0)))</f>
        <v>4</v>
      </c>
      <c r="AT407" s="2097">
        <f>IF(AND($AF403="V",$AF406="F"),AT403,IF(AND($AF403="F",$AF406="V"),AT406,IF(AND($AF403="V",$AF406="V"),AT403+AT406,0)))</f>
        <v>10</v>
      </c>
      <c r="AU407" s="2097"/>
      <c r="AV407" s="2097"/>
      <c r="BD407" s="816"/>
      <c r="BE407" s="110"/>
      <c r="BF407" s="477"/>
      <c r="BG407" s="113"/>
      <c r="BH407" s="481"/>
      <c r="BI407" s="113"/>
      <c r="BJ407" s="482"/>
      <c r="BK407" s="478"/>
    </row>
    <row r="408" spans="2:63" ht="32" customHeight="1" x14ac:dyDescent="0.2">
      <c r="B408" s="2030"/>
      <c r="C408" t="s">
        <v>243</v>
      </c>
      <c r="I408" s="146"/>
      <c r="L408" s="46"/>
      <c r="M408" s="46"/>
      <c r="N408" s="46"/>
      <c r="O408" s="1652"/>
      <c r="P408" s="146"/>
      <c r="R408" s="326"/>
      <c r="S408" s="146"/>
      <c r="U408" s="326"/>
      <c r="V408" s="46"/>
      <c r="AD408" s="960"/>
      <c r="AE408" s="961"/>
      <c r="AF408" s="960"/>
      <c r="AG408" s="961"/>
      <c r="AH408" s="960"/>
      <c r="AI408" s="961"/>
      <c r="AK408" s="10"/>
      <c r="AL408" s="10"/>
      <c r="AM408" s="10"/>
      <c r="AN408" s="975"/>
      <c r="AO408" s="975"/>
      <c r="AP408" s="975"/>
      <c r="AQ408" s="1806"/>
      <c r="AR408" s="1806"/>
      <c r="AS408" s="1806"/>
      <c r="AT408" s="1806"/>
      <c r="AU408" s="1806"/>
      <c r="AV408" s="1806"/>
      <c r="BD408" s="816"/>
      <c r="BE408" s="110"/>
      <c r="BF408" s="477"/>
      <c r="BG408" s="113"/>
      <c r="BH408" s="481"/>
      <c r="BI408" s="113"/>
      <c r="BJ408" s="482"/>
      <c r="BK408" s="478"/>
    </row>
    <row r="409" spans="2:63" ht="50" customHeight="1" x14ac:dyDescent="0.2">
      <c r="B409" s="2030" t="str">
        <f>'Action-Réaction finale'!U63</f>
        <v>G: Parentification</v>
      </c>
      <c r="C409" s="964" t="str">
        <f>'Action-Réaction finale'!S63</f>
        <v>PCR13</v>
      </c>
      <c r="D409" s="965" t="str">
        <f>Test_Bible!B149</f>
        <v>Le contexte de coparentalité vous contraint à demander à votre enfant de faire les messages et demandes entourant la logistique familiale.</v>
      </c>
      <c r="E409" s="965"/>
      <c r="F409" s="973">
        <f>Test_Bible!P149</f>
        <v>4</v>
      </c>
      <c r="G409" s="973">
        <f>Test_Bible!D149</f>
        <v>2</v>
      </c>
      <c r="H409" s="973">
        <f>F409*G409</f>
        <v>8</v>
      </c>
      <c r="I409" s="1647">
        <v>11</v>
      </c>
      <c r="J409" s="1648">
        <v>11</v>
      </c>
      <c r="K409" s="45" t="b">
        <f>IF(AND(F409&gt;=I409,F409&lt;=J409),TRUE,FALSE)</f>
        <v>0</v>
      </c>
      <c r="L409" s="32"/>
      <c r="M409" s="32"/>
      <c r="N409" s="32"/>
      <c r="O409" s="1632"/>
      <c r="P409" s="1622">
        <v>2</v>
      </c>
      <c r="Q409" s="1615">
        <v>10</v>
      </c>
      <c r="R409" s="1623" t="b">
        <f>IF(AND(F409&gt;=P409,F409&lt;=Q409),TRUE,FALSE)</f>
        <v>1</v>
      </c>
      <c r="S409" s="1622">
        <v>7</v>
      </c>
      <c r="T409" s="1615">
        <v>10</v>
      </c>
      <c r="U409" s="1623" t="b">
        <f>IF(AND(F409&gt;=S409,F409&lt;=T409),TRUE,FALSE)</f>
        <v>0</v>
      </c>
      <c r="V409" s="46"/>
      <c r="W409" s="1428"/>
      <c r="X409" s="1422">
        <v>11</v>
      </c>
      <c r="Y409" s="1423"/>
      <c r="Z409" s="1408">
        <v>4</v>
      </c>
      <c r="AA409" s="1405"/>
      <c r="AB409" s="1415">
        <v>4</v>
      </c>
      <c r="AD409" s="960"/>
      <c r="AE409" s="961"/>
      <c r="AF409" s="960"/>
      <c r="AG409" s="961"/>
      <c r="AH409" s="960"/>
      <c r="AI409" s="961"/>
      <c r="AK409" s="10"/>
      <c r="AL409" s="10"/>
      <c r="AM409" s="10"/>
      <c r="AN409" s="975">
        <f>IF($K409=TRUE,H409,0)</f>
        <v>0</v>
      </c>
      <c r="AO409" s="975">
        <f>IF($R409=TRUE,H409,0)</f>
        <v>8</v>
      </c>
      <c r="AP409" s="975">
        <f>IF($U409=TRUE,H409,0)</f>
        <v>0</v>
      </c>
      <c r="AQ409" s="1806">
        <f>IF(I409=11,0,G409*I409)</f>
        <v>0</v>
      </c>
      <c r="AR409" s="1806">
        <f>IF(J409=11,0,G409*J409)</f>
        <v>0</v>
      </c>
      <c r="AS409" s="1806">
        <f>IF(P409=11,0,G409*P409)</f>
        <v>4</v>
      </c>
      <c r="AT409" s="1806">
        <f>IF(Q409=11,0,G409*Q409)</f>
        <v>20</v>
      </c>
      <c r="AU409" s="1806">
        <f>IF(S409=11,0,S409*G409)</f>
        <v>14</v>
      </c>
      <c r="AV409" s="1806">
        <f>IF(T409=11,0,T409*G409)</f>
        <v>20</v>
      </c>
      <c r="BD409" s="816"/>
      <c r="BE409" s="110"/>
      <c r="BF409" s="477"/>
      <c r="BG409" s="113"/>
      <c r="BH409" s="481"/>
      <c r="BI409" s="113"/>
      <c r="BJ409" s="482"/>
      <c r="BK409" s="478"/>
    </row>
    <row r="410" spans="2:63" ht="32" customHeight="1" thickBot="1" x14ac:dyDescent="0.25">
      <c r="B410" s="2030"/>
      <c r="C410" s="964"/>
      <c r="D410" s="972"/>
      <c r="E410" s="965"/>
      <c r="F410" s="973"/>
      <c r="G410" s="973"/>
      <c r="H410" s="973">
        <f>F410*G410</f>
        <v>0</v>
      </c>
      <c r="I410" s="1647">
        <v>11</v>
      </c>
      <c r="J410" s="1648">
        <v>11</v>
      </c>
      <c r="K410" s="45" t="b">
        <f>IF(AND(F410&gt;=I410,F410&lt;=J410),TRUE,FALSE)</f>
        <v>0</v>
      </c>
      <c r="L410" s="32"/>
      <c r="M410" s="32"/>
      <c r="N410" s="32"/>
      <c r="O410" s="1632"/>
      <c r="P410" s="1647">
        <v>11</v>
      </c>
      <c r="Q410" s="1648">
        <v>11</v>
      </c>
      <c r="R410" s="1623" t="b">
        <f>IF(AND(F410&gt;=P410,F410&lt;=Q410),TRUE,FALSE)</f>
        <v>0</v>
      </c>
      <c r="S410" s="1647">
        <v>11</v>
      </c>
      <c r="T410" s="1648">
        <v>11</v>
      </c>
      <c r="U410" s="1623" t="b">
        <f>IF(AND(F410&gt;=S410,F410&lt;=T410),TRUE,FALSE)</f>
        <v>0</v>
      </c>
      <c r="W410" s="1429"/>
      <c r="X410" s="1425">
        <v>11</v>
      </c>
      <c r="Y410" s="1426"/>
      <c r="Z410" s="1427">
        <v>11</v>
      </c>
      <c r="AA410" s="1426"/>
      <c r="AB410" s="1421">
        <v>11</v>
      </c>
      <c r="AD410" s="960"/>
      <c r="AE410" s="961"/>
      <c r="AF410" s="960"/>
      <c r="AG410" s="961"/>
      <c r="AH410" s="960"/>
      <c r="AI410" s="961"/>
      <c r="AK410" s="10"/>
      <c r="AL410" s="10"/>
      <c r="AM410" s="10"/>
      <c r="AN410" s="975">
        <f>IF($K410=TRUE,H410,0)</f>
        <v>0</v>
      </c>
      <c r="AO410" s="975">
        <f>IF($R410=TRUE,H410,0)</f>
        <v>0</v>
      </c>
      <c r="AP410" s="975">
        <f>IF($U410=TRUE,H410,0)</f>
        <v>0</v>
      </c>
      <c r="AQ410" s="1806">
        <f>IF(I410=11,0,G410*I410)</f>
        <v>0</v>
      </c>
      <c r="AR410" s="1806">
        <f>IF(J410=11,0,G410*J410)</f>
        <v>0</v>
      </c>
      <c r="AS410" s="1806">
        <f>IF(P410=11,0,G410*P410)</f>
        <v>0</v>
      </c>
      <c r="AT410" s="1806">
        <f>IF(Q410=11,0,G410*Q410)</f>
        <v>0</v>
      </c>
      <c r="AU410" s="1806">
        <f>IF(S410=11,0,S410*G410)</f>
        <v>0</v>
      </c>
      <c r="AV410" s="1806">
        <f>IF(T410=11,0,T410*G410)</f>
        <v>0</v>
      </c>
      <c r="BD410" s="816"/>
      <c r="BE410" s="110"/>
      <c r="BF410" s="477"/>
      <c r="BG410" s="113"/>
      <c r="BH410" s="481"/>
      <c r="BI410" s="113"/>
      <c r="BJ410" s="482"/>
      <c r="BK410" s="478"/>
    </row>
    <row r="411" spans="2:63" ht="32" customHeight="1" thickBot="1" x14ac:dyDescent="0.35">
      <c r="D411" s="16"/>
      <c r="E411" s="16"/>
      <c r="F411" s="89"/>
      <c r="G411" s="473"/>
      <c r="H411" s="47">
        <f>IF(AND(K409=TRUE,K410=FALSE),H409,IF(AND(K409=FALSE,K410=TRUE),H410,IF(AND(K409=TRUE,K410=TRUE),H409+H410,MAX(H409,H410))))</f>
        <v>8</v>
      </c>
      <c r="I411" s="1644"/>
      <c r="J411" s="1645"/>
      <c r="K411" s="1651" t="b">
        <f>IF(AND(K409=FALSE,K410=FALSE),FALSE,TRUE)</f>
        <v>0</v>
      </c>
      <c r="L411" s="1633"/>
      <c r="M411" s="1634"/>
      <c r="N411" s="1634"/>
      <c r="O411" s="1635"/>
      <c r="P411" s="1644"/>
      <c r="Q411" s="1645"/>
      <c r="R411" s="1651" t="b">
        <f>IF(AND(R409=FALSE,R410=FALSE),FALSE,TRUE)</f>
        <v>1</v>
      </c>
      <c r="S411" s="1656"/>
      <c r="T411" s="1657"/>
      <c r="U411" s="1658" t="b">
        <f>IF(AND(U409=FALSE,U410=FALSE),FALSE,TRUE)</f>
        <v>0</v>
      </c>
      <c r="V411" s="933"/>
      <c r="AD411" s="1564" t="str">
        <f>IF(K411=TRUE,"V","F")</f>
        <v>F</v>
      </c>
      <c r="AE411" s="1565"/>
      <c r="AF411" s="1564" t="str">
        <f>IF(R411=TRUE,"V","F")</f>
        <v>V</v>
      </c>
      <c r="AG411" s="1565"/>
      <c r="AH411" s="1564" t="str">
        <f>IF(U411=TRUE,"V","F")</f>
        <v>F</v>
      </c>
      <c r="AI411" s="1565"/>
      <c r="AK411" s="10"/>
      <c r="AL411" s="10"/>
      <c r="AM411" s="10"/>
      <c r="AN411" s="2102">
        <f>IF(AND($K409=TRUE,$K410=FALSE),AN409,IF(AND($K409=FALSE,$K410=TRUE),AN410,MAX(AN409,AN410)))</f>
        <v>0</v>
      </c>
      <c r="AO411" s="2102">
        <f>IF(AND($R409=TRUE,$R410=FALSE),AO409,IF(AND($R409=FALSE,$R410=TRUE),AO410,MAX(AO409,AO410)))</f>
        <v>8</v>
      </c>
      <c r="AP411" s="2102">
        <f>IF(AND($U409=TRUE,$U410=FALSE),AP409,IF(AND($U409=FALSE,$U410=TRUE),AP410,MAX(AP409,AP410)))</f>
        <v>0</v>
      </c>
      <c r="AQ411" s="2102">
        <f>IF(AND($K409=TRUE,$K410=FALSE),AQ409,IF(AND($K409=FALSE,$K410=TRUE),AQ410,MAX(AQ409,AQ410)))</f>
        <v>0</v>
      </c>
      <c r="AR411" s="2102">
        <f>IF(AND($K409=TRUE,$K410=FALSE),AR409,IF(AND($K409=FALSE,$K410=TRUE),AR410,MAX(AR409,AR410)))</f>
        <v>0</v>
      </c>
      <c r="AS411" s="2102">
        <f>IF(AND($R409=TRUE,$R410=FALSE),AS409,IF(AND($R409=FALSE,$R410=TRUE),AS410,MAX(AS409,AS410)))</f>
        <v>4</v>
      </c>
      <c r="AT411" s="2102">
        <f>IF(AND($R409=TRUE,$R410=FALSE),AT409,IF(AND($R409=FALSE,$R410=TRUE),AT410,MAX(AT409,AT410)))</f>
        <v>20</v>
      </c>
      <c r="AU411" s="2102">
        <f>IF(AND($U409=TRUE,$U410=FALSE),AU409,IF(AND($U409=FALSE,$U410=TRUE),AU410,MAX(AU409,AU410)))</f>
        <v>14</v>
      </c>
      <c r="AV411" s="2102">
        <f>IF(AND($U409=TRUE,$U410=FALSE),AV409,IF(AND($U409=FALSE,$U410=TRUE),AV410,MAX(AV409,AV410)))</f>
        <v>20</v>
      </c>
      <c r="BD411" s="816"/>
      <c r="BE411" s="110"/>
      <c r="BF411" s="477"/>
      <c r="BG411" s="113"/>
      <c r="BH411" s="481"/>
      <c r="BI411" s="113"/>
      <c r="BJ411" s="482"/>
      <c r="BK411" s="478"/>
    </row>
    <row r="412" spans="2:63" ht="32" customHeight="1" thickBot="1" x14ac:dyDescent="0.35">
      <c r="D412" s="16"/>
      <c r="E412" s="16"/>
      <c r="F412" s="89"/>
      <c r="G412" s="473"/>
      <c r="H412" s="473"/>
      <c r="I412" s="8"/>
      <c r="J412" s="8"/>
      <c r="K412" s="932"/>
      <c r="L412" s="933"/>
      <c r="M412" s="933"/>
      <c r="N412" s="933"/>
      <c r="O412" s="933"/>
      <c r="P412" s="933"/>
      <c r="Q412" s="933"/>
      <c r="R412" s="933"/>
      <c r="S412" s="933"/>
      <c r="T412" s="933"/>
      <c r="U412" s="933"/>
      <c r="V412" s="933"/>
      <c r="W412" s="933"/>
      <c r="AD412" s="1649"/>
      <c r="AE412" s="1650">
        <f>IF(AND(AD411="V",AD403="V"),AE407-1,AE407)</f>
        <v>1</v>
      </c>
      <c r="AF412" s="1649"/>
      <c r="AG412" s="1650">
        <f>IF(OR(AF403="V",AF406="V",AF411="V"),1,0)</f>
        <v>1</v>
      </c>
      <c r="AH412" s="1649"/>
      <c r="AI412" s="1650">
        <f>IF(AH403="V",1,IF(AH411="V",1,0))</f>
        <v>1</v>
      </c>
      <c r="AK412" s="10">
        <v>1</v>
      </c>
      <c r="AL412" s="10">
        <v>1</v>
      </c>
      <c r="AM412" s="10">
        <v>1</v>
      </c>
      <c r="AN412" s="2101">
        <f>IF($AD411="F",AN407,AN407+AN411)</f>
        <v>20</v>
      </c>
      <c r="AO412" s="2101">
        <f>IF($AF411="F",AO407,AO407+AO411)</f>
        <v>15</v>
      </c>
      <c r="AP412" s="2101">
        <f>IF(AND($AH403="V",$AH411="F"),AP403,IF(AND($AH403="F",$AH411="V"),AP411,IF(AND($AH403="V",$AH411="V"),AP403+AP411,0)))</f>
        <v>40</v>
      </c>
      <c r="AQ412" s="2101">
        <f>IF($AD411="F",AQ407,AQ407+AQ411)</f>
        <v>14</v>
      </c>
      <c r="AR412" s="2101">
        <f>IF($AD411="F",AR407,AR407+AR411)</f>
        <v>30</v>
      </c>
      <c r="AS412" s="2101">
        <f>IF($AF411="F",AS407,AS407+AS411)</f>
        <v>8</v>
      </c>
      <c r="AT412" s="2101">
        <f>IF($AF411="F",AT407,AT407+AT411)</f>
        <v>30</v>
      </c>
      <c r="AU412" s="2101">
        <f>IF(AND($AH403="V",$AH411="F"),AU402,IF(AND($AH403="F",$AH411="V"),AU411,IF(AND($AH403="V",$AH411="V"),AU402+AU411,0)))</f>
        <v>14</v>
      </c>
      <c r="AV412" s="2101">
        <f>IF(AND($AH403="V",$AH411="F"),AV402,IF(AND($AH403="F",$AH411="V"),AV411,IF(AND($AH403="V",$AH411="V"),AV402+AV411,0)))</f>
        <v>30</v>
      </c>
      <c r="BD412" s="816"/>
      <c r="BE412" s="110"/>
      <c r="BF412" s="477"/>
      <c r="BG412" s="113"/>
      <c r="BH412" s="481"/>
      <c r="BI412" s="113"/>
      <c r="BJ412" s="482"/>
      <c r="BK412" s="478"/>
    </row>
    <row r="413" spans="2:63" ht="32" customHeight="1" x14ac:dyDescent="0.3">
      <c r="D413" s="16"/>
      <c r="E413" s="16"/>
      <c r="F413" s="89"/>
      <c r="G413" s="473"/>
      <c r="H413" s="473"/>
      <c r="I413" s="1616"/>
      <c r="J413" s="1617"/>
      <c r="K413" s="1618"/>
      <c r="L413" s="2268"/>
      <c r="M413" s="2268"/>
      <c r="N413" s="2268"/>
      <c r="O413" s="1619"/>
      <c r="P413" s="1636"/>
      <c r="Q413" s="1618"/>
      <c r="R413" s="1619"/>
      <c r="S413" s="1636"/>
      <c r="T413" s="1618"/>
      <c r="U413" s="1619"/>
      <c r="V413" s="170"/>
      <c r="W413" s="170"/>
      <c r="AD413" s="1668"/>
      <c r="AE413" s="1669"/>
      <c r="AF413" s="1409"/>
      <c r="AG413" s="1409"/>
      <c r="AH413" s="1409"/>
      <c r="AI413" s="1409"/>
      <c r="AK413" s="10"/>
      <c r="AL413" s="10"/>
      <c r="AM413" s="10"/>
      <c r="BD413" s="816"/>
      <c r="BE413" s="110"/>
      <c r="BF413" s="477"/>
      <c r="BG413" s="113"/>
      <c r="BH413" s="481"/>
      <c r="BI413" s="113"/>
      <c r="BJ413" s="482"/>
      <c r="BK413" s="478"/>
    </row>
    <row r="414" spans="2:63" ht="32" customHeight="1" x14ac:dyDescent="0.3">
      <c r="B414" s="2029">
        <v>21</v>
      </c>
      <c r="D414" s="476" t="str">
        <f>'Action-Réaction finale'!F67</f>
        <v>Liberté du choix de l'enfant</v>
      </c>
      <c r="E414" s="107"/>
      <c r="F414" s="65"/>
      <c r="G414" s="18"/>
      <c r="H414" s="18"/>
      <c r="I414" s="2255" t="s">
        <v>734</v>
      </c>
      <c r="J414" s="2256"/>
      <c r="K414" s="2256"/>
      <c r="L414" s="2257" t="s">
        <v>1378</v>
      </c>
      <c r="M414" s="2257"/>
      <c r="N414" s="2257"/>
      <c r="O414" s="2258"/>
      <c r="P414" s="2259" t="s">
        <v>733</v>
      </c>
      <c r="Q414" s="2260"/>
      <c r="R414" s="2261"/>
      <c r="S414" s="2262" t="s">
        <v>735</v>
      </c>
      <c r="T414" s="2263"/>
      <c r="U414" s="2264"/>
      <c r="V414" s="15"/>
      <c r="W414" s="15"/>
      <c r="AD414" s="956"/>
      <c r="AE414" s="956"/>
      <c r="AF414" s="956"/>
      <c r="AG414" s="956"/>
      <c r="AH414" s="956"/>
      <c r="AI414" s="957"/>
      <c r="AK414" s="10"/>
      <c r="AL414" s="10"/>
      <c r="AM414" s="10"/>
      <c r="AN414" s="1659" t="s">
        <v>734</v>
      </c>
      <c r="AO414" s="1659" t="s">
        <v>733</v>
      </c>
      <c r="AP414" s="1659" t="s">
        <v>735</v>
      </c>
      <c r="AQ414" s="2254" t="s">
        <v>734</v>
      </c>
      <c r="AR414" s="2254"/>
      <c r="AS414" s="2254" t="s">
        <v>733</v>
      </c>
      <c r="AT414" s="2254"/>
      <c r="AU414" s="2254" t="s">
        <v>735</v>
      </c>
      <c r="AV414" s="2254"/>
      <c r="BD414" s="816"/>
      <c r="BE414" s="110"/>
      <c r="BF414" s="477"/>
      <c r="BG414" s="113"/>
      <c r="BH414" s="481"/>
      <c r="BI414" s="113"/>
      <c r="BJ414" s="482"/>
      <c r="BK414" s="478"/>
    </row>
    <row r="415" spans="2:63" ht="32" customHeight="1" x14ac:dyDescent="0.2">
      <c r="B415" s="2030"/>
      <c r="D415" s="102" t="s">
        <v>998</v>
      </c>
      <c r="E415" s="983" t="s">
        <v>997</v>
      </c>
      <c r="F415" s="32" t="s">
        <v>748</v>
      </c>
      <c r="G415" s="32" t="s">
        <v>749</v>
      </c>
      <c r="H415" s="32" t="s">
        <v>750</v>
      </c>
      <c r="I415" s="1620" t="s">
        <v>306</v>
      </c>
      <c r="J415" s="43" t="s">
        <v>307</v>
      </c>
      <c r="K415" s="43" t="s">
        <v>308</v>
      </c>
      <c r="L415" s="43" t="s">
        <v>413</v>
      </c>
      <c r="M415" s="43" t="s">
        <v>388</v>
      </c>
      <c r="N415" s="43" t="s">
        <v>389</v>
      </c>
      <c r="O415" s="1621" t="s">
        <v>390</v>
      </c>
      <c r="P415" s="1620" t="s">
        <v>306</v>
      </c>
      <c r="Q415" s="43" t="s">
        <v>307</v>
      </c>
      <c r="R415" s="1621" t="s">
        <v>308</v>
      </c>
      <c r="S415" s="1620" t="s">
        <v>306</v>
      </c>
      <c r="T415" s="43" t="s">
        <v>307</v>
      </c>
      <c r="U415" s="1621" t="s">
        <v>308</v>
      </c>
      <c r="V415" s="818"/>
      <c r="W415" s="955" t="s">
        <v>928</v>
      </c>
      <c r="X415" s="1391" t="s">
        <v>734</v>
      </c>
      <c r="Y415" s="955" t="s">
        <v>928</v>
      </c>
      <c r="Z415" s="1395" t="s">
        <v>733</v>
      </c>
      <c r="AA415" s="955"/>
      <c r="AB415" s="1399" t="s">
        <v>735</v>
      </c>
      <c r="AD415" s="970" t="s">
        <v>734</v>
      </c>
      <c r="AE415" s="971" t="s">
        <v>946</v>
      </c>
      <c r="AF415" s="970" t="s">
        <v>733</v>
      </c>
      <c r="AG415" s="971" t="s">
        <v>947</v>
      </c>
      <c r="AH415" s="970" t="s">
        <v>735</v>
      </c>
      <c r="AI415" s="971" t="s">
        <v>948</v>
      </c>
      <c r="AK415" s="10"/>
      <c r="AL415" s="10"/>
      <c r="AM415" s="10"/>
      <c r="AN415" s="10"/>
      <c r="AO415" s="10"/>
      <c r="AP415" s="10"/>
      <c r="AQ415" s="1806" t="s">
        <v>1322</v>
      </c>
      <c r="AR415" s="1806" t="s">
        <v>1323</v>
      </c>
      <c r="AS415" s="1806" t="s">
        <v>1322</v>
      </c>
      <c r="AT415" s="1806" t="s">
        <v>1323</v>
      </c>
      <c r="AU415" s="1806" t="s">
        <v>1322</v>
      </c>
      <c r="AV415" s="1806" t="s">
        <v>1323</v>
      </c>
      <c r="BD415" s="816"/>
      <c r="BE415" s="110"/>
      <c r="BF415" s="477"/>
      <c r="BG415" s="113"/>
      <c r="BH415" s="481"/>
      <c r="BI415" s="113"/>
      <c r="BJ415" s="482"/>
      <c r="BK415" s="478"/>
    </row>
    <row r="416" spans="2:63" ht="58" customHeight="1" x14ac:dyDescent="0.2">
      <c r="B416" s="2030" t="str">
        <f>'Action-Réaction finale'!I67</f>
        <v>H: Rôle actif, Réponse au CC, r</v>
      </c>
      <c r="C416" s="414" t="str">
        <f>'Action-Réaction finale'!G67</f>
        <v>PFA35</v>
      </c>
      <c r="D416" s="26" t="str">
        <f>Test_Bible!B249</f>
        <v/>
      </c>
      <c r="E416" s="101" t="s">
        <v>799</v>
      </c>
      <c r="F416" s="790">
        <f>Test_Bible!P249</f>
        <v>0</v>
      </c>
      <c r="G416" s="789">
        <f>Test_Bible!D249</f>
        <v>3</v>
      </c>
      <c r="H416" s="790">
        <f>F416*G416</f>
        <v>0</v>
      </c>
      <c r="I416" s="1622">
        <v>4</v>
      </c>
      <c r="J416" s="1615">
        <v>10</v>
      </c>
      <c r="K416" s="45" t="b">
        <f>IF(AND(F416&gt;=I416,F416&lt;=J416),TRUE,FALSE)</f>
        <v>0</v>
      </c>
      <c r="L416" s="45"/>
      <c r="M416" s="45"/>
      <c r="N416" s="45"/>
      <c r="O416" s="1623"/>
      <c r="P416" s="1622">
        <v>2</v>
      </c>
      <c r="Q416" s="1615">
        <v>7</v>
      </c>
      <c r="R416" s="1623" t="b">
        <f>IF(AND(F416&gt;=P416,F416&lt;=Q416),TRUE,FALSE)</f>
        <v>0</v>
      </c>
      <c r="S416" s="1622">
        <v>4</v>
      </c>
      <c r="T416" s="1615">
        <v>7</v>
      </c>
      <c r="U416" s="1623" t="b">
        <f>IF(AND(F416&gt;=S416,F416&lt;=T416),TRUE,FALSE)</f>
        <v>0</v>
      </c>
      <c r="V416" s="931"/>
      <c r="W416" s="1403"/>
      <c r="X416" s="1404">
        <v>4</v>
      </c>
      <c r="Y416" s="1405"/>
      <c r="Z416" s="1408">
        <v>2</v>
      </c>
      <c r="AA416" s="1405"/>
      <c r="AB416" s="1416">
        <v>11</v>
      </c>
      <c r="AD416" s="958"/>
      <c r="AE416" s="959"/>
      <c r="AF416" s="958"/>
      <c r="AG416" s="959"/>
      <c r="AH416" s="958"/>
      <c r="AI416" s="959"/>
      <c r="AK416" s="10"/>
      <c r="AL416" s="10"/>
      <c r="AM416" s="10"/>
      <c r="AN416" s="975">
        <f>IF($K416=TRUE,H416,0)</f>
        <v>0</v>
      </c>
      <c r="AO416" s="975">
        <f>IF($R416=TRUE,H416,0)</f>
        <v>0</v>
      </c>
      <c r="AP416" s="975">
        <f>IF($U416=TRUE,H416,0)</f>
        <v>0</v>
      </c>
      <c r="AQ416" s="1806">
        <f>IF(I416=11,0,G416*I416)</f>
        <v>12</v>
      </c>
      <c r="AR416" s="1806">
        <f>IF(J416=11,0,G416*J416)</f>
        <v>30</v>
      </c>
      <c r="AS416" s="1806">
        <f>IF(P416=11,0,G416*P416)</f>
        <v>6</v>
      </c>
      <c r="AT416" s="1806">
        <f>IF(Q416=11,0,G416*Q416)</f>
        <v>21</v>
      </c>
      <c r="AU416" s="1806">
        <f>IF(S416=11,0,S416*G416)</f>
        <v>12</v>
      </c>
      <c r="AV416" s="1806">
        <f>IF(T416=11,0,T416*G416)</f>
        <v>21</v>
      </c>
      <c r="BD416" s="816"/>
      <c r="BE416" s="110"/>
      <c r="BF416" s="477"/>
      <c r="BG416" s="113"/>
      <c r="BH416" s="481"/>
      <c r="BI416" s="113"/>
      <c r="BJ416" s="482"/>
      <c r="BK416" s="478"/>
    </row>
    <row r="417" spans="2:63" ht="32" customHeight="1" x14ac:dyDescent="0.2">
      <c r="B417" s="2030"/>
      <c r="C417" s="414" t="s">
        <v>293</v>
      </c>
      <c r="D417" s="26"/>
      <c r="E417" s="101"/>
      <c r="F417" s="790"/>
      <c r="G417" s="789"/>
      <c r="H417" s="790">
        <f>F417*G417</f>
        <v>0</v>
      </c>
      <c r="I417" s="1647">
        <v>11</v>
      </c>
      <c r="J417" s="1648">
        <v>11</v>
      </c>
      <c r="K417" s="45" t="b">
        <f>IF(AND(F417&gt;=I417,F417&lt;=J417),TRUE,FALSE)</f>
        <v>0</v>
      </c>
      <c r="L417" s="45"/>
      <c r="M417" s="45"/>
      <c r="N417" s="45"/>
      <c r="O417" s="1623"/>
      <c r="P417" s="1647">
        <v>11</v>
      </c>
      <c r="Q417" s="1648">
        <v>11</v>
      </c>
      <c r="R417" s="1623" t="b">
        <f>IF(AND(F417&gt;=P417,F417&lt;=Q417),TRUE,FALSE)</f>
        <v>0</v>
      </c>
      <c r="S417" s="1647">
        <v>11</v>
      </c>
      <c r="T417" s="1648">
        <v>11</v>
      </c>
      <c r="U417" s="1623" t="b">
        <f>IF(AND(F417&gt;=S417,F417&lt;=T417),TRUE,FALSE)</f>
        <v>0</v>
      </c>
      <c r="V417" s="931"/>
      <c r="W417" s="1406" t="s">
        <v>943</v>
      </c>
      <c r="X417" s="1425">
        <v>11</v>
      </c>
      <c r="Y417" s="1426"/>
      <c r="Z417" s="1427">
        <v>11</v>
      </c>
      <c r="AA417" s="1426"/>
      <c r="AB417" s="1421">
        <v>11</v>
      </c>
      <c r="AD417" s="960"/>
      <c r="AE417" s="961"/>
      <c r="AF417" s="960"/>
      <c r="AG417" s="961"/>
      <c r="AH417" s="960"/>
      <c r="AI417" s="961"/>
      <c r="AK417" s="10"/>
      <c r="AL417" s="10"/>
      <c r="AM417" s="10"/>
      <c r="AN417" s="975">
        <f>IF($K417=TRUE,H417,0)</f>
        <v>0</v>
      </c>
      <c r="AO417" s="975">
        <f>IF($R417=TRUE,H417,0)</f>
        <v>0</v>
      </c>
      <c r="AP417" s="975">
        <f>IF($U417=TRUE,H417,0)</f>
        <v>0</v>
      </c>
      <c r="AQ417" s="1806">
        <f>IF(I417=11,0,G417*I417)</f>
        <v>0</v>
      </c>
      <c r="AR417" s="1806">
        <f>IF(J417=11,0,G417*J417)</f>
        <v>0</v>
      </c>
      <c r="AS417" s="1806">
        <f>IF(P417=11,0,G417*P417)</f>
        <v>0</v>
      </c>
      <c r="AT417" s="1806">
        <f>IF(Q417=11,0,G417*Q417)</f>
        <v>0</v>
      </c>
      <c r="AU417" s="1806">
        <f>IF(S417=11,0,S417*G417)</f>
        <v>0</v>
      </c>
      <c r="AV417" s="1806">
        <f>IF(T417=11,0,T417*G417)</f>
        <v>0</v>
      </c>
      <c r="BD417" s="816"/>
      <c r="BE417" s="110"/>
      <c r="BF417" s="477"/>
      <c r="BG417" s="113"/>
      <c r="BH417" s="481"/>
      <c r="BI417" s="113"/>
      <c r="BJ417" s="482"/>
      <c r="BK417" s="478"/>
    </row>
    <row r="418" spans="2:63" ht="32" customHeight="1" x14ac:dyDescent="0.2">
      <c r="B418" s="2030"/>
      <c r="C418" s="792" t="s">
        <v>745</v>
      </c>
      <c r="D418" s="793" t="str">
        <f>_xlfn.XLOOKUP(H418,H416:H417,D416:D417)</f>
        <v/>
      </c>
      <c r="E418" s="794" t="str">
        <f>_xlfn.XLOOKUP(H418,H416:H417,E416:E417)</f>
        <v>a le droit de choisir de respecter ou non l'entente de garde</v>
      </c>
      <c r="F418" s="795"/>
      <c r="G418" s="795"/>
      <c r="H418" s="795">
        <f>IF(AND(K416=TRUE,K417=FALSE),H416,IF(AND(K416=FALSE,K417=TRUE),H417,MAX(H416,H417)))</f>
        <v>0</v>
      </c>
      <c r="I418" s="1624"/>
      <c r="J418" s="796"/>
      <c r="K418" s="797" t="b">
        <f>IF(AND(K416=FALSE,K417=FALSE),FALSE,TRUE)</f>
        <v>0</v>
      </c>
      <c r="L418" s="45"/>
      <c r="M418" s="45"/>
      <c r="N418" s="45"/>
      <c r="O418" s="1623"/>
      <c r="P418" s="1624"/>
      <c r="Q418" s="796"/>
      <c r="R418" s="1637" t="b">
        <f>IF(AND(R416=FALSE,R417=FALSE),FALSE,TRUE)</f>
        <v>0</v>
      </c>
      <c r="S418" s="1624"/>
      <c r="T418" s="796"/>
      <c r="U418" s="1637" t="b">
        <f>IF(AND(U416=FALSE,U417=FALSE),FALSE,TRUE)</f>
        <v>0</v>
      </c>
      <c r="V418" s="931"/>
      <c r="W418" s="931" t="s">
        <v>943</v>
      </c>
      <c r="X418" s="1392"/>
      <c r="Y418" s="8"/>
      <c r="Z418" s="1397"/>
      <c r="AA418" s="8"/>
      <c r="AB418" s="1400"/>
      <c r="AD418" s="960"/>
      <c r="AE418" s="961"/>
      <c r="AF418" s="960"/>
      <c r="AG418" s="961"/>
      <c r="AH418" s="960"/>
      <c r="AI418" s="961"/>
      <c r="AK418" s="10"/>
      <c r="AL418" s="10"/>
      <c r="AM418" s="10"/>
      <c r="AN418" s="2100">
        <f>IF($K418=TRUE,MAX(AN416:AN417),0)</f>
        <v>0</v>
      </c>
      <c r="AO418" s="2100">
        <f>IF($R418=TRUE,MAX(AO416:AO417),0)</f>
        <v>0</v>
      </c>
      <c r="AP418" s="2100">
        <f>IF($U418=TRUE,MAX(AP416:AP417),0)</f>
        <v>0</v>
      </c>
      <c r="AQ418" s="2099">
        <f>MAX(AQ416:AQ417)</f>
        <v>12</v>
      </c>
      <c r="AR418" s="2099">
        <f t="shared" ref="AR418" si="400">MAX(AR416:AR417)</f>
        <v>30</v>
      </c>
      <c r="AS418" s="2099">
        <f t="shared" ref="AS418" si="401">MAX(AS416:AS417)</f>
        <v>6</v>
      </c>
      <c r="AT418" s="2099">
        <f t="shared" ref="AT418" si="402">MAX(AT416:AT417)</f>
        <v>21</v>
      </c>
      <c r="AU418" s="2099">
        <f t="shared" ref="AU418" si="403">MAX(AU416:AU417)</f>
        <v>12</v>
      </c>
      <c r="AV418" s="2099">
        <f t="shared" ref="AV418" si="404">MAX(AV416:AV417)</f>
        <v>21</v>
      </c>
      <c r="BD418" s="816"/>
      <c r="BE418" s="110"/>
      <c r="BF418" s="477"/>
      <c r="BG418" s="113"/>
      <c r="BH418" s="481"/>
      <c r="BI418" s="113"/>
      <c r="BJ418" s="482"/>
      <c r="BK418" s="478"/>
    </row>
    <row r="419" spans="2:63" ht="32" customHeight="1" x14ac:dyDescent="0.2">
      <c r="B419" s="2030"/>
      <c r="C419" s="52" t="s">
        <v>247</v>
      </c>
      <c r="D419" s="26"/>
      <c r="E419" s="101"/>
      <c r="F419" s="790"/>
      <c r="G419" s="789"/>
      <c r="H419" s="790">
        <f>F419*G419</f>
        <v>0</v>
      </c>
      <c r="I419" s="1647">
        <v>11</v>
      </c>
      <c r="J419" s="1648">
        <v>11</v>
      </c>
      <c r="K419" s="45" t="b">
        <f>IF(AND(F419&gt;=I419,F419&lt;=J419),TRUE,FALSE)</f>
        <v>0</v>
      </c>
      <c r="L419" s="45"/>
      <c r="M419" s="45"/>
      <c r="N419" s="45"/>
      <c r="O419" s="1623"/>
      <c r="P419" s="1647">
        <v>11</v>
      </c>
      <c r="Q419" s="1648">
        <v>11</v>
      </c>
      <c r="R419" s="1623" t="b">
        <f>IF(AND(F419&gt;=P419,F419&lt;=Q419),TRUE,FALSE)</f>
        <v>0</v>
      </c>
      <c r="S419" s="1647">
        <v>11</v>
      </c>
      <c r="T419" s="1648">
        <v>11</v>
      </c>
      <c r="U419" s="1623" t="b">
        <f>IF(AND(F419&gt;=S419,F419&lt;=T419),TRUE,FALSE)</f>
        <v>0</v>
      </c>
      <c r="V419" s="931"/>
      <c r="W419" s="1403"/>
      <c r="X419" s="1422">
        <v>11</v>
      </c>
      <c r="Y419" s="1423"/>
      <c r="Z419" s="1424">
        <v>11</v>
      </c>
      <c r="AA419" s="1423"/>
      <c r="AB419" s="1416">
        <v>11</v>
      </c>
      <c r="AD419" s="960"/>
      <c r="AE419" s="961"/>
      <c r="AF419" s="960"/>
      <c r="AG419" s="961"/>
      <c r="AH419" s="960"/>
      <c r="AI419" s="961"/>
      <c r="AK419" s="10"/>
      <c r="AL419" s="10"/>
      <c r="AM419" s="10"/>
      <c r="AN419" s="975">
        <f>IF(K419=TRUE,H419,0)</f>
        <v>0</v>
      </c>
      <c r="AO419" s="975">
        <f>IF(R419=TRUE,H419,0)</f>
        <v>0</v>
      </c>
      <c r="AP419" s="975">
        <f>IF(U419=TRUE,H419,0)</f>
        <v>0</v>
      </c>
      <c r="AQ419" s="1806">
        <f>IF(I419=11,0,G419*I419)</f>
        <v>0</v>
      </c>
      <c r="AR419" s="1806">
        <f>IF(J419=11,0,G419*J419)</f>
        <v>0</v>
      </c>
      <c r="AS419" s="1806">
        <f>IF(P419=11,0,G419*P419)</f>
        <v>0</v>
      </c>
      <c r="AT419" s="1806">
        <f>IF(Q419=11,0,G419*Q419)</f>
        <v>0</v>
      </c>
      <c r="AU419" s="1806">
        <f>IF(S419=11,0,S419*G419)</f>
        <v>0</v>
      </c>
      <c r="AV419" s="1806">
        <f>IF(T419=11,0,T419*G419)</f>
        <v>0</v>
      </c>
      <c r="BD419" s="816"/>
      <c r="BE419" s="110"/>
      <c r="BF419" s="477"/>
      <c r="BG419" s="113"/>
      <c r="BH419" s="481"/>
      <c r="BI419" s="113"/>
      <c r="BJ419" s="482"/>
      <c r="BK419" s="478"/>
    </row>
    <row r="420" spans="2:63" ht="32" customHeight="1" x14ac:dyDescent="0.2">
      <c r="B420" s="2030"/>
      <c r="C420" s="52" t="s">
        <v>247</v>
      </c>
      <c r="D420" s="26"/>
      <c r="E420" s="62"/>
      <c r="F420" s="35"/>
      <c r="G420" s="35"/>
      <c r="H420" s="35">
        <f>F420*G420</f>
        <v>0</v>
      </c>
      <c r="I420" s="1647">
        <v>11</v>
      </c>
      <c r="J420" s="1648">
        <v>11</v>
      </c>
      <c r="K420" s="45" t="b">
        <f>IF(AND(F420&gt;=I420,F420&lt;=J420),TRUE,FALSE)</f>
        <v>0</v>
      </c>
      <c r="L420" s="45"/>
      <c r="M420" s="45"/>
      <c r="N420" s="45"/>
      <c r="O420" s="1623"/>
      <c r="P420" s="1647">
        <v>11</v>
      </c>
      <c r="Q420" s="1648">
        <v>11</v>
      </c>
      <c r="R420" s="1623" t="b">
        <f>IF(AND(F420&gt;=P420,F420&lt;=Q420),TRUE,FALSE)</f>
        <v>0</v>
      </c>
      <c r="S420" s="1647">
        <v>11</v>
      </c>
      <c r="T420" s="1648">
        <v>11</v>
      </c>
      <c r="U420" s="1623" t="b">
        <f>IF(AND(F420&gt;=S420,F420&lt;=T420),TRUE,FALSE)</f>
        <v>0</v>
      </c>
      <c r="V420" s="931"/>
      <c r="W420" s="1406" t="s">
        <v>943</v>
      </c>
      <c r="X420" s="1425">
        <v>11</v>
      </c>
      <c r="Y420" s="1426"/>
      <c r="Z420" s="1427">
        <v>11</v>
      </c>
      <c r="AA420" s="1426"/>
      <c r="AB420" s="1421">
        <v>11</v>
      </c>
      <c r="AD420" s="960"/>
      <c r="AE420" s="961"/>
      <c r="AF420" s="960"/>
      <c r="AG420" s="961"/>
      <c r="AH420" s="960"/>
      <c r="AI420" s="961"/>
      <c r="AK420" s="10"/>
      <c r="AL420" s="10"/>
      <c r="AM420" s="10"/>
      <c r="AN420" s="975">
        <f>IF(K420=TRUE,H420,0)</f>
        <v>0</v>
      </c>
      <c r="AO420" s="975">
        <f>IF(R420=TRUE,H420,0)</f>
        <v>0</v>
      </c>
      <c r="AP420" s="975">
        <f>IF(U420=TRUE,H420,0)</f>
        <v>0</v>
      </c>
      <c r="AQ420" s="1806">
        <f>IF(I420=11,0,G420*I420)</f>
        <v>0</v>
      </c>
      <c r="AR420" s="1806">
        <f>IF(J420=11,0,G420*J420)</f>
        <v>0</v>
      </c>
      <c r="AS420" s="1806">
        <f>IF(P420=11,0,G420*P420)</f>
        <v>0</v>
      </c>
      <c r="AT420" s="1806">
        <f>IF(Q420=11,0,G420*Q420)</f>
        <v>0</v>
      </c>
      <c r="AU420" s="1806">
        <f>IF(S420=11,0,S420*G420)</f>
        <v>0</v>
      </c>
      <c r="AV420" s="1806">
        <f>IF(T420=11,0,T420*G420)</f>
        <v>0</v>
      </c>
      <c r="BC420" s="7"/>
      <c r="BD420" s="816"/>
      <c r="BE420" s="110"/>
      <c r="BF420" s="477"/>
      <c r="BG420" s="113"/>
      <c r="BH420" s="481"/>
      <c r="BI420" s="113"/>
      <c r="BJ420" s="482"/>
      <c r="BK420" s="478"/>
    </row>
    <row r="421" spans="2:63" ht="32" customHeight="1" thickBot="1" x14ac:dyDescent="0.25">
      <c r="B421" s="2030"/>
      <c r="C421" s="798" t="s">
        <v>746</v>
      </c>
      <c r="D421" s="799">
        <f>_xlfn.XLOOKUP(H421,H419:H420,D419:D420)</f>
        <v>0</v>
      </c>
      <c r="E421" s="800">
        <f>_xlfn.XLOOKUP(H421,H419:H420,E419:E420)</f>
        <v>0</v>
      </c>
      <c r="F421" s="801"/>
      <c r="G421" s="801"/>
      <c r="H421" s="795">
        <f>IF(AND(K419=TRUE,K420=FALSE),H419,IF(AND(K419=FALSE,K420=TRUE),H420,MAX(H419,H420)))</f>
        <v>0</v>
      </c>
      <c r="I421" s="1625"/>
      <c r="J421" s="802"/>
      <c r="K421" s="803" t="b">
        <f>IF(AND(K419=FALSE,K420=FALSE),FALSE,TRUE)</f>
        <v>0</v>
      </c>
      <c r="L421" s="45"/>
      <c r="M421" s="45"/>
      <c r="N421" s="45"/>
      <c r="O421" s="1623"/>
      <c r="P421" s="1625"/>
      <c r="Q421" s="802"/>
      <c r="R421" s="1638" t="b">
        <f>IF(AND(R419=FALSE,R420=FALSE),FALSE,TRUE)</f>
        <v>0</v>
      </c>
      <c r="S421" s="1625"/>
      <c r="T421" s="802"/>
      <c r="U421" s="1638" t="b">
        <f>IF(AND(U419=FALSE,U420=FALSE),FALSE,TRUE)</f>
        <v>0</v>
      </c>
      <c r="V421" s="931"/>
      <c r="W421" s="931"/>
      <c r="X421" s="1392"/>
      <c r="Y421" s="8"/>
      <c r="Z421" s="1397"/>
      <c r="AA421" s="8"/>
      <c r="AB421" s="1400"/>
      <c r="AD421" s="960"/>
      <c r="AE421" s="961"/>
      <c r="AF421" s="960"/>
      <c r="AG421" s="961"/>
      <c r="AH421" s="960"/>
      <c r="AI421" s="961"/>
      <c r="AK421" s="10"/>
      <c r="AL421" s="10"/>
      <c r="AM421" s="10"/>
      <c r="AN421" s="2100">
        <f>IF($K421=TRUE,MAX(AN419:AN420),0)</f>
        <v>0</v>
      </c>
      <c r="AO421" s="2100">
        <f>IF($R421=TRUE,MAX(AO419:AO420),0)</f>
        <v>0</v>
      </c>
      <c r="AP421" s="2100">
        <f>IF($U421=TRUE,MAX(AP419:AP420),0)</f>
        <v>0</v>
      </c>
      <c r="AQ421" s="2099">
        <f>MAX(AQ419:AQ420)</f>
        <v>0</v>
      </c>
      <c r="AR421" s="2099">
        <f t="shared" ref="AR421" si="405">MAX(AR419:AR420)</f>
        <v>0</v>
      </c>
      <c r="AS421" s="2099">
        <f t="shared" ref="AS421" si="406">MAX(AS419:AS420)</f>
        <v>0</v>
      </c>
      <c r="AT421" s="2099">
        <f t="shared" ref="AT421" si="407">MAX(AT419:AT420)</f>
        <v>0</v>
      </c>
      <c r="AU421" s="2099">
        <f t="shared" ref="AU421" si="408">MAX(AU419:AU420)</f>
        <v>0</v>
      </c>
      <c r="AV421" s="2099">
        <f t="shared" ref="AV421" si="409">MAX(AV419:AV420)</f>
        <v>0</v>
      </c>
      <c r="BC421" s="7"/>
      <c r="BD421" s="816"/>
      <c r="BE421" s="110"/>
      <c r="BF421" s="477"/>
      <c r="BG421" s="113"/>
      <c r="BH421" s="481"/>
      <c r="BI421" s="113"/>
      <c r="BJ421" s="482"/>
      <c r="BK421" s="478"/>
    </row>
    <row r="422" spans="2:63" ht="32" customHeight="1" thickBot="1" x14ac:dyDescent="0.25">
      <c r="B422" s="2030"/>
      <c r="C422" s="804" t="s">
        <v>754</v>
      </c>
      <c r="D422" s="805"/>
      <c r="E422" s="805" t="str">
        <f>IF(H422=H418,E418,E421)</f>
        <v>a le droit de choisir de respecter ou non l'entente de garde</v>
      </c>
      <c r="F422" s="806"/>
      <c r="G422" s="806"/>
      <c r="H422" s="806">
        <f>IF(AND(K418=TRUE,K421=FALSE),H418,IF(AND(K418=FALSE,K421=TRUE),H421,IF(AND(K418=TRUE,K421=TRUE),H418+H421,MAX(H418,H421))))</f>
        <v>0</v>
      </c>
      <c r="I422" s="1626"/>
      <c r="J422" s="807"/>
      <c r="K422" s="808" t="b">
        <f>IF(AND(K418=FALSE,K421=FALSE),FALSE,TRUE)</f>
        <v>0</v>
      </c>
      <c r="L422" s="1610"/>
      <c r="M422" s="1610"/>
      <c r="N422" s="1610"/>
      <c r="O422" s="1627"/>
      <c r="P422" s="1626"/>
      <c r="Q422" s="807"/>
      <c r="R422" s="808" t="b">
        <f>IF(AND(R418=FALSE,R421=FALSE),FALSE,TRUE)</f>
        <v>0</v>
      </c>
      <c r="S422" s="1626"/>
      <c r="T422" s="807"/>
      <c r="U422" s="808" t="b">
        <f>IF(AND(U418=FALSE,U421=FALSE),FALSE,TRUE)</f>
        <v>0</v>
      </c>
      <c r="V422" s="931"/>
      <c r="W422" s="931" t="s">
        <v>942</v>
      </c>
      <c r="X422" s="1392"/>
      <c r="Y422" s="8"/>
      <c r="Z422" s="1397"/>
      <c r="AA422" s="8"/>
      <c r="AB422" s="1400"/>
      <c r="AD422" s="960" t="str">
        <f>IF(K422=TRUE,"V","F")</f>
        <v>F</v>
      </c>
      <c r="AE422" s="961"/>
      <c r="AF422" s="960" t="str">
        <f>IF(R422=TRUE,"V","F")</f>
        <v>F</v>
      </c>
      <c r="AG422" s="961"/>
      <c r="AH422" s="960" t="str">
        <f>IF(U422=TRUE,"V","F")</f>
        <v>F</v>
      </c>
      <c r="AI422" s="961"/>
      <c r="AJ422" t="str">
        <f>IF(OR(AD422="V",AF422="V"),IF(H421&gt;H418,"Le NC contribue plus que le coparent","Le coparent joue un plus grand rôle que le NC"),"pas de contexte significatif de la part du coparent et NC")</f>
        <v>pas de contexte significatif de la part du coparent et NC</v>
      </c>
      <c r="AK422" s="10"/>
      <c r="AL422" s="10"/>
      <c r="AM422" s="10"/>
      <c r="AN422" s="631">
        <f>IF(AND($K418=TRUE,$K421=FALSE),AN418,IF(AND($K418=FALSE,$K421=TRUE),AN421,IF(AND($K418=TRUE,$K421=TRUE),AN418+AN421,0)))</f>
        <v>0</v>
      </c>
      <c r="AO422" s="631">
        <f>IF(AND($R418=TRUE,$R421=FALSE),AO418,IF(AND($R418=FALSE,$R421=TRUE),AO421,IF(AND($R418=TRUE,$R421=TRUE),AO418+AO421,0)))</f>
        <v>0</v>
      </c>
      <c r="AP422" s="631">
        <f>IF(AND($U418=TRUE,$U421=FALSE),AP418,IF(AND($U418=FALSE,$U421=TRUE),AP421,IF(AND($U418=TRUE,$U421=TRUE),AP418+AP421,0)))</f>
        <v>0</v>
      </c>
      <c r="AQ422" s="631">
        <f>IF(AND($K418=TRUE,$K421=FALSE),AQ418,IF(AND($K418=FALSE,$K421=TRUE),AQ421,IF(AND($K418=TRUE,$K421=TRUE),AQ418+AQ421,MAX(AQ418,AQ421))))</f>
        <v>12</v>
      </c>
      <c r="AR422" s="631">
        <f>IF(AND($K418=TRUE,$K421=FALSE),AR418,IF(AND($K418=FALSE,$K421=TRUE),AR421,IF(AND($K418=TRUE,$K421=TRUE),AR418+AR421,MAX(AR418,AR421))))</f>
        <v>30</v>
      </c>
      <c r="AS422" s="631">
        <f t="shared" ref="AS422" si="410">IF(AND($R418=TRUE,$R421=FALSE),AS418,IF(AND($R418=FALSE,$R421=TRUE),AS421,IF(AND($R418=TRUE,$R421=TRUE),AS418+AS421,MAX(AS418,AS421))))</f>
        <v>6</v>
      </c>
      <c r="AT422" s="631">
        <f t="shared" ref="AT422" si="411">IF(AND($R418=TRUE,$R421=FALSE),AT418,IF(AND($R418=FALSE,$R421=TRUE),AT421,IF(AND($R418=TRUE,$R421=TRUE),AT418+AT421,MAX(AT418,AT421))))</f>
        <v>21</v>
      </c>
      <c r="AU422" s="631">
        <f t="shared" ref="AU422" si="412">IF(AND($U418=TRUE,$U421=FALSE),AU418,IF(AND($U418=FALSE,$U421=TRUE),AU421,IF(AND($U418=TRUE,$U421=TRUE),AU418+AU421,MAX(AU418,AU421))))</f>
        <v>12</v>
      </c>
      <c r="AV422" s="631">
        <f t="shared" ref="AV422" si="413">IF(AND($U418=TRUE,$U421=FALSE),AV418,IF(AND($U418=FALSE,$U421=TRUE),AV421,IF(AND($U418=TRUE,$U421=TRUE),AV418+AV421,MAX(AV418,AV421))))</f>
        <v>21</v>
      </c>
      <c r="BC422" s="7"/>
      <c r="BD422" s="816"/>
      <c r="BE422" s="110"/>
      <c r="BF422" s="477"/>
      <c r="BG422" s="113"/>
      <c r="BH422" s="481"/>
      <c r="BI422" s="113"/>
      <c r="BJ422" s="482"/>
      <c r="BK422" s="478"/>
    </row>
    <row r="423" spans="2:63" ht="72" customHeight="1" x14ac:dyDescent="0.2">
      <c r="B423" s="2030" t="str">
        <f>'Action-Réaction finale'!Q67</f>
        <v>H: Rôle actif, Réponse au CC, r</v>
      </c>
      <c r="C423" s="313" t="str">
        <f>'Action-Réaction finale'!O67</f>
        <v>E33a</v>
      </c>
      <c r="D423" s="767" t="str">
        <f>Test_Bible!B327</f>
        <v/>
      </c>
      <c r="E423" s="101" t="s">
        <v>800</v>
      </c>
      <c r="F423" s="790">
        <f>Test_Bible!P327</f>
        <v>0</v>
      </c>
      <c r="G423" s="789">
        <f>Test_Bible!D327</f>
        <v>2</v>
      </c>
      <c r="H423" s="790">
        <f>F423*G423</f>
        <v>0</v>
      </c>
      <c r="I423" s="1622">
        <v>4</v>
      </c>
      <c r="J423" s="1615">
        <f>$J$18</f>
        <v>10</v>
      </c>
      <c r="K423" s="45" t="b">
        <f>IF(AND(F423&gt;=I423,F423&lt;=J423),TRUE,FALSE)</f>
        <v>0</v>
      </c>
      <c r="L423" s="45"/>
      <c r="M423" s="45"/>
      <c r="N423" s="45"/>
      <c r="O423" s="1623"/>
      <c r="P423" s="1622">
        <v>2</v>
      </c>
      <c r="Q423" s="1615">
        <v>7</v>
      </c>
      <c r="R423" s="1623" t="b">
        <f>IF(AND(F423&gt;=P423,F423&lt;=Q423),TRUE,FALSE)</f>
        <v>0</v>
      </c>
      <c r="S423" s="1622"/>
      <c r="T423" s="1615"/>
      <c r="U423" s="1623"/>
      <c r="V423" s="931"/>
      <c r="W423" s="1403"/>
      <c r="X423" s="1404">
        <v>4</v>
      </c>
      <c r="Y423" s="1405"/>
      <c r="Z423" s="1408">
        <v>2</v>
      </c>
      <c r="AA423" s="1405"/>
      <c r="AB423" s="1416">
        <v>11</v>
      </c>
      <c r="AD423" s="960" t="s">
        <v>945</v>
      </c>
      <c r="AE423" s="961"/>
      <c r="AF423" s="960"/>
      <c r="AG423" s="961"/>
      <c r="AH423" s="960"/>
      <c r="AI423" s="961"/>
      <c r="AK423" s="10"/>
      <c r="AL423" s="10"/>
      <c r="AM423" s="10"/>
      <c r="AN423" s="975">
        <f>IF($K423=TRUE,H423,0)</f>
        <v>0</v>
      </c>
      <c r="AO423" s="975">
        <f>IF($R423=TRUE,H423,0)</f>
        <v>0</v>
      </c>
      <c r="AP423" s="975"/>
      <c r="AQ423" s="1806">
        <f>IF(I423=11,0,G423*I423)</f>
        <v>8</v>
      </c>
      <c r="AR423" s="1806">
        <f>IF(J423=11,0,G423*J423)</f>
        <v>20</v>
      </c>
      <c r="AS423" s="1806">
        <f>IF(P423=11,0,G423*P423)</f>
        <v>4</v>
      </c>
      <c r="AT423" s="1806">
        <f>IF(Q423=11,0,G423*Q423)</f>
        <v>14</v>
      </c>
      <c r="AU423" s="1806"/>
      <c r="AV423" s="1806"/>
      <c r="BC423" s="7"/>
      <c r="BD423" s="816"/>
      <c r="BE423" s="110"/>
      <c r="BF423" s="477"/>
      <c r="BG423" s="113"/>
      <c r="BH423" s="481"/>
      <c r="BI423" s="113"/>
      <c r="BJ423" s="482"/>
      <c r="BK423" s="478"/>
    </row>
    <row r="424" spans="2:63" ht="39" customHeight="1" thickBot="1" x14ac:dyDescent="0.25">
      <c r="B424" s="2030"/>
      <c r="C424" s="313"/>
      <c r="D424" s="767"/>
      <c r="E424" s="101"/>
      <c r="F424" s="790"/>
      <c r="G424" s="789"/>
      <c r="H424" s="790">
        <f>F424*G424</f>
        <v>0</v>
      </c>
      <c r="I424" s="1622"/>
      <c r="J424" s="1615"/>
      <c r="K424" s="45"/>
      <c r="L424" s="45"/>
      <c r="M424" s="45"/>
      <c r="N424" s="45"/>
      <c r="O424" s="1623"/>
      <c r="P424" s="1622"/>
      <c r="Q424" s="1615"/>
      <c r="R424" s="1623"/>
      <c r="S424" s="1647"/>
      <c r="T424" s="1648"/>
      <c r="U424" s="1623"/>
      <c r="V424" s="931"/>
      <c r="W424" s="1406" t="s">
        <v>943</v>
      </c>
      <c r="X424" s="1411">
        <v>2</v>
      </c>
      <c r="Y424" s="1412"/>
      <c r="Z424" s="1413">
        <v>2</v>
      </c>
      <c r="AA424" s="1412"/>
      <c r="AB424" s="1421">
        <v>11</v>
      </c>
      <c r="AD424" s="960"/>
      <c r="AE424" s="961"/>
      <c r="AF424" s="960"/>
      <c r="AG424" s="961"/>
      <c r="AH424" s="960"/>
      <c r="AI424" s="961"/>
      <c r="AK424" s="10"/>
      <c r="AL424" s="10"/>
      <c r="AM424" s="10"/>
      <c r="AN424" s="975">
        <f>IF($K424=TRUE,H424,0)</f>
        <v>0</v>
      </c>
      <c r="AO424" s="975">
        <f>IF($R424=TRUE,H424,0)</f>
        <v>0</v>
      </c>
      <c r="AP424" s="975"/>
      <c r="AQ424" s="1806">
        <f>IF(I424=11,0,G424*I424)</f>
        <v>0</v>
      </c>
      <c r="AR424" s="1806">
        <f>IF(J424=11,0,G424*J424)</f>
        <v>0</v>
      </c>
      <c r="AS424" s="1806">
        <f>IF(P424=11,0,G424*P424)</f>
        <v>0</v>
      </c>
      <c r="AT424" s="1806">
        <f>IF(Q424=11,0,G424*Q424)</f>
        <v>0</v>
      </c>
      <c r="AU424" s="1806"/>
      <c r="AV424" s="1806"/>
      <c r="BC424" s="7"/>
      <c r="BD424" s="816"/>
      <c r="BE424" s="110"/>
      <c r="BF424" s="477"/>
      <c r="BG424" s="113"/>
      <c r="BH424" s="481"/>
      <c r="BI424" s="113"/>
      <c r="BJ424" s="482"/>
      <c r="BK424" s="478"/>
    </row>
    <row r="425" spans="2:63" ht="32" customHeight="1" thickBot="1" x14ac:dyDescent="0.25">
      <c r="B425" s="2030"/>
      <c r="C425" s="809" t="s">
        <v>747</v>
      </c>
      <c r="D425" s="810" t="str">
        <f>_xlfn.XLOOKUP(H425,H423:H424,D423:D424)</f>
        <v/>
      </c>
      <c r="E425" s="810" t="str">
        <f>_xlfn.XLOOKUP(H425,H423:H424,E423:E424)</f>
        <v>a demandé de changer les termes de la garde pour favoriser l'autre</v>
      </c>
      <c r="F425" s="811"/>
      <c r="G425" s="811"/>
      <c r="H425" s="811">
        <f>IF(AND(K423=TRUE,K424=FALSE),H423,IF(AND(K423=FALSE,K424=TRUE),H424,MAX(H423,H424)))</f>
        <v>0</v>
      </c>
      <c r="I425" s="1628"/>
      <c r="J425" s="812"/>
      <c r="K425" s="813" t="b">
        <f>IF(AND(K423=FALSE,K424=FALSE),FALSE,TRUE)</f>
        <v>0</v>
      </c>
      <c r="L425" s="1611"/>
      <c r="M425" s="1611"/>
      <c r="N425" s="1611"/>
      <c r="O425" s="1629"/>
      <c r="P425" s="1628"/>
      <c r="Q425" s="812"/>
      <c r="R425" s="813" t="b">
        <f>IF(AND(R423=FALSE,R424=FALSE),FALSE,TRUE)</f>
        <v>0</v>
      </c>
      <c r="S425" s="1628"/>
      <c r="T425" s="812"/>
      <c r="U425" s="813"/>
      <c r="V425" s="931"/>
      <c r="W425" s="931"/>
      <c r="X425" s="1394"/>
      <c r="Z425" s="1398"/>
      <c r="AB425" s="1402"/>
      <c r="AD425" s="960" t="str">
        <f>IF(K425=TRUE,"V","F")</f>
        <v>F</v>
      </c>
      <c r="AE425" s="961"/>
      <c r="AF425" s="960" t="str">
        <f>IF(R425=TRUE,"V","F")</f>
        <v>F</v>
      </c>
      <c r="AG425" s="961"/>
      <c r="AH425" s="960"/>
      <c r="AI425" s="961"/>
      <c r="AK425" s="10"/>
      <c r="AL425" s="10"/>
      <c r="AM425" s="10"/>
      <c r="AN425" s="2102">
        <f>IF(AND($K423=TRUE,$K424=FALSE),AN423,IF(AND($K423=FALSE,$K424=TRUE),AN424,IF(AND($K423=TRUE,$K424=TRUE),MAX(AN423,AN424),0)))</f>
        <v>0</v>
      </c>
      <c r="AO425" s="2102">
        <f>IF(AND($R423=TRUE,$R424=FALSE),AO423,IF(AND($R423=FALSE,$R424=TRUE),AO424,IF(AND($R423=TRUE,$R424=TRUE),MAX(AO423,AO424),0)))</f>
        <v>0</v>
      </c>
      <c r="AP425" s="2102"/>
      <c r="AQ425" s="2102">
        <f>IF(AND($K423=TRUE,$K424=FALSE),AQ423,IF(AND($K423=FALSE,$K424=TRUE),AQ424,IF(AND($K423=TRUE,$K424=TRUE),MAX(AQ423,AQ424),0)))</f>
        <v>0</v>
      </c>
      <c r="AR425" s="2102">
        <f>IF(AND($K423=TRUE,$K424=FALSE),AR423,IF(AND($K423=FALSE,$K424=TRUE),AR424,IF(AND($K423=TRUE,$K424=TRUE),MAX(AR423,AR424),0)))</f>
        <v>0</v>
      </c>
      <c r="AS425" s="2102">
        <f t="shared" ref="AS425" si="414">IF(AND($R423=TRUE,$R424=FALSE),AS423,IF(AND($R423=FALSE,$R424=TRUE),AS424,IF(AND($R423=TRUE,$R424=TRUE),MAX(AS423,AS424),0)))</f>
        <v>0</v>
      </c>
      <c r="AT425" s="2102">
        <f t="shared" ref="AT425" si="415">IF(AND($R423=TRUE,$R424=FALSE),AT423,IF(AND($R423=FALSE,$R424=TRUE),AT424,IF(AND($R423=TRUE,$R424=TRUE),MAX(AT423,AT424),0)))</f>
        <v>0</v>
      </c>
      <c r="AU425" s="2102"/>
      <c r="AV425" s="2102"/>
      <c r="BD425" s="816"/>
      <c r="BE425" s="110"/>
      <c r="BF425" s="477"/>
      <c r="BG425" s="113"/>
      <c r="BH425" s="481"/>
      <c r="BI425" s="113"/>
      <c r="BJ425" s="482"/>
      <c r="BK425" s="478"/>
    </row>
    <row r="426" spans="2:63" ht="32" customHeight="1" x14ac:dyDescent="0.2">
      <c r="B426" s="2030"/>
      <c r="D426" s="421" t="s">
        <v>310</v>
      </c>
      <c r="E426" s="785"/>
      <c r="F426" s="474" t="s">
        <v>398</v>
      </c>
      <c r="G426" s="47"/>
      <c r="H426" s="47">
        <f>IF(AND(K422=TRUE,K425=FALSE),H422,IF(AND(K422=FALSE,K425=TRUE),H425,IF(AND(K422=TRUE,K425=TRUE),H422+H425,MAX(H422,H425))))</f>
        <v>0</v>
      </c>
      <c r="I426" s="1630"/>
      <c r="J426" s="475"/>
      <c r="K426" s="1613"/>
      <c r="L426" s="1614" t="str">
        <f>IF(AND(K425=TRUE,K422=TRUE),E425,"")</f>
        <v/>
      </c>
      <c r="M426" s="1614" t="str">
        <f>IF(AND(K422=TRUE,K425=FALSE),"Bien que le parent "&amp;E422&amp;" l'enfant ne semble pas s'ingérer","")</f>
        <v/>
      </c>
      <c r="N426" s="1614" t="str">
        <f>IF(AND(K422=FALSE,K425=TRUE),E425&amp;" sans signe de la participation du parent favorisé et|ou nouveau conjoint.e","")</f>
        <v/>
      </c>
      <c r="O426" s="1631" t="str">
        <f>IF(AND(K422=FALSE,K425=FALSE),"aucun comportement significatif de cette nature","")</f>
        <v>aucun comportement significatif de cette nature</v>
      </c>
      <c r="P426" s="1630"/>
      <c r="Q426" s="475"/>
      <c r="R426" s="1639"/>
      <c r="S426" s="1630"/>
      <c r="T426" s="475"/>
      <c r="U426" s="1639"/>
      <c r="V426" s="170"/>
      <c r="W426" s="170"/>
      <c r="X426" s="1394"/>
      <c r="Z426" s="1398"/>
      <c r="AB426" s="1402"/>
      <c r="AD426" s="962"/>
      <c r="AE426" s="963">
        <f>IF(AND(AD422="V",AD425="V"),2,IF(OR(AD422="V",AD425="V"),1,0))</f>
        <v>0</v>
      </c>
      <c r="AF426" s="962"/>
      <c r="AG426" s="963">
        <f>IF(OR(AF422="V",AF425="V"),1,0)</f>
        <v>0</v>
      </c>
      <c r="AH426" s="962"/>
      <c r="AI426" s="963"/>
      <c r="AK426" s="10"/>
      <c r="AL426" s="10"/>
      <c r="AM426" s="10"/>
      <c r="AN426" s="2097">
        <f>IF(AND($AD422="V",$AD425="F"),AN422,IF(AND($AD422="F",$AD425="V"),AN425,IF(AND($AD422="V",$AD425="V"),AN422+AN425,0)))</f>
        <v>0</v>
      </c>
      <c r="AO426" s="2097">
        <f>IF(AND($AF422="V",$AF425="F"),AO422,IF(AND($AF422="F",$AF425="V"),AO425,IF(AND($AF422="V",$AF425="V"),AO422+AO425,0)))</f>
        <v>0</v>
      </c>
      <c r="AP426" s="2097"/>
      <c r="AQ426" s="2097">
        <f>IF(AND($AD422="V",$AD425="F"),AQ422,IF(AND($AD422="F",$AD425="V"),AQ425,IF(AND($AD422="V",$AD425="V"),AQ422+AQ425,0)))</f>
        <v>0</v>
      </c>
      <c r="AR426" s="2097">
        <f>IF(AND($AD422="V",$AD425="F"),AR422,IF(AND($AD422="F",$AD425="V"),AR425,IF(AND($AD422="V",$AD425="V"),AR422+AR425,0)))</f>
        <v>0</v>
      </c>
      <c r="AS426" s="2097">
        <f>IF(AND($AF422="V",$AF425="F"),AS422,IF(AND($AF422="F",$AF425="V"),AS425,IF(AND($AF422="V",$AF425="V"),AS422+AS425,0)))</f>
        <v>0</v>
      </c>
      <c r="AT426" s="2097">
        <f>IF(AND($AF422="V",$AF425="F"),AT422,IF(AND($AF422="F",$AF425="V"),AT425,IF(AND($AF422="V",$AF425="V"),AT422+AT425,0)))</f>
        <v>0</v>
      </c>
      <c r="AU426" s="2097"/>
      <c r="AV426" s="2097"/>
      <c r="BD426" s="816"/>
      <c r="BE426" s="110"/>
      <c r="BF426" s="477"/>
      <c r="BG426" s="113"/>
      <c r="BH426" s="481"/>
      <c r="BI426" s="113"/>
      <c r="BJ426" s="482"/>
      <c r="BK426" s="478"/>
    </row>
    <row r="427" spans="2:63" ht="32" customHeight="1" x14ac:dyDescent="0.2">
      <c r="B427" s="2030"/>
      <c r="C427" t="s">
        <v>243</v>
      </c>
      <c r="I427" s="146"/>
      <c r="L427" s="46"/>
      <c r="M427" s="46"/>
      <c r="N427" s="46"/>
      <c r="O427" s="1652"/>
      <c r="P427" s="146"/>
      <c r="R427" s="326"/>
      <c r="S427" s="146"/>
      <c r="U427" s="326"/>
      <c r="V427" s="46"/>
      <c r="AD427" s="960"/>
      <c r="AE427" s="961"/>
      <c r="AF427" s="960"/>
      <c r="AG427" s="961"/>
      <c r="AH427" s="960"/>
      <c r="AI427" s="961"/>
      <c r="AK427" s="10"/>
      <c r="AL427" s="10"/>
      <c r="AM427" s="10"/>
      <c r="AN427" s="975"/>
      <c r="AO427" s="975"/>
      <c r="AP427" s="975"/>
      <c r="AQ427" s="1806"/>
      <c r="AR427" s="1806"/>
      <c r="AS427" s="1806"/>
      <c r="AT427" s="1806"/>
      <c r="AU427" s="1806"/>
      <c r="AV427" s="1806"/>
      <c r="BD427" s="816"/>
      <c r="BE427" s="110"/>
      <c r="BF427" s="477"/>
      <c r="BG427" s="113"/>
      <c r="BH427" s="481"/>
      <c r="BI427" s="113"/>
      <c r="BJ427" s="482"/>
      <c r="BK427" s="478"/>
    </row>
    <row r="428" spans="2:63" ht="32" customHeight="1" x14ac:dyDescent="0.2">
      <c r="B428" s="2030" t="str">
        <f>'Action-Réaction finale'!U67</f>
        <v>E: Interférence temps et/ou communication</v>
      </c>
      <c r="C428" s="964" t="str">
        <f>'Action-Réaction finale'!S67</f>
        <v>PCR09</v>
      </c>
      <c r="D428" s="965" t="str">
        <f>Test_Bible!B136</f>
        <v>Vous laissez à votre enfant le droit de choisir la fréquence des visites et le temps qu'il passe chez l'autre parent.</v>
      </c>
      <c r="E428" s="965"/>
      <c r="F428" s="973">
        <f>Test_Bible!P136</f>
        <v>2</v>
      </c>
      <c r="G428" s="973">
        <f>Test_Bible!D136</f>
        <v>2</v>
      </c>
      <c r="H428" s="973">
        <f>F428*G428</f>
        <v>4</v>
      </c>
      <c r="I428" s="1622">
        <v>4</v>
      </c>
      <c r="J428" s="1615">
        <v>10</v>
      </c>
      <c r="K428" s="45" t="b">
        <f>IF(AND(F428&gt;=I428,F428&lt;=J428),TRUE,FALSE)</f>
        <v>0</v>
      </c>
      <c r="L428" s="32"/>
      <c r="M428" s="32"/>
      <c r="N428" s="32"/>
      <c r="O428" s="1632"/>
      <c r="P428" s="1647">
        <v>11</v>
      </c>
      <c r="Q428" s="1648">
        <v>11</v>
      </c>
      <c r="R428" s="1623" t="b">
        <f>IF(AND(F428&gt;=P428,F428&lt;=Q428),TRUE,FALSE)</f>
        <v>0</v>
      </c>
      <c r="S428" s="1622">
        <v>4</v>
      </c>
      <c r="T428" s="1615">
        <v>7</v>
      </c>
      <c r="U428" s="1623" t="b">
        <f>IF(AND(F428&gt;=S428,F428&lt;=T428),TRUE,FALSE)</f>
        <v>0</v>
      </c>
      <c r="V428" s="46"/>
      <c r="W428" s="1428"/>
      <c r="X428" s="1404">
        <v>4</v>
      </c>
      <c r="Y428" s="1423"/>
      <c r="Z428" s="1424">
        <v>11</v>
      </c>
      <c r="AA428" s="1423"/>
      <c r="AB428" s="1415">
        <v>4</v>
      </c>
      <c r="AD428" s="960"/>
      <c r="AE428" s="961"/>
      <c r="AF428" s="960"/>
      <c r="AG428" s="961"/>
      <c r="AH428" s="960"/>
      <c r="AI428" s="961"/>
      <c r="AK428" s="10"/>
      <c r="AL428" s="10"/>
      <c r="AM428" s="10"/>
      <c r="AN428" s="975">
        <f>IF($K428=TRUE,H428,0)</f>
        <v>0</v>
      </c>
      <c r="AO428" s="975">
        <f>IF($R428=TRUE,H428,0)</f>
        <v>0</v>
      </c>
      <c r="AP428" s="975">
        <f>IF($U428=TRUE,H428,0)</f>
        <v>0</v>
      </c>
      <c r="AQ428" s="1806">
        <f>IF(I428=11,0,G428*I428)</f>
        <v>8</v>
      </c>
      <c r="AR428" s="1806">
        <f>IF(J428=11,0,G428*J428)</f>
        <v>20</v>
      </c>
      <c r="AS428" s="1806">
        <f>IF(P428=11,0,G428*P428)</f>
        <v>0</v>
      </c>
      <c r="AT428" s="1806">
        <f>IF(Q428=11,0,G428*Q428)</f>
        <v>0</v>
      </c>
      <c r="AU428" s="1806">
        <f>IF(S428=11,0,S428*G428)</f>
        <v>8</v>
      </c>
      <c r="AV428" s="1806">
        <f>IF(T428=11,0,T428*G428)</f>
        <v>14</v>
      </c>
      <c r="BD428" s="816"/>
      <c r="BE428" s="110"/>
      <c r="BF428" s="477"/>
      <c r="BG428" s="113"/>
      <c r="BH428" s="481"/>
      <c r="BI428" s="113"/>
      <c r="BJ428" s="482"/>
      <c r="BK428" s="478"/>
    </row>
    <row r="429" spans="2:63" ht="32" customHeight="1" thickBot="1" x14ac:dyDescent="0.25">
      <c r="B429" s="2030"/>
      <c r="C429" s="964"/>
      <c r="D429" s="972"/>
      <c r="E429" s="965"/>
      <c r="F429" s="973"/>
      <c r="G429" s="973"/>
      <c r="H429" s="973">
        <f>F429*G429</f>
        <v>0</v>
      </c>
      <c r="I429" s="1647">
        <v>11</v>
      </c>
      <c r="J429" s="1648">
        <v>11</v>
      </c>
      <c r="K429" s="45" t="b">
        <f>IF(AND(F429&gt;=I429,F429&lt;=J429),TRUE,FALSE)</f>
        <v>0</v>
      </c>
      <c r="L429" s="32"/>
      <c r="M429" s="32"/>
      <c r="N429" s="32"/>
      <c r="O429" s="1632"/>
      <c r="P429" s="1647">
        <v>11</v>
      </c>
      <c r="Q429" s="1648">
        <v>11</v>
      </c>
      <c r="R429" s="1623" t="b">
        <f>IF(AND(F429&gt;=P429,F429&lt;=Q429),TRUE,FALSE)</f>
        <v>0</v>
      </c>
      <c r="S429" s="1647">
        <v>11</v>
      </c>
      <c r="T429" s="1648">
        <v>11</v>
      </c>
      <c r="U429" s="1623" t="b">
        <f>IF(AND(F429&gt;=S429,F429&lt;=T429),TRUE,FALSE)</f>
        <v>0</v>
      </c>
      <c r="W429" s="1429"/>
      <c r="X429" s="1425">
        <v>11</v>
      </c>
      <c r="Y429" s="1426"/>
      <c r="Z429" s="1427">
        <v>11</v>
      </c>
      <c r="AA429" s="1426"/>
      <c r="AB429" s="1421">
        <v>11</v>
      </c>
      <c r="AD429" s="960"/>
      <c r="AE429" s="961"/>
      <c r="AF429" s="960"/>
      <c r="AG429" s="961"/>
      <c r="AH429" s="960"/>
      <c r="AI429" s="961"/>
      <c r="AK429" s="10"/>
      <c r="AL429" s="10"/>
      <c r="AM429" s="10"/>
      <c r="AN429" s="975">
        <f>IF($K429=TRUE,H429,0)</f>
        <v>0</v>
      </c>
      <c r="AO429" s="975">
        <f>IF($R429=TRUE,H429,0)</f>
        <v>0</v>
      </c>
      <c r="AP429" s="975">
        <f>IF($U429=TRUE,H429,0)</f>
        <v>0</v>
      </c>
      <c r="AQ429" s="1806">
        <f>IF(I429=11,0,G429*I429)</f>
        <v>0</v>
      </c>
      <c r="AR429" s="1806">
        <f>IF(J429=11,0,G429*J429)</f>
        <v>0</v>
      </c>
      <c r="AS429" s="1806">
        <f>IF(P429=11,0,G429*P429)</f>
        <v>0</v>
      </c>
      <c r="AT429" s="1806">
        <f>IF(Q429=11,0,G429*Q429)</f>
        <v>0</v>
      </c>
      <c r="AU429" s="1806">
        <f>IF(S429=11,0,S429*G429)</f>
        <v>0</v>
      </c>
      <c r="AV429" s="1806">
        <f>IF(T429=11,0,T429*G429)</f>
        <v>0</v>
      </c>
      <c r="BD429" s="816"/>
      <c r="BE429" s="110"/>
      <c r="BF429" s="477"/>
      <c r="BG429" s="113"/>
      <c r="BH429" s="481"/>
      <c r="BI429" s="113"/>
      <c r="BJ429" s="482"/>
      <c r="BK429" s="478"/>
    </row>
    <row r="430" spans="2:63" ht="32" customHeight="1" thickBot="1" x14ac:dyDescent="0.35">
      <c r="D430" s="16"/>
      <c r="E430" s="16"/>
      <c r="F430" s="89"/>
      <c r="G430" s="473"/>
      <c r="H430" s="47">
        <f>IF(AND(K428=TRUE,K429=FALSE),H428,IF(AND(K428=FALSE,K429=TRUE),H429,MAX(H428,H429)))</f>
        <v>4</v>
      </c>
      <c r="I430" s="1644"/>
      <c r="J430" s="1645"/>
      <c r="K430" s="1651" t="b">
        <f>IF(AND(K428=FALSE,K429=FALSE),FALSE,TRUE)</f>
        <v>0</v>
      </c>
      <c r="L430" s="1633"/>
      <c r="M430" s="1634"/>
      <c r="N430" s="1634"/>
      <c r="O430" s="1635"/>
      <c r="P430" s="1644"/>
      <c r="Q430" s="1645"/>
      <c r="R430" s="1651" t="b">
        <f>IF(AND(R428=FALSE,R429=FALSE),FALSE,TRUE)</f>
        <v>0</v>
      </c>
      <c r="S430" s="1656"/>
      <c r="T430" s="1657"/>
      <c r="U430" s="1658" t="b">
        <f>IF(AND(U428=FALSE,U429=FALSE),FALSE,TRUE)</f>
        <v>0</v>
      </c>
      <c r="V430" s="933"/>
      <c r="AD430" s="1564" t="str">
        <f>IF(K430=TRUE,"V","F")</f>
        <v>F</v>
      </c>
      <c r="AE430" s="1565"/>
      <c r="AF430" s="1564" t="str">
        <f>IF(R430=TRUE,"V","F")</f>
        <v>F</v>
      </c>
      <c r="AG430" s="1565"/>
      <c r="AH430" s="1564" t="str">
        <f>IF(U430=TRUE,"V","F")</f>
        <v>F</v>
      </c>
      <c r="AI430" s="1565"/>
      <c r="AK430" s="10"/>
      <c r="AL430" s="10"/>
      <c r="AM430" s="10"/>
      <c r="AN430" s="2102">
        <f>IF(AND($K428=TRUE,$K429=FALSE),AN428,IF(AND($K428=FALSE,$K429=TRUE),AN429,MAX(AN428,AN429)))</f>
        <v>0</v>
      </c>
      <c r="AO430" s="2102">
        <f>IF(AND($R428=TRUE,$R429=FALSE),AO428,IF(AND($R428=FALSE,$R429=TRUE),AO429,MAX(AO428,AO429)))</f>
        <v>0</v>
      </c>
      <c r="AP430" s="2102">
        <f>IF(AND($U428=TRUE,$U429=FALSE),AP428,IF(AND($U428=FALSE,$U429=TRUE),AP429,MAX(AP428,AP429)))</f>
        <v>0</v>
      </c>
      <c r="AQ430" s="2102">
        <f>IF(AND($K428=TRUE,$K429=FALSE),AQ428,IF(AND($K428=FALSE,$K429=TRUE),AQ429,MAX(AQ428,AQ429)))</f>
        <v>8</v>
      </c>
      <c r="AR430" s="2102">
        <f>IF(AND($K428=TRUE,$K429=FALSE),AR428,IF(AND($K428=FALSE,$K429=TRUE),AR429,MAX(AR428,AR429)))</f>
        <v>20</v>
      </c>
      <c r="AS430" s="2102">
        <f>IF(AND($R428=TRUE,$R429=FALSE),AS428,IF(AND($R428=FALSE,$R429=TRUE),AS429,MAX(AS428,AS429)))</f>
        <v>0</v>
      </c>
      <c r="AT430" s="2102">
        <f>IF(AND($R428=TRUE,$R429=FALSE),AT428,IF(AND($R428=FALSE,$R429=TRUE),AT429,MAX(AT428,AT429)))</f>
        <v>0</v>
      </c>
      <c r="AU430" s="2102">
        <f>IF(AND($U428=TRUE,$U429=FALSE),AU428,IF(AND($U428=FALSE,$U429=TRUE),AU429,MAX(AU428,AU429)))</f>
        <v>8</v>
      </c>
      <c r="AV430" s="2102">
        <f>IF(AND($U428=TRUE,$U429=FALSE),AV428,IF(AND($U428=FALSE,$U429=TRUE),AV429,MAX(AV428,AV429)))</f>
        <v>14</v>
      </c>
      <c r="BD430" s="816"/>
      <c r="BE430" s="110"/>
      <c r="BF430" s="477"/>
      <c r="BG430" s="113"/>
      <c r="BH430" s="481"/>
      <c r="BI430" s="113"/>
      <c r="BJ430" s="482"/>
      <c r="BK430" s="478"/>
    </row>
    <row r="431" spans="2:63" ht="32" customHeight="1" thickBot="1" x14ac:dyDescent="0.35">
      <c r="D431" s="16"/>
      <c r="E431" s="16"/>
      <c r="F431" s="89"/>
      <c r="G431" s="473"/>
      <c r="H431" s="473"/>
      <c r="I431" s="8"/>
      <c r="J431" s="8"/>
      <c r="K431" s="932"/>
      <c r="L431" s="933"/>
      <c r="M431" s="933"/>
      <c r="N431" s="933"/>
      <c r="O431" s="933"/>
      <c r="P431" s="933"/>
      <c r="Q431" s="933"/>
      <c r="R431" s="933"/>
      <c r="S431" s="933"/>
      <c r="T431" s="933"/>
      <c r="U431" s="933"/>
      <c r="V431" s="933"/>
      <c r="W431" s="933"/>
      <c r="AD431" s="1649"/>
      <c r="AE431" s="1650">
        <f>IF(AND(AD430="V",AD422="V"),AE426-1,AE426)</f>
        <v>0</v>
      </c>
      <c r="AF431" s="1649"/>
      <c r="AG431" s="1650">
        <f>IF(OR(AF422="V",AF425="V",AF430="V"),1,0)</f>
        <v>0</v>
      </c>
      <c r="AH431" s="1649"/>
      <c r="AI431" s="1650">
        <f>IF(AH422="V",1,IF(AH430="V",1,0))</f>
        <v>0</v>
      </c>
      <c r="AK431" s="10">
        <v>1</v>
      </c>
      <c r="AL431" s="10">
        <v>1</v>
      </c>
      <c r="AM431" s="10">
        <v>1</v>
      </c>
      <c r="AN431" s="2101">
        <f>IF($AD430="F",AN426,AN426+AN430)</f>
        <v>0</v>
      </c>
      <c r="AO431" s="2101">
        <f>IF($AF430="F",AO426,AO426+AO430)</f>
        <v>0</v>
      </c>
      <c r="AP431" s="2101">
        <f>IF(AND($AH422="V",$AH430="F"),AP422,IF(AND($AH422="F",$AH430="V"),AP430,IF(AND($AH422="V",$AH430="V"),AP422+AP430,0)))</f>
        <v>0</v>
      </c>
      <c r="AQ431" s="2101">
        <f>IF($AD430="F",AQ426,AQ426+AQ430)</f>
        <v>0</v>
      </c>
      <c r="AR431" s="2101">
        <f t="shared" ref="AR431" si="416">IF($AD430="F",AR426,AR426+AR430)</f>
        <v>0</v>
      </c>
      <c r="AS431" s="2101">
        <f t="shared" ref="AS431" si="417">IF($AF430="F",AS426,AS426+AS430)</f>
        <v>0</v>
      </c>
      <c r="AT431" s="2101">
        <f t="shared" ref="AT431" si="418">IF($AF430="F",AT426,AT426+AT430)</f>
        <v>0</v>
      </c>
      <c r="AU431" s="2101">
        <f t="shared" ref="AU431" si="419">IF(AND($AH422="V",$AH430="F"),AU422,IF(AND($AH422="F",$AH430="V"),AU430,IF(AND($AH422="V",$AH430="V"),AU422+AU430,0)))</f>
        <v>0</v>
      </c>
      <c r="AV431" s="2101">
        <f t="shared" ref="AV431" si="420">IF(AND($AH422="V",$AH430="F"),AV422,IF(AND($AH422="F",$AH430="V"),AV430,IF(AND($AH422="V",$AH430="V"),AV422+AV430,0)))</f>
        <v>0</v>
      </c>
      <c r="BD431" s="816"/>
      <c r="BE431" s="110"/>
      <c r="BF431" s="477"/>
      <c r="BG431" s="113"/>
      <c r="BH431" s="481"/>
      <c r="BI431" s="113"/>
      <c r="BJ431" s="482"/>
      <c r="BK431" s="478"/>
    </row>
    <row r="432" spans="2:63" ht="32" customHeight="1" x14ac:dyDescent="0.3">
      <c r="D432" s="16"/>
      <c r="E432" s="16"/>
      <c r="F432" s="89"/>
      <c r="G432" s="473"/>
      <c r="H432" s="473"/>
      <c r="I432" s="1616"/>
      <c r="J432" s="1617"/>
      <c r="K432" s="1618"/>
      <c r="L432" s="2268"/>
      <c r="M432" s="2268"/>
      <c r="N432" s="2268"/>
      <c r="O432" s="1619"/>
      <c r="P432" s="1636"/>
      <c r="Q432" s="1618"/>
      <c r="R432" s="1619"/>
      <c r="S432" s="1636"/>
      <c r="T432" s="1618"/>
      <c r="U432" s="1619"/>
      <c r="V432" s="170"/>
      <c r="W432" s="170"/>
      <c r="AD432" s="1668"/>
      <c r="AE432" s="1669"/>
      <c r="AF432" s="1409"/>
      <c r="AG432" s="1409"/>
      <c r="AH432" s="1409"/>
      <c r="AI432" s="1409"/>
      <c r="AK432" s="10"/>
      <c r="AL432" s="10"/>
      <c r="AM432" s="10"/>
      <c r="BD432" s="816"/>
      <c r="BE432" s="110"/>
      <c r="BF432" s="477"/>
      <c r="BG432" s="113"/>
      <c r="BH432" s="481"/>
      <c r="BI432" s="113"/>
      <c r="BJ432" s="482"/>
      <c r="BK432" s="478"/>
    </row>
    <row r="433" spans="2:63" ht="32" customHeight="1" x14ac:dyDescent="0.3">
      <c r="B433" s="2029">
        <v>22</v>
      </c>
      <c r="D433" s="476" t="str">
        <f>'Action-Réaction finale'!F70</f>
        <v>Maturité de l'enfant de choisir</v>
      </c>
      <c r="E433" s="107"/>
      <c r="F433" s="65"/>
      <c r="G433" s="18"/>
      <c r="H433" s="18"/>
      <c r="I433" s="2255" t="s">
        <v>734</v>
      </c>
      <c r="J433" s="2256"/>
      <c r="K433" s="2256"/>
      <c r="L433" s="2257" t="s">
        <v>1378</v>
      </c>
      <c r="M433" s="2257"/>
      <c r="N433" s="2257"/>
      <c r="O433" s="2258"/>
      <c r="P433" s="2259" t="s">
        <v>733</v>
      </c>
      <c r="Q433" s="2260"/>
      <c r="R433" s="2261"/>
      <c r="S433" s="2262" t="s">
        <v>735</v>
      </c>
      <c r="T433" s="2263"/>
      <c r="U433" s="2264"/>
      <c r="V433" s="15"/>
      <c r="W433" s="15"/>
      <c r="AD433" s="956"/>
      <c r="AE433" s="956"/>
      <c r="AF433" s="956"/>
      <c r="AG433" s="956"/>
      <c r="AH433" s="956"/>
      <c r="AI433" s="957"/>
      <c r="AK433" s="10"/>
      <c r="AL433" s="10"/>
      <c r="AM433" s="10"/>
      <c r="AN433" s="1659" t="s">
        <v>734</v>
      </c>
      <c r="AO433" s="1659" t="s">
        <v>733</v>
      </c>
      <c r="AP433" s="1659" t="s">
        <v>735</v>
      </c>
      <c r="AQ433" s="2254" t="s">
        <v>734</v>
      </c>
      <c r="AR433" s="2254"/>
      <c r="AS433" s="2254" t="s">
        <v>733</v>
      </c>
      <c r="AT433" s="2254"/>
      <c r="AU433" s="2254" t="s">
        <v>735</v>
      </c>
      <c r="AV433" s="2254"/>
      <c r="BD433" s="816"/>
      <c r="BE433" s="110"/>
      <c r="BF433" s="477"/>
      <c r="BG433" s="113"/>
      <c r="BH433" s="481"/>
      <c r="BI433" s="113"/>
      <c r="BJ433" s="482"/>
      <c r="BK433" s="478"/>
    </row>
    <row r="434" spans="2:63" ht="32" customHeight="1" x14ac:dyDescent="0.2">
      <c r="B434" s="2030"/>
      <c r="D434" s="102" t="s">
        <v>998</v>
      </c>
      <c r="E434" s="983" t="s">
        <v>997</v>
      </c>
      <c r="F434" s="32" t="s">
        <v>748</v>
      </c>
      <c r="G434" s="32" t="s">
        <v>749</v>
      </c>
      <c r="H434" s="32" t="s">
        <v>750</v>
      </c>
      <c r="I434" s="1620" t="s">
        <v>306</v>
      </c>
      <c r="J434" s="43" t="s">
        <v>307</v>
      </c>
      <c r="K434" s="43" t="s">
        <v>308</v>
      </c>
      <c r="L434" s="43" t="s">
        <v>413</v>
      </c>
      <c r="M434" s="43" t="s">
        <v>388</v>
      </c>
      <c r="N434" s="43" t="s">
        <v>389</v>
      </c>
      <c r="O434" s="1621" t="s">
        <v>390</v>
      </c>
      <c r="P434" s="1620" t="s">
        <v>306</v>
      </c>
      <c r="Q434" s="43" t="s">
        <v>307</v>
      </c>
      <c r="R434" s="1621" t="s">
        <v>308</v>
      </c>
      <c r="S434" s="1620" t="s">
        <v>306</v>
      </c>
      <c r="T434" s="43" t="s">
        <v>307</v>
      </c>
      <c r="U434" s="1621" t="s">
        <v>308</v>
      </c>
      <c r="V434" s="818"/>
      <c r="W434" s="955" t="s">
        <v>928</v>
      </c>
      <c r="X434" s="1391" t="s">
        <v>734</v>
      </c>
      <c r="Y434" s="955" t="s">
        <v>928</v>
      </c>
      <c r="Z434" s="1395" t="s">
        <v>733</v>
      </c>
      <c r="AA434" s="955"/>
      <c r="AB434" s="1399" t="s">
        <v>735</v>
      </c>
      <c r="AD434" s="970" t="s">
        <v>734</v>
      </c>
      <c r="AE434" s="971" t="s">
        <v>946</v>
      </c>
      <c r="AF434" s="970" t="s">
        <v>733</v>
      </c>
      <c r="AG434" s="971" t="s">
        <v>947</v>
      </c>
      <c r="AH434" s="970" t="s">
        <v>735</v>
      </c>
      <c r="AI434" s="971" t="s">
        <v>948</v>
      </c>
      <c r="AK434" s="10"/>
      <c r="AL434" s="10"/>
      <c r="AM434" s="10"/>
      <c r="AN434" s="10"/>
      <c r="AO434" s="10"/>
      <c r="AP434" s="10"/>
      <c r="AQ434" s="1806" t="s">
        <v>1322</v>
      </c>
      <c r="AR434" s="1806" t="s">
        <v>1323</v>
      </c>
      <c r="AS434" s="1806" t="s">
        <v>1322</v>
      </c>
      <c r="AT434" s="1806" t="s">
        <v>1323</v>
      </c>
      <c r="AU434" s="1806" t="s">
        <v>1322</v>
      </c>
      <c r="AV434" s="1806" t="s">
        <v>1323</v>
      </c>
      <c r="BD434" s="816"/>
      <c r="BE434" s="110"/>
      <c r="BF434" s="477"/>
      <c r="BG434" s="113"/>
      <c r="BH434" s="481"/>
      <c r="BI434" s="113"/>
      <c r="BJ434" s="482"/>
      <c r="BK434" s="478"/>
    </row>
    <row r="435" spans="2:63" ht="32" customHeight="1" x14ac:dyDescent="0.2">
      <c r="B435" s="2030" t="str">
        <f>'Action-Réaction finale'!I70</f>
        <v>H: Rôle actif, Réponse au CC, r</v>
      </c>
      <c r="C435" s="414" t="str">
        <f>'Action-Réaction finale'!G70</f>
        <v>PFA11</v>
      </c>
      <c r="D435" s="26" t="str">
        <f>Test_Bible!B183</f>
        <v xml:space="preserve">L'autre parent est d'avis que votre enfant est assez mature pour choisir où il doit vivre et avec quel parent.  </v>
      </c>
      <c r="E435" s="101" t="s">
        <v>801</v>
      </c>
      <c r="F435" s="790">
        <f>Test_Bible!P183</f>
        <v>1</v>
      </c>
      <c r="G435" s="789">
        <f>Test_Bible!D183</f>
        <v>3</v>
      </c>
      <c r="H435" s="790">
        <f>F435*G435</f>
        <v>3</v>
      </c>
      <c r="I435" s="1622">
        <v>7</v>
      </c>
      <c r="J435" s="1615">
        <v>10</v>
      </c>
      <c r="K435" s="45" t="b">
        <f>IF(AND(F435&gt;=I435,F435&lt;=J435),TRUE,FALSE)</f>
        <v>0</v>
      </c>
      <c r="L435" s="45"/>
      <c r="M435" s="45"/>
      <c r="N435" s="45"/>
      <c r="O435" s="1623"/>
      <c r="P435" s="1647">
        <v>11</v>
      </c>
      <c r="Q435" s="1648">
        <v>11</v>
      </c>
      <c r="R435" s="1623" t="b">
        <f>IF(AND(F435&gt;=P435,F435&lt;=Q435),TRUE,FALSE)</f>
        <v>0</v>
      </c>
      <c r="S435" s="1647">
        <v>11</v>
      </c>
      <c r="T435" s="1648">
        <v>11</v>
      </c>
      <c r="U435" s="1623" t="b">
        <f>IF(AND(F435&gt;=S435,F435&lt;=T435),TRUE,FALSE)</f>
        <v>0</v>
      </c>
      <c r="V435" s="931"/>
      <c r="W435" s="1403"/>
      <c r="X435" s="1404">
        <v>7</v>
      </c>
      <c r="Y435" s="1405"/>
      <c r="Z435" s="1424">
        <v>11</v>
      </c>
      <c r="AA435" s="1405"/>
      <c r="AB435" s="1416">
        <v>11</v>
      </c>
      <c r="AD435" s="958"/>
      <c r="AE435" s="959"/>
      <c r="AF435" s="958"/>
      <c r="AG435" s="959"/>
      <c r="AH435" s="958"/>
      <c r="AI435" s="959"/>
      <c r="AK435" s="10"/>
      <c r="AL435" s="10"/>
      <c r="AM435" s="10"/>
      <c r="AN435" s="975">
        <f>IF($K435=TRUE,H435,0)</f>
        <v>0</v>
      </c>
      <c r="AO435" s="975">
        <f>IF($R435=TRUE,H435,0)</f>
        <v>0</v>
      </c>
      <c r="AP435" s="975">
        <f>IF($U435=TRUE,H435,0)</f>
        <v>0</v>
      </c>
      <c r="AQ435" s="1806">
        <f>IF(I435=11,0,G435*I435)</f>
        <v>21</v>
      </c>
      <c r="AR435" s="1806">
        <f>IF(J435=11,0,G435*J435)</f>
        <v>30</v>
      </c>
      <c r="AS435" s="1806">
        <f>IF(P435=11,0,G435*P435)</f>
        <v>0</v>
      </c>
      <c r="AT435" s="1806">
        <f>IF(Q435=11,0,G435*Q435)</f>
        <v>0</v>
      </c>
      <c r="AU435" s="1806">
        <f>IF(S435=11,0,S435*G435)</f>
        <v>0</v>
      </c>
      <c r="AV435" s="1806">
        <f>IF(T435=11,0,T435*G435)</f>
        <v>0</v>
      </c>
      <c r="BD435" s="816"/>
      <c r="BE435" s="110"/>
      <c r="BF435" s="477"/>
      <c r="BG435" s="113"/>
      <c r="BH435" s="481"/>
      <c r="BI435" s="113"/>
      <c r="BJ435" s="482"/>
      <c r="BK435" s="478"/>
    </row>
    <row r="436" spans="2:63" ht="32" customHeight="1" x14ac:dyDescent="0.2">
      <c r="B436" s="2030" t="str">
        <f>'Action-Réaction finale'!I71</f>
        <v>F: Interférence lien affectif ou symbolique</v>
      </c>
      <c r="C436" s="414" t="str">
        <f>'Action-Réaction finale'!G71</f>
        <v>PFA39</v>
      </c>
      <c r="D436" s="26" t="str">
        <f>Test_Bible!B220</f>
        <v/>
      </c>
      <c r="E436" s="101" t="s">
        <v>802</v>
      </c>
      <c r="F436" s="790">
        <f>Test_Bible!P220</f>
        <v>0</v>
      </c>
      <c r="G436" s="789">
        <f>Test_Bible!D220</f>
        <v>3</v>
      </c>
      <c r="H436" s="790">
        <f>F436*G436</f>
        <v>0</v>
      </c>
      <c r="I436" s="1622">
        <v>4</v>
      </c>
      <c r="J436" s="1615">
        <v>10</v>
      </c>
      <c r="K436" s="45" t="b">
        <f>IF(AND(F436&gt;=I436,F436&lt;=J436),TRUE,FALSE)</f>
        <v>0</v>
      </c>
      <c r="L436" s="45"/>
      <c r="M436" s="45"/>
      <c r="N436" s="45"/>
      <c r="O436" s="1623"/>
      <c r="P436" s="1647">
        <v>11</v>
      </c>
      <c r="Q436" s="1648">
        <v>11</v>
      </c>
      <c r="R436" s="1623" t="b">
        <f>IF(AND(F436&gt;=P436,F436&lt;=Q436),TRUE,FALSE)</f>
        <v>0</v>
      </c>
      <c r="S436" s="1647">
        <v>11</v>
      </c>
      <c r="T436" s="1648">
        <v>11</v>
      </c>
      <c r="U436" s="1623" t="b">
        <f>IF(AND(F436&gt;=S436,F436&lt;=T436),TRUE,FALSE)</f>
        <v>0</v>
      </c>
      <c r="V436" s="931"/>
      <c r="W436" s="1406" t="s">
        <v>943</v>
      </c>
      <c r="X436" s="1411">
        <v>4</v>
      </c>
      <c r="Y436" s="1412"/>
      <c r="Z436" s="1427">
        <v>11</v>
      </c>
      <c r="AA436" s="1412"/>
      <c r="AB436" s="1421">
        <v>11</v>
      </c>
      <c r="AD436" s="960"/>
      <c r="AE436" s="961"/>
      <c r="AF436" s="960"/>
      <c r="AG436" s="961"/>
      <c r="AH436" s="960"/>
      <c r="AI436" s="961"/>
      <c r="AK436" s="10"/>
      <c r="AL436" s="10"/>
      <c r="AM436" s="10"/>
      <c r="AN436" s="975">
        <f>IF($K436=TRUE,H436,0)</f>
        <v>0</v>
      </c>
      <c r="AO436" s="975">
        <f>IF($R436=TRUE,H436,0)</f>
        <v>0</v>
      </c>
      <c r="AP436" s="975">
        <f>IF($U436=TRUE,H436,0)</f>
        <v>0</v>
      </c>
      <c r="AQ436" s="1806">
        <f>IF(I436=11,0,G436*I436)</f>
        <v>12</v>
      </c>
      <c r="AR436" s="1806">
        <f>IF(J436=11,0,G436*J436)</f>
        <v>30</v>
      </c>
      <c r="AS436" s="1806">
        <f>IF(P436=11,0,G436*P436)</f>
        <v>0</v>
      </c>
      <c r="AT436" s="1806">
        <f>IF(Q436=11,0,G436*Q436)</f>
        <v>0</v>
      </c>
      <c r="AU436" s="1806">
        <f>IF(S436=11,0,S436*G436)</f>
        <v>0</v>
      </c>
      <c r="AV436" s="1806">
        <f>IF(T436=11,0,T436*G436)</f>
        <v>0</v>
      </c>
      <c r="BD436" s="816"/>
      <c r="BE436" s="110"/>
      <c r="BF436" s="477"/>
      <c r="BG436" s="113"/>
      <c r="BH436" s="481"/>
      <c r="BI436" s="113"/>
      <c r="BJ436" s="482"/>
      <c r="BK436" s="478"/>
    </row>
    <row r="437" spans="2:63" ht="32" customHeight="1" x14ac:dyDescent="0.2">
      <c r="B437" s="2030"/>
      <c r="C437" s="792" t="s">
        <v>745</v>
      </c>
      <c r="D437" s="793" t="str">
        <f>_xlfn.XLOOKUP(H437,H435:H436,D435:D436)</f>
        <v xml:space="preserve">L'autre parent est d'avis que votre enfant est assez mature pour choisir où il doit vivre et avec quel parent.  </v>
      </c>
      <c r="E437" s="794" t="str">
        <f>_xlfn.XLOOKUP(H437,H435:H436,E435:E436)</f>
        <v>demande à l'enfant avec qui il veut vivre</v>
      </c>
      <c r="F437" s="795"/>
      <c r="G437" s="795"/>
      <c r="H437" s="795">
        <f>IF(AND(K435=TRUE,K436=FALSE),H435,IF(AND(K435=FALSE,K436=TRUE),H436,MAX(H435,H436)))</f>
        <v>3</v>
      </c>
      <c r="I437" s="1624"/>
      <c r="J437" s="796"/>
      <c r="K437" s="797" t="b">
        <f>IF(AND(K435=FALSE,K436=FALSE),FALSE,TRUE)</f>
        <v>0</v>
      </c>
      <c r="L437" s="45"/>
      <c r="M437" s="45"/>
      <c r="N437" s="45"/>
      <c r="O437" s="1623"/>
      <c r="P437" s="1624"/>
      <c r="Q437" s="796"/>
      <c r="R437" s="1637" t="b">
        <f>IF(AND(R435=FALSE,R436=FALSE),FALSE,TRUE)</f>
        <v>0</v>
      </c>
      <c r="S437" s="1624"/>
      <c r="T437" s="796"/>
      <c r="U437" s="1637" t="b">
        <f>IF(AND(U435=FALSE,U436=FALSE),FALSE,TRUE)</f>
        <v>0</v>
      </c>
      <c r="V437" s="931"/>
      <c r="W437" s="931" t="s">
        <v>943</v>
      </c>
      <c r="X437" s="1392"/>
      <c r="Y437" s="8"/>
      <c r="Z437" s="1397"/>
      <c r="AA437" s="8"/>
      <c r="AB437" s="1400"/>
      <c r="AD437" s="960"/>
      <c r="AE437" s="961"/>
      <c r="AF437" s="960"/>
      <c r="AG437" s="961"/>
      <c r="AH437" s="960"/>
      <c r="AI437" s="961"/>
      <c r="AK437" s="10"/>
      <c r="AL437" s="10"/>
      <c r="AM437" s="10"/>
      <c r="AN437" s="2100">
        <f>IF($K437=TRUE,MAX(AN435:AN436),0)</f>
        <v>0</v>
      </c>
      <c r="AO437" s="2100">
        <f>IF($R437=TRUE,MAX(AO435:AO436),0)</f>
        <v>0</v>
      </c>
      <c r="AP437" s="2100">
        <f>IF($U437=TRUE,MAX(AP435:AP436),0)</f>
        <v>0</v>
      </c>
      <c r="AQ437" s="2099">
        <f>MAX(AQ435:AQ436)</f>
        <v>21</v>
      </c>
      <c r="AR437" s="2099">
        <f t="shared" ref="AR437" si="421">MAX(AR435:AR436)</f>
        <v>30</v>
      </c>
      <c r="AS437" s="2099">
        <f t="shared" ref="AS437" si="422">MAX(AS435:AS436)</f>
        <v>0</v>
      </c>
      <c r="AT437" s="2099">
        <f t="shared" ref="AT437" si="423">MAX(AT435:AT436)</f>
        <v>0</v>
      </c>
      <c r="AU437" s="2099">
        <f t="shared" ref="AU437" si="424">MAX(AU435:AU436)</f>
        <v>0</v>
      </c>
      <c r="AV437" s="2099">
        <f t="shared" ref="AV437" si="425">MAX(AV435:AV436)</f>
        <v>0</v>
      </c>
      <c r="BD437" s="816"/>
      <c r="BE437" s="110"/>
      <c r="BF437" s="477"/>
      <c r="BG437" s="113"/>
      <c r="BH437" s="481"/>
      <c r="BI437" s="113"/>
      <c r="BJ437" s="482"/>
      <c r="BK437" s="478"/>
    </row>
    <row r="438" spans="2:63" ht="32" customHeight="1" x14ac:dyDescent="0.2">
      <c r="B438" s="2030"/>
      <c r="C438" s="52" t="s">
        <v>247</v>
      </c>
      <c r="D438" s="26"/>
      <c r="E438" s="101"/>
      <c r="F438" s="790"/>
      <c r="G438" s="789"/>
      <c r="H438" s="790">
        <f>F438*G438</f>
        <v>0</v>
      </c>
      <c r="I438" s="1647">
        <v>11</v>
      </c>
      <c r="J438" s="1648">
        <v>11</v>
      </c>
      <c r="K438" s="45" t="b">
        <f>IF(AND(F438&gt;=I438,F438&lt;=J438),TRUE,FALSE)</f>
        <v>0</v>
      </c>
      <c r="L438" s="45"/>
      <c r="M438" s="45"/>
      <c r="N438" s="45"/>
      <c r="O438" s="1623"/>
      <c r="P438" s="1647">
        <v>11</v>
      </c>
      <c r="Q438" s="1648">
        <v>11</v>
      </c>
      <c r="R438" s="1623" t="b">
        <f>IF(AND(F438&gt;=P438,F438&lt;=Q438),TRUE,FALSE)</f>
        <v>0</v>
      </c>
      <c r="S438" s="1647">
        <v>11</v>
      </c>
      <c r="T438" s="1648">
        <v>11</v>
      </c>
      <c r="U438" s="1623" t="b">
        <f>IF(AND(F438&gt;=S438,F438&lt;=T438),TRUE,FALSE)</f>
        <v>0</v>
      </c>
      <c r="V438" s="931"/>
      <c r="W438" s="1403"/>
      <c r="X438" s="1417">
        <v>11</v>
      </c>
      <c r="Y438" s="1418"/>
      <c r="Z438" s="1419">
        <v>11</v>
      </c>
      <c r="AA438" s="1418"/>
      <c r="AB438" s="1420">
        <v>11</v>
      </c>
      <c r="AD438" s="960"/>
      <c r="AE438" s="961"/>
      <c r="AF438" s="960"/>
      <c r="AG438" s="961"/>
      <c r="AH438" s="960"/>
      <c r="AI438" s="961"/>
      <c r="AK438" s="10"/>
      <c r="AL438" s="10"/>
      <c r="AM438" s="10"/>
      <c r="AN438" s="975">
        <f>IF(K438=TRUE,H438,0)</f>
        <v>0</v>
      </c>
      <c r="AO438" s="975">
        <f>IF(R438=TRUE,H438,0)</f>
        <v>0</v>
      </c>
      <c r="AP438" s="975">
        <f>IF(U438=TRUE,H438,0)</f>
        <v>0</v>
      </c>
      <c r="AQ438" s="1806">
        <f>IF(I438=11,0,G438*I438)</f>
        <v>0</v>
      </c>
      <c r="AR438" s="1806">
        <f>IF(J438=11,0,G438*J438)</f>
        <v>0</v>
      </c>
      <c r="AS438" s="1806">
        <f>IF(P438=11,0,G438*P438)</f>
        <v>0</v>
      </c>
      <c r="AT438" s="1806">
        <f>IF(Q438=11,0,G438*Q438)</f>
        <v>0</v>
      </c>
      <c r="AU438" s="1806">
        <f>IF(S438=11,0,S438*G438)</f>
        <v>0</v>
      </c>
      <c r="AV438" s="1806">
        <f>IF(T438=11,0,T438*G438)</f>
        <v>0</v>
      </c>
      <c r="BD438" s="816"/>
      <c r="BE438" s="110"/>
      <c r="BF438" s="477"/>
      <c r="BG438" s="113"/>
      <c r="BH438" s="481"/>
      <c r="BI438" s="113"/>
      <c r="BJ438" s="482"/>
      <c r="BK438" s="478"/>
    </row>
    <row r="439" spans="2:63" ht="32" customHeight="1" x14ac:dyDescent="0.2">
      <c r="B439" s="2030"/>
      <c r="C439" s="52" t="s">
        <v>247</v>
      </c>
      <c r="D439" s="26"/>
      <c r="E439" s="62"/>
      <c r="F439" s="35"/>
      <c r="G439" s="35"/>
      <c r="H439" s="35">
        <f>F439*G439</f>
        <v>0</v>
      </c>
      <c r="I439" s="1647">
        <v>11</v>
      </c>
      <c r="J439" s="1648">
        <v>11</v>
      </c>
      <c r="K439" s="45" t="b">
        <f>IF(AND(F439&gt;=I439,F439&lt;=J439),TRUE,FALSE)</f>
        <v>0</v>
      </c>
      <c r="L439" s="45"/>
      <c r="M439" s="45"/>
      <c r="N439" s="45"/>
      <c r="O439" s="1623"/>
      <c r="P439" s="1647">
        <v>11</v>
      </c>
      <c r="Q439" s="1648">
        <v>11</v>
      </c>
      <c r="R439" s="1623" t="b">
        <f>IF(AND(F439&gt;=P439,F439&lt;=Q439),TRUE,FALSE)</f>
        <v>0</v>
      </c>
      <c r="S439" s="1647">
        <v>11</v>
      </c>
      <c r="T439" s="1648">
        <v>11</v>
      </c>
      <c r="U439" s="1623" t="b">
        <f>IF(AND(F439&gt;=S439,F439&lt;=T439),TRUE,FALSE)</f>
        <v>0</v>
      </c>
      <c r="V439" s="931"/>
      <c r="W439" s="1406" t="s">
        <v>943</v>
      </c>
      <c r="X439" s="1425">
        <v>11</v>
      </c>
      <c r="Y439" s="1426"/>
      <c r="Z439" s="1427">
        <v>11</v>
      </c>
      <c r="AA439" s="1426"/>
      <c r="AB439" s="1421">
        <v>11</v>
      </c>
      <c r="AD439" s="960"/>
      <c r="AE439" s="961"/>
      <c r="AF439" s="960"/>
      <c r="AG439" s="961"/>
      <c r="AH439" s="960"/>
      <c r="AI439" s="961"/>
      <c r="AK439" s="10"/>
      <c r="AL439" s="10"/>
      <c r="AM439" s="10"/>
      <c r="AN439" s="975">
        <f>IF(K439=TRUE,H439,0)</f>
        <v>0</v>
      </c>
      <c r="AO439" s="975">
        <f>IF(R439=TRUE,H439,0)</f>
        <v>0</v>
      </c>
      <c r="AP439" s="975">
        <f>IF(U439=TRUE,H439,0)</f>
        <v>0</v>
      </c>
      <c r="AQ439" s="1806">
        <f>IF(I439=11,0,G439*I439)</f>
        <v>0</v>
      </c>
      <c r="AR439" s="1806">
        <f>IF(J439=11,0,G439*J439)</f>
        <v>0</v>
      </c>
      <c r="AS439" s="1806">
        <f>IF(P439=11,0,G439*P439)</f>
        <v>0</v>
      </c>
      <c r="AT439" s="1806">
        <f>IF(Q439=11,0,G439*Q439)</f>
        <v>0</v>
      </c>
      <c r="AU439" s="1806">
        <f>IF(S439=11,0,S439*G439)</f>
        <v>0</v>
      </c>
      <c r="AV439" s="1806">
        <f>IF(T439=11,0,T439*G439)</f>
        <v>0</v>
      </c>
      <c r="BC439" s="7"/>
      <c r="BD439" s="816"/>
      <c r="BE439" s="110"/>
      <c r="BF439" s="477"/>
      <c r="BG439" s="113"/>
      <c r="BH439" s="481"/>
      <c r="BI439" s="113"/>
      <c r="BJ439" s="482"/>
      <c r="BK439" s="478"/>
    </row>
    <row r="440" spans="2:63" ht="32" customHeight="1" thickBot="1" x14ac:dyDescent="0.25">
      <c r="B440" s="2030"/>
      <c r="C440" s="798" t="s">
        <v>746</v>
      </c>
      <c r="D440" s="799">
        <f>_xlfn.XLOOKUP(H440,H438:H439,D438:D439)</f>
        <v>0</v>
      </c>
      <c r="E440" s="800">
        <f>_xlfn.XLOOKUP(H440,H438:H439,E438:E439)</f>
        <v>0</v>
      </c>
      <c r="F440" s="801"/>
      <c r="G440" s="801"/>
      <c r="H440" s="795">
        <f>IF(AND(K438=TRUE,K439=FALSE),H438,IF(AND(K438=FALSE,K439=TRUE),H439,MAX(H438,H439)))</f>
        <v>0</v>
      </c>
      <c r="I440" s="1625"/>
      <c r="J440" s="802"/>
      <c r="K440" s="803" t="b">
        <f>IF(AND(K438=FALSE,K439=FALSE),FALSE,TRUE)</f>
        <v>0</v>
      </c>
      <c r="L440" s="45"/>
      <c r="M440" s="45"/>
      <c r="N440" s="45"/>
      <c r="O440" s="1623"/>
      <c r="P440" s="1625"/>
      <c r="Q440" s="802"/>
      <c r="R440" s="1638" t="b">
        <f>IF(AND(R438=FALSE,R439=FALSE),FALSE,TRUE)</f>
        <v>0</v>
      </c>
      <c r="S440" s="1625"/>
      <c r="T440" s="802"/>
      <c r="U440" s="1638" t="b">
        <f>IF(AND(U438=FALSE,U439=FALSE),FALSE,TRUE)</f>
        <v>0</v>
      </c>
      <c r="V440" s="931"/>
      <c r="W440" s="931"/>
      <c r="X440" s="1392"/>
      <c r="Y440" s="8"/>
      <c r="Z440" s="1397"/>
      <c r="AA440" s="8"/>
      <c r="AB440" s="1400"/>
      <c r="AD440" s="960"/>
      <c r="AE440" s="961"/>
      <c r="AF440" s="960"/>
      <c r="AG440" s="961"/>
      <c r="AH440" s="960"/>
      <c r="AI440" s="961"/>
      <c r="AK440" s="10"/>
      <c r="AL440" s="10"/>
      <c r="AM440" s="10"/>
      <c r="AN440" s="2100">
        <f>IF($K440=TRUE,MAX(AN438:AN439),0)</f>
        <v>0</v>
      </c>
      <c r="AO440" s="2100">
        <f>IF($R440=TRUE,MAX(AO438:AO439),0)</f>
        <v>0</v>
      </c>
      <c r="AP440" s="2100">
        <f>IF($U440=TRUE,MAX(AP438:AP439),0)</f>
        <v>0</v>
      </c>
      <c r="AQ440" s="2099">
        <f>MAX(AQ438:AQ439)</f>
        <v>0</v>
      </c>
      <c r="AR440" s="2099">
        <f t="shared" ref="AR440" si="426">MAX(AR438:AR439)</f>
        <v>0</v>
      </c>
      <c r="AS440" s="2099">
        <f t="shared" ref="AS440" si="427">MAX(AS438:AS439)</f>
        <v>0</v>
      </c>
      <c r="AT440" s="2099">
        <f t="shared" ref="AT440" si="428">MAX(AT438:AT439)</f>
        <v>0</v>
      </c>
      <c r="AU440" s="2099">
        <f t="shared" ref="AU440" si="429">MAX(AU438:AU439)</f>
        <v>0</v>
      </c>
      <c r="AV440" s="2099">
        <f t="shared" ref="AV440" si="430">MAX(AV438:AV439)</f>
        <v>0</v>
      </c>
      <c r="BC440" s="7"/>
      <c r="BD440" s="816"/>
      <c r="BE440" s="110"/>
      <c r="BF440" s="477"/>
      <c r="BG440" s="113"/>
      <c r="BH440" s="481"/>
      <c r="BI440" s="113"/>
      <c r="BJ440" s="482"/>
      <c r="BK440" s="478"/>
    </row>
    <row r="441" spans="2:63" ht="32" customHeight="1" thickBot="1" x14ac:dyDescent="0.25">
      <c r="B441" s="2030"/>
      <c r="C441" s="804" t="s">
        <v>754</v>
      </c>
      <c r="D441" s="805"/>
      <c r="E441" s="805" t="str">
        <f>IF(H441=H437,E437,E440)</f>
        <v>demande à l'enfant avec qui il veut vivre</v>
      </c>
      <c r="F441" s="806"/>
      <c r="G441" s="806"/>
      <c r="H441" s="806">
        <f>IF(AND(K437=TRUE,K440=FALSE),H437,IF(AND(K437=FALSE,K440=TRUE),H440,IF(AND(K437=TRUE,K440=TRUE),H437+H440,MAX(H437,H440))))</f>
        <v>3</v>
      </c>
      <c r="I441" s="1626"/>
      <c r="J441" s="807"/>
      <c r="K441" s="808" t="b">
        <f>IF(AND(K437=FALSE,K440=FALSE),FALSE,TRUE)</f>
        <v>0</v>
      </c>
      <c r="L441" s="1610"/>
      <c r="M441" s="1610"/>
      <c r="N441" s="1610"/>
      <c r="O441" s="1627"/>
      <c r="P441" s="1626"/>
      <c r="Q441" s="807"/>
      <c r="R441" s="808" t="b">
        <f>IF(AND(R437=FALSE,R440=FALSE),FALSE,TRUE)</f>
        <v>0</v>
      </c>
      <c r="S441" s="1626"/>
      <c r="T441" s="807"/>
      <c r="U441" s="808" t="b">
        <f>IF(AND(U437=FALSE,U440=FALSE),FALSE,TRUE)</f>
        <v>0</v>
      </c>
      <c r="V441" s="931"/>
      <c r="W441" s="931" t="s">
        <v>942</v>
      </c>
      <c r="X441" s="1392"/>
      <c r="Y441" s="8"/>
      <c r="Z441" s="1397"/>
      <c r="AA441" s="8"/>
      <c r="AB441" s="1400"/>
      <c r="AD441" s="960" t="str">
        <f>IF(K441=TRUE,"V","F")</f>
        <v>F</v>
      </c>
      <c r="AE441" s="961"/>
      <c r="AF441" s="960" t="str">
        <f>IF(R441=TRUE,"V","F")</f>
        <v>F</v>
      </c>
      <c r="AG441" s="961"/>
      <c r="AH441" s="960" t="str">
        <f>IF(U441=TRUE,"V","F")</f>
        <v>F</v>
      </c>
      <c r="AI441" s="961"/>
      <c r="AJ441" t="str">
        <f>IF(OR(AD441="V",AF441="V"),IF(H440&gt;H437,"Le NC contribue plus que le coparent","Le coparent joue un plus grand rôle que le NC"),"pas de contexte significatif de la part du coparent et NC")</f>
        <v>pas de contexte significatif de la part du coparent et NC</v>
      </c>
      <c r="AK441" s="10"/>
      <c r="AL441" s="10"/>
      <c r="AM441" s="10"/>
      <c r="AN441" s="631">
        <f>IF(AND($K437=TRUE,$K440=FALSE),AN437,IF(AND($K437=FALSE,$K440=TRUE),AN440,IF(AND($K437=TRUE,$K440=TRUE),AN437+AN440,0)))</f>
        <v>0</v>
      </c>
      <c r="AO441" s="631">
        <f>IF(AND($R437=TRUE,$R440=FALSE),AO437,IF(AND($R437=FALSE,$R440=TRUE),AO440,IF(AND($R437=TRUE,$R440=TRUE),AO437+AO440,0)))</f>
        <v>0</v>
      </c>
      <c r="AP441" s="631">
        <f>IF(AND($U437=TRUE,$U440=FALSE),AP437,IF(AND($U437=FALSE,$U440=TRUE),AP440,IF(AND($U437=TRUE,$U440=TRUE),AP437+AP440,0)))</f>
        <v>0</v>
      </c>
      <c r="AQ441" s="631">
        <f>IF(AND($K437=TRUE,$K440=FALSE),AQ437,IF(AND($K437=FALSE,$K440=TRUE),AQ440,IF(AND($K437=TRUE,$K440=TRUE),AQ437+AQ440,MAX(AQ437,AQ440))))</f>
        <v>21</v>
      </c>
      <c r="AR441" s="631">
        <f>IF(AND($K437=TRUE,$K440=FALSE),AR437,IF(AND($K437=FALSE,$K440=TRUE),AR440,IF(AND($K437=TRUE,$K440=TRUE),AR437+AR440,MAX(AR437,AR440))))</f>
        <v>30</v>
      </c>
      <c r="AS441" s="631">
        <f t="shared" ref="AS441" si="431">IF(AND($R437=TRUE,$R440=FALSE),AS437,IF(AND($R437=FALSE,$R440=TRUE),AS440,IF(AND($R437=TRUE,$R440=TRUE),AS437+AS440,MAX(AS437,AS440))))</f>
        <v>0</v>
      </c>
      <c r="AT441" s="631">
        <f t="shared" ref="AT441" si="432">IF(AND($R437=TRUE,$R440=FALSE),AT437,IF(AND($R437=FALSE,$R440=TRUE),AT440,IF(AND($R437=TRUE,$R440=TRUE),AT437+AT440,MAX(AT437,AT440))))</f>
        <v>0</v>
      </c>
      <c r="AU441" s="631">
        <f t="shared" ref="AU441" si="433">IF(AND($U437=TRUE,$U440=FALSE),AU437,IF(AND($U437=FALSE,$U440=TRUE),AU440,IF(AND($U437=TRUE,$U440=TRUE),AU437+AU440,MAX(AU437,AU440))))</f>
        <v>0</v>
      </c>
      <c r="AV441" s="631">
        <f t="shared" ref="AV441" si="434">IF(AND($U437=TRUE,$U440=FALSE),AV437,IF(AND($U437=FALSE,$U440=TRUE),AV440,IF(AND($U437=TRUE,$U440=TRUE),AV437+AV440,MAX(AV437,AV440))))</f>
        <v>0</v>
      </c>
      <c r="BC441" s="7"/>
      <c r="BD441" s="816"/>
      <c r="BE441" s="110"/>
      <c r="BF441" s="477"/>
      <c r="BG441" s="113"/>
      <c r="BH441" s="481"/>
      <c r="BI441" s="113"/>
      <c r="BJ441" s="482"/>
      <c r="BK441" s="478"/>
    </row>
    <row r="442" spans="2:63" ht="32" customHeight="1" x14ac:dyDescent="0.2">
      <c r="B442" s="2030" t="str">
        <f>'Action-Réaction finale'!Q73</f>
        <v>H: Rôle actif, Réponse au CC, r</v>
      </c>
      <c r="C442" s="313" t="str">
        <f>Test_Bible!A328</f>
        <v>E33b</v>
      </c>
      <c r="D442" s="26" t="str">
        <f>Test_Bible!B328</f>
        <v/>
      </c>
      <c r="E442" s="101" t="s">
        <v>803</v>
      </c>
      <c r="F442" s="790">
        <f>Test_Bible!P328</f>
        <v>0</v>
      </c>
      <c r="G442" s="789">
        <f>Test_Bible!D328</f>
        <v>3</v>
      </c>
      <c r="H442" s="790">
        <f>F442*G442</f>
        <v>0</v>
      </c>
      <c r="I442" s="1622">
        <v>2</v>
      </c>
      <c r="J442" s="1615">
        <f>$J$18</f>
        <v>10</v>
      </c>
      <c r="K442" s="45" t="b">
        <f>IF(AND(F442&gt;=I442,F442&lt;=J442),TRUE,FALSE)</f>
        <v>0</v>
      </c>
      <c r="L442" s="45"/>
      <c r="M442" s="45"/>
      <c r="N442" s="45"/>
      <c r="O442" s="1623"/>
      <c r="P442" s="1622">
        <v>2</v>
      </c>
      <c r="Q442" s="1615">
        <v>7</v>
      </c>
      <c r="R442" s="1623" t="b">
        <f>IF(AND(F442&gt;=P442,F442&lt;=Q442),TRUE,FALSE)</f>
        <v>0</v>
      </c>
      <c r="S442" s="1622"/>
      <c r="T442" s="1615"/>
      <c r="U442" s="1623"/>
      <c r="V442" s="931"/>
      <c r="W442" s="1403"/>
      <c r="X442" s="1404">
        <v>4</v>
      </c>
      <c r="Y442" s="1405"/>
      <c r="Z442" s="1408">
        <v>4</v>
      </c>
      <c r="AA442" s="1405"/>
      <c r="AB442" s="1416">
        <v>11</v>
      </c>
      <c r="AD442" s="960" t="s">
        <v>945</v>
      </c>
      <c r="AE442" s="961"/>
      <c r="AF442" s="960"/>
      <c r="AG442" s="961"/>
      <c r="AH442" s="960"/>
      <c r="AI442" s="961"/>
      <c r="AK442" s="10"/>
      <c r="AL442" s="10"/>
      <c r="AM442" s="10"/>
      <c r="AN442" s="975">
        <f>IF($K442=TRUE,H442,0)</f>
        <v>0</v>
      </c>
      <c r="AO442" s="975">
        <f>IF($R442=TRUE,H442,0)</f>
        <v>0</v>
      </c>
      <c r="AP442" s="975"/>
      <c r="AQ442" s="1806">
        <f>IF(I442=11,0,G442*I442)</f>
        <v>6</v>
      </c>
      <c r="AR442" s="1806">
        <f>IF(J442=11,0,G442*J442)</f>
        <v>30</v>
      </c>
      <c r="AS442" s="1806">
        <f>IF(P442=11,0,G442*P442)</f>
        <v>6</v>
      </c>
      <c r="AT442" s="1806">
        <f>IF(Q442=11,0,G442*Q442)</f>
        <v>21</v>
      </c>
      <c r="AU442" s="1806"/>
      <c r="AV442" s="1806"/>
      <c r="BC442" s="7"/>
      <c r="BD442" s="816"/>
      <c r="BE442" s="110"/>
      <c r="BF442" s="477"/>
      <c r="BG442" s="113"/>
      <c r="BH442" s="481"/>
      <c r="BI442" s="113"/>
      <c r="BJ442" s="482"/>
      <c r="BK442" s="478"/>
    </row>
    <row r="443" spans="2:63" ht="32" customHeight="1" thickBot="1" x14ac:dyDescent="0.25">
      <c r="B443" s="2030"/>
      <c r="C443" s="313" t="s">
        <v>309</v>
      </c>
      <c r="D443" s="26"/>
      <c r="E443" s="101"/>
      <c r="F443" s="790"/>
      <c r="G443" s="789"/>
      <c r="H443" s="790">
        <f>F443*G443</f>
        <v>0</v>
      </c>
      <c r="I443" s="1647">
        <v>11</v>
      </c>
      <c r="J443" s="1648">
        <v>11</v>
      </c>
      <c r="K443" s="45" t="b">
        <f>IF(AND(F443&gt;=I443,F443&lt;=J443),TRUE,FALSE)</f>
        <v>0</v>
      </c>
      <c r="L443" s="45"/>
      <c r="M443" s="45"/>
      <c r="N443" s="45"/>
      <c r="O443" s="1623"/>
      <c r="P443" s="1647">
        <v>11</v>
      </c>
      <c r="Q443" s="1648">
        <v>11</v>
      </c>
      <c r="R443" s="1623" t="b">
        <f>IF(AND(F443&gt;=P443,F443&lt;=Q443),TRUE,FALSE)</f>
        <v>0</v>
      </c>
      <c r="S443" s="1647"/>
      <c r="T443" s="1648"/>
      <c r="U443" s="1623"/>
      <c r="V443" s="931"/>
      <c r="W443" s="1406" t="s">
        <v>943</v>
      </c>
      <c r="X443" s="1425">
        <v>11</v>
      </c>
      <c r="Y443" s="1426"/>
      <c r="Z443" s="1427">
        <v>11</v>
      </c>
      <c r="AA443" s="1426"/>
      <c r="AB443" s="1421">
        <v>11</v>
      </c>
      <c r="AD443" s="960"/>
      <c r="AE443" s="961"/>
      <c r="AF443" s="960"/>
      <c r="AG443" s="961"/>
      <c r="AH443" s="960"/>
      <c r="AI443" s="961"/>
      <c r="AK443" s="10"/>
      <c r="AL443" s="10"/>
      <c r="AM443" s="10"/>
      <c r="AN443" s="975">
        <f>IF($K443=TRUE,H443,0)</f>
        <v>0</v>
      </c>
      <c r="AO443" s="975">
        <f>IF($R443=TRUE,H443,0)</f>
        <v>0</v>
      </c>
      <c r="AP443" s="975"/>
      <c r="AQ443" s="1806">
        <f>IF(I443=11,0,G443*I443)</f>
        <v>0</v>
      </c>
      <c r="AR443" s="1806">
        <f>IF(J443=11,0,G443*J443)</f>
        <v>0</v>
      </c>
      <c r="AS443" s="1806">
        <f>IF(P443=11,0,G443*P443)</f>
        <v>0</v>
      </c>
      <c r="AT443" s="1806">
        <f>IF(Q443=11,0,G443*Q443)</f>
        <v>0</v>
      </c>
      <c r="AU443" s="1806"/>
      <c r="AV443" s="1806"/>
      <c r="BC443" s="7"/>
      <c r="BD443" s="816"/>
      <c r="BE443" s="110"/>
      <c r="BF443" s="477"/>
      <c r="BG443" s="113"/>
      <c r="BH443" s="481"/>
      <c r="BI443" s="113"/>
      <c r="BJ443" s="482"/>
      <c r="BK443" s="478"/>
    </row>
    <row r="444" spans="2:63" ht="32" customHeight="1" thickBot="1" x14ac:dyDescent="0.25">
      <c r="B444" s="2030"/>
      <c r="C444" s="809" t="s">
        <v>747</v>
      </c>
      <c r="D444" s="810" t="str">
        <f>_xlfn.XLOOKUP(H444,H442:H443,D442:D443)</f>
        <v/>
      </c>
      <c r="E444" s="810" t="str">
        <f>_xlfn.XLOOKUP(H444,H442:H443,E442:E443)</f>
        <v>réclame le droit de choisir quand et la durée de ses visites chez vous</v>
      </c>
      <c r="F444" s="811"/>
      <c r="G444" s="811"/>
      <c r="H444" s="811">
        <f>IF(AND(K442=TRUE,K443=FALSE),H442,IF(AND(K442=FALSE,K443=TRUE),H443,MAX(H442,H443)))</f>
        <v>0</v>
      </c>
      <c r="I444" s="1628"/>
      <c r="J444" s="812"/>
      <c r="K444" s="813" t="b">
        <f>IF(AND(K442=FALSE,K443=FALSE),FALSE,TRUE)</f>
        <v>0</v>
      </c>
      <c r="L444" s="1611"/>
      <c r="M444" s="1611"/>
      <c r="N444" s="1611"/>
      <c r="O444" s="1629"/>
      <c r="P444" s="1628"/>
      <c r="Q444" s="812"/>
      <c r="R444" s="813" t="b">
        <f>IF(AND(R442=FALSE,R443=FALSE),FALSE,TRUE)</f>
        <v>0</v>
      </c>
      <c r="S444" s="1628"/>
      <c r="T444" s="812"/>
      <c r="U444" s="813"/>
      <c r="V444" s="931"/>
      <c r="W444" s="931"/>
      <c r="X444" s="1394"/>
      <c r="Z444" s="1398"/>
      <c r="AB444" s="1402"/>
      <c r="AD444" s="960" t="str">
        <f>IF(K444=TRUE,"V","F")</f>
        <v>F</v>
      </c>
      <c r="AE444" s="961"/>
      <c r="AF444" s="960" t="str">
        <f>IF(R444=TRUE,"V","F")</f>
        <v>F</v>
      </c>
      <c r="AG444" s="961"/>
      <c r="AH444" s="960"/>
      <c r="AI444" s="961"/>
      <c r="AK444" s="10"/>
      <c r="AL444" s="10"/>
      <c r="AM444" s="10"/>
      <c r="AN444" s="2102">
        <f>IF(AND($K442=TRUE,$K443=FALSE),AN442,IF(AND($K442=FALSE,$K443=TRUE),AN443,IF(AND($K442=TRUE,$K443=TRUE),MAX(AN442,AN443),0)))</f>
        <v>0</v>
      </c>
      <c r="AO444" s="2102">
        <f>IF(AND($R442=TRUE,$R443=FALSE),AO442,IF(AND($R442=FALSE,$R443=TRUE),AO443,IF(AND($R442=TRUE,$R443=TRUE),MAX(AO442,AO443),0)))</f>
        <v>0</v>
      </c>
      <c r="AP444" s="2102"/>
      <c r="AQ444" s="2102">
        <f>IF(AND($K442=TRUE,$K443=FALSE),AQ442,IF(AND($K442=FALSE,$K443=TRUE),AQ443,IF(AND($K442=TRUE,$K443=TRUE),MAX(AQ442,AQ443),0)))</f>
        <v>0</v>
      </c>
      <c r="AR444" s="2102">
        <f>IF(AND($K442=TRUE,$K443=FALSE),AR442,IF(AND($K442=FALSE,$K443=TRUE),AR443,IF(AND($K442=TRUE,$K443=TRUE),MAX(AR442,AR443),0)))</f>
        <v>0</v>
      </c>
      <c r="AS444" s="2102">
        <f t="shared" ref="AS444" si="435">IF(AND($R442=TRUE,$R443=FALSE),AS442,IF(AND($R442=FALSE,$R443=TRUE),AS443,IF(AND($R442=TRUE,$R443=TRUE),MAX(AS442,AS443),0)))</f>
        <v>0</v>
      </c>
      <c r="AT444" s="2102">
        <f t="shared" ref="AT444" si="436">IF(AND($R442=TRUE,$R443=FALSE),AT442,IF(AND($R442=FALSE,$R443=TRUE),AT443,IF(AND($R442=TRUE,$R443=TRUE),MAX(AT442,AT443),0)))</f>
        <v>0</v>
      </c>
      <c r="AU444" s="2102"/>
      <c r="AV444" s="2102"/>
      <c r="BD444" s="816"/>
      <c r="BE444" s="110"/>
      <c r="BF444" s="477"/>
      <c r="BG444" s="113"/>
      <c r="BH444" s="481"/>
      <c r="BI444" s="113"/>
      <c r="BJ444" s="482"/>
      <c r="BK444" s="478"/>
    </row>
    <row r="445" spans="2:63" ht="32" customHeight="1" x14ac:dyDescent="0.2">
      <c r="B445" s="2030"/>
      <c r="D445" s="421" t="s">
        <v>310</v>
      </c>
      <c r="E445" s="785"/>
      <c r="F445" s="474" t="s">
        <v>398</v>
      </c>
      <c r="G445" s="47"/>
      <c r="H445" s="47">
        <f>IF(AND(K441=TRUE,K444=FALSE),H441,IF(AND(K441=FALSE,K444=TRUE),H444,IF(AND(K441=TRUE,K444=TRUE),H441+H444,MAX(H441,H444))))</f>
        <v>3</v>
      </c>
      <c r="I445" s="1630"/>
      <c r="J445" s="475"/>
      <c r="K445" s="1613"/>
      <c r="L445" s="1614" t="str">
        <f>IF(AND(K444=TRUE,K441=TRUE),E444,"")</f>
        <v/>
      </c>
      <c r="M445" s="1614" t="str">
        <f>IF(AND(K441=TRUE,K444=FALSE),"Bien que le parent "&amp;E441&amp;" l'enfant ne semble pas s'ingérer","")</f>
        <v/>
      </c>
      <c r="N445" s="1614" t="str">
        <f>IF(AND(K441=FALSE,K444=TRUE),E444&amp;" sans signe de la participation du parent favorisé et|ou nouveau conjoint.e","")</f>
        <v/>
      </c>
      <c r="O445" s="1631" t="str">
        <f>IF(AND(K441=FALSE,K444=FALSE),"aucun comportement significatif de cette nature","")</f>
        <v>aucun comportement significatif de cette nature</v>
      </c>
      <c r="P445" s="1630"/>
      <c r="Q445" s="475"/>
      <c r="R445" s="1639"/>
      <c r="S445" s="1630"/>
      <c r="T445" s="475"/>
      <c r="U445" s="1639"/>
      <c r="V445" s="170"/>
      <c r="W445" s="170"/>
      <c r="X445" s="1394"/>
      <c r="Z445" s="1398"/>
      <c r="AB445" s="1402"/>
      <c r="AD445" s="962"/>
      <c r="AE445" s="963">
        <f>IF(AND(AD441="V",AD444="V"),2,IF(OR(AD441="V",AD444="V"),1,0))</f>
        <v>0</v>
      </c>
      <c r="AF445" s="962"/>
      <c r="AG445" s="963">
        <f>IF(OR(AF441="V",AF444="V"),1,0)</f>
        <v>0</v>
      </c>
      <c r="AH445" s="962"/>
      <c r="AI445" s="963"/>
      <c r="AK445" s="10"/>
      <c r="AL445" s="10"/>
      <c r="AM445" s="10"/>
      <c r="AN445" s="2097">
        <f>IF(AND($AD441="V",$AD444="F"),AN441,IF(AND($AD441="F",$AD444="V"),AN444,IF(AND($AD441="V",$AD444="V"),AN441+AN444,0)))</f>
        <v>0</v>
      </c>
      <c r="AO445" s="2097">
        <f>IF(AND($AF441="V",$AF444="F"),AO441,IF(AND($AF441="F",$AF444="V"),AO444,IF(AND($AF441="V",$AF444="V"),AO441+AO444,0)))</f>
        <v>0</v>
      </c>
      <c r="AP445" s="2097"/>
      <c r="AQ445" s="2097">
        <f>IF(AND($AD441="V",$AD444="F"),AQ441,IF(AND($AD441="F",$AD444="V"),AQ444,IF(AND($AD441="V",$AD444="V"),AQ441+AQ444,0)))</f>
        <v>0</v>
      </c>
      <c r="AR445" s="2097">
        <f>IF(AND($AD441="V",$AD444="F"),AR441,IF(AND($AD441="F",$AD444="V"),AR444,IF(AND($AD441="V",$AD444="V"),AR441+AR444,0)))</f>
        <v>0</v>
      </c>
      <c r="AS445" s="2097">
        <f>IF(AND($AF441="V",$AF444="F"),AS441,IF(AND($AF441="F",$AF444="V"),AS444,IF(AND($AF441="V",$AF444="V"),AS441+AS444,0)))</f>
        <v>0</v>
      </c>
      <c r="AT445" s="2097">
        <f>IF(AND($AF441="V",$AF444="F"),AT441,IF(AND($AF441="F",$AF444="V"),AT444,IF(AND($AF441="V",$AF444="V"),AT441+AT444,0)))</f>
        <v>0</v>
      </c>
      <c r="AU445" s="2097"/>
      <c r="AV445" s="2097"/>
      <c r="BD445" s="816"/>
      <c r="BE445" s="110"/>
      <c r="BF445" s="477"/>
      <c r="BG445" s="113"/>
      <c r="BH445" s="481"/>
      <c r="BI445" s="113"/>
      <c r="BJ445" s="482"/>
      <c r="BK445" s="478"/>
    </row>
    <row r="446" spans="2:63" ht="32" customHeight="1" x14ac:dyDescent="0.2">
      <c r="B446" s="2030"/>
      <c r="C446" t="s">
        <v>243</v>
      </c>
      <c r="I446" s="146"/>
      <c r="L446" s="46"/>
      <c r="M446" s="46"/>
      <c r="N446" s="46"/>
      <c r="O446" s="1652"/>
      <c r="P446" s="146"/>
      <c r="R446" s="326"/>
      <c r="S446" s="146"/>
      <c r="U446" s="326"/>
      <c r="V446" s="46"/>
      <c r="AD446" s="960"/>
      <c r="AE446" s="961"/>
      <c r="AF446" s="960"/>
      <c r="AG446" s="961"/>
      <c r="AH446" s="960"/>
      <c r="AI446" s="961"/>
      <c r="AK446" s="10"/>
      <c r="AL446" s="10"/>
      <c r="AM446" s="10"/>
      <c r="AN446" s="975"/>
      <c r="AO446" s="975"/>
      <c r="AP446" s="975"/>
      <c r="AQ446" s="1806"/>
      <c r="AR446" s="1806"/>
      <c r="AS446" s="1806"/>
      <c r="AT446" s="1806"/>
      <c r="AU446" s="1806"/>
      <c r="AV446" s="1806"/>
      <c r="BD446" s="816"/>
      <c r="BE446" s="110"/>
      <c r="BF446" s="477"/>
      <c r="BG446" s="113"/>
      <c r="BH446" s="481"/>
      <c r="BI446" s="113"/>
      <c r="BJ446" s="482"/>
      <c r="BK446" s="478"/>
    </row>
    <row r="447" spans="2:63" ht="32" customHeight="1" x14ac:dyDescent="0.2">
      <c r="B447" s="2030" t="str">
        <f>'Action-Réaction finale'!U70</f>
        <v>G: Parentification</v>
      </c>
      <c r="C447" s="964" t="str">
        <f>'Action-Réaction finale'!S70</f>
        <v>PCR14</v>
      </c>
      <c r="D447" s="965" t="str">
        <f>Test_Bible!B150</f>
        <v>Un enfant de 12 ans est assez mature pour choisir où et avec qui il veut vivre.</v>
      </c>
      <c r="E447" s="965"/>
      <c r="F447" s="973">
        <f>Test_Bible!P150</f>
        <v>2</v>
      </c>
      <c r="G447" s="973">
        <f>Test_Bible!D150</f>
        <v>3</v>
      </c>
      <c r="H447" s="973">
        <f>F447*G447</f>
        <v>6</v>
      </c>
      <c r="I447" s="1622">
        <v>4</v>
      </c>
      <c r="J447" s="1615">
        <v>10</v>
      </c>
      <c r="K447" s="45" t="b">
        <f>IF(AND(F447&gt;=I447,F447&lt;=J447),TRUE,FALSE)</f>
        <v>0</v>
      </c>
      <c r="L447" s="32"/>
      <c r="M447" s="32"/>
      <c r="N447" s="32"/>
      <c r="O447" s="1632"/>
      <c r="P447" s="1647">
        <v>11</v>
      </c>
      <c r="Q447" s="1648">
        <v>11</v>
      </c>
      <c r="R447" s="1623" t="b">
        <f>IF(AND(F447&gt;=P447,F447&lt;=Q447),TRUE,FALSE)</f>
        <v>0</v>
      </c>
      <c r="S447" s="1647">
        <v>11</v>
      </c>
      <c r="T447" s="1648">
        <v>11</v>
      </c>
      <c r="U447" s="1623" t="b">
        <f>IF(AND(F447&gt;=S447,F447&lt;=T447),TRUE,FALSE)</f>
        <v>0</v>
      </c>
      <c r="V447" s="46"/>
      <c r="W447" s="1428"/>
      <c r="X447" s="1404">
        <v>4</v>
      </c>
      <c r="Y447" s="1423"/>
      <c r="Z447" s="1424">
        <v>11</v>
      </c>
      <c r="AA447" s="1423"/>
      <c r="AB447" s="1415">
        <v>4</v>
      </c>
      <c r="AD447" s="960"/>
      <c r="AE447" s="961"/>
      <c r="AF447" s="960"/>
      <c r="AG447" s="961"/>
      <c r="AH447" s="960"/>
      <c r="AI447" s="961"/>
      <c r="AK447" s="10"/>
      <c r="AL447" s="10"/>
      <c r="AM447" s="10"/>
      <c r="AN447" s="975">
        <f>IF($K447=TRUE,H447,0)</f>
        <v>0</v>
      </c>
      <c r="AO447" s="975">
        <f>IF($R447=TRUE,H447,0)</f>
        <v>0</v>
      </c>
      <c r="AP447" s="975">
        <f>IF($U447=TRUE,H447,0)</f>
        <v>0</v>
      </c>
      <c r="AQ447" s="1806">
        <f>IF(I447=11,0,G447*I447)</f>
        <v>12</v>
      </c>
      <c r="AR447" s="1806">
        <f>IF(J447=11,0,G447*J447)</f>
        <v>30</v>
      </c>
      <c r="AS447" s="1806">
        <f>IF(P447=11,0,G447*P447)</f>
        <v>0</v>
      </c>
      <c r="AT447" s="1806">
        <f>IF(Q447=11,0,G447*Q447)</f>
        <v>0</v>
      </c>
      <c r="AU447" s="1806">
        <f>IF(S447=11,0,S447*G447)</f>
        <v>0</v>
      </c>
      <c r="AV447" s="1806">
        <f>IF(T447=11,0,T447*G447)</f>
        <v>0</v>
      </c>
      <c r="BD447" s="816"/>
      <c r="BE447" s="110"/>
      <c r="BF447" s="477"/>
      <c r="BG447" s="113"/>
      <c r="BH447" s="481"/>
      <c r="BI447" s="113"/>
      <c r="BJ447" s="482"/>
      <c r="BK447" s="478"/>
    </row>
    <row r="448" spans="2:63" ht="32" customHeight="1" thickBot="1" x14ac:dyDescent="0.25">
      <c r="B448" s="2030"/>
      <c r="C448" s="964"/>
      <c r="D448" s="972"/>
      <c r="E448" s="965"/>
      <c r="F448" s="973"/>
      <c r="G448" s="973"/>
      <c r="H448" s="973">
        <f>F448*G448</f>
        <v>0</v>
      </c>
      <c r="I448" s="1647">
        <v>11</v>
      </c>
      <c r="J448" s="1648">
        <v>11</v>
      </c>
      <c r="K448" s="45" t="b">
        <f>IF(AND(F448&gt;=I448,F448&lt;=J448),TRUE,FALSE)</f>
        <v>0</v>
      </c>
      <c r="L448" s="32"/>
      <c r="M448" s="32"/>
      <c r="N448" s="32"/>
      <c r="O448" s="1632"/>
      <c r="P448" s="1647">
        <v>11</v>
      </c>
      <c r="Q448" s="1648">
        <v>11</v>
      </c>
      <c r="R448" s="1623" t="b">
        <f>IF(AND(F448&gt;=P448,F448&lt;=Q448),TRUE,FALSE)</f>
        <v>0</v>
      </c>
      <c r="S448" s="1647">
        <v>11</v>
      </c>
      <c r="T448" s="1648">
        <v>11</v>
      </c>
      <c r="U448" s="1623" t="b">
        <f>IF(AND(F448&gt;=S448,F448&lt;=T448),TRUE,FALSE)</f>
        <v>0</v>
      </c>
      <c r="W448" s="1429"/>
      <c r="X448" s="1425">
        <v>11</v>
      </c>
      <c r="Y448" s="1426"/>
      <c r="Z448" s="1427">
        <v>11</v>
      </c>
      <c r="AA448" s="1426"/>
      <c r="AB448" s="1421">
        <v>11</v>
      </c>
      <c r="AD448" s="960"/>
      <c r="AE448" s="961"/>
      <c r="AF448" s="960"/>
      <c r="AG448" s="961"/>
      <c r="AH448" s="960"/>
      <c r="AI448" s="961"/>
      <c r="AK448" s="10"/>
      <c r="AL448" s="10"/>
      <c r="AM448" s="10"/>
      <c r="AN448" s="975">
        <f>IF($K448=TRUE,H448,0)</f>
        <v>0</v>
      </c>
      <c r="AO448" s="975">
        <f>IF($R448=TRUE,H448,0)</f>
        <v>0</v>
      </c>
      <c r="AP448" s="975">
        <f>IF($U448=TRUE,H448,0)</f>
        <v>0</v>
      </c>
      <c r="AQ448" s="1806">
        <f>IF(I448=11,0,G448*I448)</f>
        <v>0</v>
      </c>
      <c r="AR448" s="1806">
        <f>IF(J448=11,0,G448*J448)</f>
        <v>0</v>
      </c>
      <c r="AS448" s="1806">
        <f>IF(P448=11,0,G448*P448)</f>
        <v>0</v>
      </c>
      <c r="AT448" s="1806">
        <f>IF(Q448=11,0,G448*Q448)</f>
        <v>0</v>
      </c>
      <c r="AU448" s="1806">
        <f>IF(S448=11,0,S448*G448)</f>
        <v>0</v>
      </c>
      <c r="AV448" s="1806">
        <f>IF(T448=11,0,T448*G448)</f>
        <v>0</v>
      </c>
      <c r="BD448" s="816"/>
      <c r="BE448" s="110"/>
      <c r="BF448" s="477"/>
      <c r="BG448" s="113"/>
      <c r="BH448" s="481"/>
      <c r="BI448" s="113"/>
      <c r="BJ448" s="482"/>
      <c r="BK448" s="478"/>
    </row>
    <row r="449" spans="2:63" ht="32" customHeight="1" thickBot="1" x14ac:dyDescent="0.35">
      <c r="D449" s="16"/>
      <c r="E449" s="16"/>
      <c r="F449" s="89"/>
      <c r="G449" s="473"/>
      <c r="H449" s="47">
        <f>IF(AND(K447=TRUE,K448=FALSE),H447,IF(AND(K447=FALSE,K448=TRUE),H448,MAX(H447,H448)))</f>
        <v>6</v>
      </c>
      <c r="I449" s="1644"/>
      <c r="J449" s="1645"/>
      <c r="K449" s="1651" t="b">
        <f>IF(AND(K447=FALSE,K448=FALSE),FALSE,TRUE)</f>
        <v>0</v>
      </c>
      <c r="L449" s="1633"/>
      <c r="M449" s="1634"/>
      <c r="N449" s="1634"/>
      <c r="O449" s="1635"/>
      <c r="P449" s="1644"/>
      <c r="Q449" s="1645"/>
      <c r="R449" s="1651" t="b">
        <f>IF(AND(R447=FALSE,R448=FALSE),FALSE,TRUE)</f>
        <v>0</v>
      </c>
      <c r="S449" s="1656"/>
      <c r="T449" s="1657"/>
      <c r="U449" s="1658" t="b">
        <f>IF(AND(U447=FALSE,U448=FALSE),FALSE,TRUE)</f>
        <v>0</v>
      </c>
      <c r="V449" s="933"/>
      <c r="AD449" s="1564" t="str">
        <f>IF(K449=TRUE,"V","F")</f>
        <v>F</v>
      </c>
      <c r="AE449" s="1565"/>
      <c r="AF449" s="1564" t="str">
        <f>IF(R449=TRUE,"V","F")</f>
        <v>F</v>
      </c>
      <c r="AG449" s="1565"/>
      <c r="AH449" s="1564" t="str">
        <f>IF(U449=TRUE,"V","F")</f>
        <v>F</v>
      </c>
      <c r="AI449" s="1565"/>
      <c r="AK449" s="10"/>
      <c r="AL449" s="10"/>
      <c r="AM449" s="10"/>
      <c r="AN449" s="2102">
        <f>IF(AND($K447=TRUE,$K448=FALSE),AN447,IF(AND($K447=FALSE,$K448=TRUE),AN448,MAX(AN447,AN448)))</f>
        <v>0</v>
      </c>
      <c r="AO449" s="2102">
        <f>IF(AND($R447=TRUE,$R448=FALSE),AO447,IF(AND($R447=FALSE,$R448=TRUE),AO448,MAX(AO447,AO448)))</f>
        <v>0</v>
      </c>
      <c r="AP449" s="2102">
        <f>IF(AND($U447=TRUE,$U448=FALSE),AP447,IF(AND($U447=FALSE,$U448=TRUE),AP448,MAX(AP447,AP448)))</f>
        <v>0</v>
      </c>
      <c r="AQ449" s="2102">
        <f>IF(AND($K447=TRUE,$K448=FALSE),AQ447,IF(AND($K447=FALSE,$K448=TRUE),AQ448,MAX(AQ447,AQ448)))</f>
        <v>12</v>
      </c>
      <c r="AR449" s="2102">
        <f>IF(AND($K447=TRUE,$K448=FALSE),AR447,IF(AND($K447=FALSE,$K448=TRUE),AR448,MAX(AR447,AR448)))</f>
        <v>30</v>
      </c>
      <c r="AS449" s="2102">
        <f>IF(AND($R447=TRUE,$R448=FALSE),AS447,IF(AND($R447=FALSE,$R448=TRUE),AS448,MAX(AS447,AS448)))</f>
        <v>0</v>
      </c>
      <c r="AT449" s="2102">
        <f>IF(AND($R447=TRUE,$R448=FALSE),AT447,IF(AND($R447=FALSE,$R448=TRUE),AT448,MAX(AT447,AT448)))</f>
        <v>0</v>
      </c>
      <c r="AU449" s="2102">
        <f>IF(AND($U447=TRUE,$U448=FALSE),AU447,IF(AND($U447=FALSE,$U448=TRUE),AU448,MAX(AU447,AU448)))</f>
        <v>0</v>
      </c>
      <c r="AV449" s="2102">
        <f>IF(AND($U447=TRUE,$U448=FALSE),AV447,IF(AND($U447=FALSE,$U448=TRUE),AV448,MAX(AV447,AV448)))</f>
        <v>0</v>
      </c>
      <c r="BD449" s="816"/>
      <c r="BE449" s="110"/>
      <c r="BF449" s="477"/>
      <c r="BG449" s="113"/>
      <c r="BH449" s="481"/>
      <c r="BI449" s="113"/>
      <c r="BJ449" s="482"/>
      <c r="BK449" s="478"/>
    </row>
    <row r="450" spans="2:63" ht="32" customHeight="1" thickBot="1" x14ac:dyDescent="0.35">
      <c r="D450" s="16"/>
      <c r="E450" s="16"/>
      <c r="F450" s="89"/>
      <c r="G450" s="473"/>
      <c r="H450" s="473"/>
      <c r="I450" s="8"/>
      <c r="J450" s="8"/>
      <c r="K450" s="932"/>
      <c r="L450" s="933"/>
      <c r="M450" s="933"/>
      <c r="N450" s="933"/>
      <c r="O450" s="933"/>
      <c r="P450" s="933"/>
      <c r="Q450" s="933"/>
      <c r="R450" s="933"/>
      <c r="S450" s="933"/>
      <c r="T450" s="933"/>
      <c r="U450" s="933"/>
      <c r="V450" s="933"/>
      <c r="W450" s="933"/>
      <c r="AD450" s="1649"/>
      <c r="AE450" s="1650">
        <f>IF(AND(AD449="V",AD441="V"),AE445-1,AE445)</f>
        <v>0</v>
      </c>
      <c r="AF450" s="1649"/>
      <c r="AG450" s="1650">
        <f>IF(OR(AF441="V",AF444="V",AF449="V"),1,0)</f>
        <v>0</v>
      </c>
      <c r="AH450" s="1649"/>
      <c r="AI450" s="1650">
        <f>IF(AH441="V",1,IF(AH449="V",1,0))</f>
        <v>0</v>
      </c>
      <c r="AK450" s="10">
        <v>1</v>
      </c>
      <c r="AL450" s="10">
        <v>1</v>
      </c>
      <c r="AM450" s="10"/>
      <c r="AN450" s="2101">
        <f>IF($AD449="F",AN445,AN445+AN449)</f>
        <v>0</v>
      </c>
      <c r="AO450" s="2101">
        <f>IF($AF449="F",AO445,AO445+AO449)</f>
        <v>0</v>
      </c>
      <c r="AP450" s="2101">
        <f>IF(AND($AH441="V",$AH449="F"),AP441,IF(AND($AH441="F",$AH449="V"),AP449,IF(AND($AH441="V",$AH449="V"),AP441+AP449,0)))</f>
        <v>0</v>
      </c>
      <c r="AQ450" s="2101">
        <f>IF($AD449="F",AQ445,AQ445+AQ449)</f>
        <v>0</v>
      </c>
      <c r="AR450" s="2101">
        <f t="shared" ref="AR450" si="437">IF($AD449="F",AR445,AR445+AR449)</f>
        <v>0</v>
      </c>
      <c r="AS450" s="2101">
        <f t="shared" ref="AS450" si="438">IF($AF449="F",AS445,AS445+AS449)</f>
        <v>0</v>
      </c>
      <c r="AT450" s="2101">
        <f t="shared" ref="AT450" si="439">IF($AF449="F",AT445,AT445+AT449)</f>
        <v>0</v>
      </c>
      <c r="AU450" s="2101">
        <f t="shared" ref="AU450" si="440">IF(AND($AH441="V",$AH449="F"),AU441,IF(AND($AH441="F",$AH449="V"),AU449,IF(AND($AH441="V",$AH449="V"),AU441+AU449,0)))</f>
        <v>0</v>
      </c>
      <c r="AV450" s="2101">
        <f t="shared" ref="AV450" si="441">IF(AND($AH441="V",$AH449="F"),AV441,IF(AND($AH441="F",$AH449="V"),AV449,IF(AND($AH441="V",$AH449="V"),AV441+AV449,0)))</f>
        <v>0</v>
      </c>
      <c r="BD450" s="816"/>
      <c r="BE450" s="110"/>
      <c r="BF450" s="477"/>
      <c r="BG450" s="113"/>
      <c r="BH450" s="481"/>
      <c r="BI450" s="113"/>
      <c r="BJ450" s="482"/>
      <c r="BK450" s="478"/>
    </row>
    <row r="451" spans="2:63" ht="32" customHeight="1" x14ac:dyDescent="0.3">
      <c r="D451" s="16"/>
      <c r="E451" s="16"/>
      <c r="F451" s="89"/>
      <c r="G451" s="473"/>
      <c r="H451" s="473"/>
      <c r="I451" s="1616"/>
      <c r="J451" s="1617"/>
      <c r="K451" s="1618"/>
      <c r="L451" s="2268"/>
      <c r="M451" s="2268"/>
      <c r="N451" s="2268"/>
      <c r="O451" s="1619"/>
      <c r="P451" s="1636"/>
      <c r="Q451" s="1618"/>
      <c r="R451" s="1619"/>
      <c r="S451" s="1636"/>
      <c r="T451" s="1618"/>
      <c r="U451" s="1619"/>
      <c r="V451" s="170"/>
      <c r="W451" s="170"/>
      <c r="AD451" s="1668"/>
      <c r="AE451" s="1669"/>
      <c r="AF451" s="1409"/>
      <c r="AG451" s="1409"/>
      <c r="AH451" s="1409"/>
      <c r="AI451" s="1409"/>
      <c r="AK451" s="10"/>
      <c r="AL451" s="10"/>
      <c r="AM451" s="10"/>
      <c r="BD451" s="816"/>
      <c r="BE451" s="110"/>
      <c r="BF451" s="477"/>
      <c r="BG451" s="113"/>
      <c r="BH451" s="481"/>
      <c r="BI451" s="113"/>
      <c r="BJ451" s="482"/>
      <c r="BK451" s="478"/>
    </row>
    <row r="452" spans="2:63" ht="32" customHeight="1" x14ac:dyDescent="0.3">
      <c r="B452" s="2029">
        <v>23</v>
      </c>
      <c r="D452" s="476" t="str">
        <f>'Action-Réaction finale'!F73</f>
        <v>Respecter les désirs de l'enfant</v>
      </c>
      <c r="E452" s="107"/>
      <c r="F452" s="65"/>
      <c r="G452" s="18"/>
      <c r="H452" s="18"/>
      <c r="I452" s="2255" t="s">
        <v>734</v>
      </c>
      <c r="J452" s="2256"/>
      <c r="K452" s="2256"/>
      <c r="L452" s="2257" t="s">
        <v>1378</v>
      </c>
      <c r="M452" s="2257"/>
      <c r="N452" s="2257"/>
      <c r="O452" s="2258"/>
      <c r="P452" s="2259" t="s">
        <v>733</v>
      </c>
      <c r="Q452" s="2260"/>
      <c r="R452" s="2261"/>
      <c r="S452" s="2262" t="s">
        <v>735</v>
      </c>
      <c r="T452" s="2263"/>
      <c r="U452" s="2264"/>
      <c r="V452" s="15"/>
      <c r="W452" s="15"/>
      <c r="AD452" s="956"/>
      <c r="AE452" s="956"/>
      <c r="AF452" s="956"/>
      <c r="AG452" s="956"/>
      <c r="AH452" s="956"/>
      <c r="AI452" s="957"/>
      <c r="AK452" s="10"/>
      <c r="AL452" s="10"/>
      <c r="AM452" s="10"/>
      <c r="AN452" s="1659" t="s">
        <v>734</v>
      </c>
      <c r="AO452" s="1659" t="s">
        <v>733</v>
      </c>
      <c r="AP452" s="1659" t="s">
        <v>735</v>
      </c>
      <c r="AQ452" s="2254" t="s">
        <v>734</v>
      </c>
      <c r="AR452" s="2254"/>
      <c r="AS452" s="2254" t="s">
        <v>733</v>
      </c>
      <c r="AT452" s="2254"/>
      <c r="AU452" s="2254" t="s">
        <v>735</v>
      </c>
      <c r="AV452" s="2254"/>
      <c r="BD452" s="816"/>
      <c r="BE452" s="110"/>
      <c r="BF452" s="477"/>
      <c r="BG452" s="113"/>
      <c r="BH452" s="481"/>
      <c r="BI452" s="113"/>
      <c r="BJ452" s="482"/>
      <c r="BK452" s="478"/>
    </row>
    <row r="453" spans="2:63" ht="32" customHeight="1" x14ac:dyDescent="0.2">
      <c r="B453" s="2030"/>
      <c r="D453" s="102" t="s">
        <v>998</v>
      </c>
      <c r="E453" s="983" t="s">
        <v>997</v>
      </c>
      <c r="F453" s="32" t="s">
        <v>748</v>
      </c>
      <c r="G453" s="32" t="s">
        <v>749</v>
      </c>
      <c r="H453" s="32" t="s">
        <v>750</v>
      </c>
      <c r="I453" s="1620" t="s">
        <v>306</v>
      </c>
      <c r="J453" s="43" t="s">
        <v>307</v>
      </c>
      <c r="K453" s="43" t="s">
        <v>308</v>
      </c>
      <c r="L453" s="43" t="s">
        <v>413</v>
      </c>
      <c r="M453" s="43" t="s">
        <v>388</v>
      </c>
      <c r="N453" s="43" t="s">
        <v>389</v>
      </c>
      <c r="O453" s="1621" t="s">
        <v>390</v>
      </c>
      <c r="P453" s="1620" t="s">
        <v>306</v>
      </c>
      <c r="Q453" s="43" t="s">
        <v>307</v>
      </c>
      <c r="R453" s="1621" t="s">
        <v>308</v>
      </c>
      <c r="S453" s="1620" t="s">
        <v>306</v>
      </c>
      <c r="T453" s="43" t="s">
        <v>307</v>
      </c>
      <c r="U453" s="1621" t="s">
        <v>308</v>
      </c>
      <c r="V453" s="818"/>
      <c r="W453" s="955" t="s">
        <v>928</v>
      </c>
      <c r="X453" s="1391" t="s">
        <v>734</v>
      </c>
      <c r="Y453" s="955" t="s">
        <v>928</v>
      </c>
      <c r="Z453" s="1395" t="s">
        <v>733</v>
      </c>
      <c r="AA453" s="955"/>
      <c r="AB453" s="1399" t="s">
        <v>735</v>
      </c>
      <c r="AD453" s="970" t="s">
        <v>734</v>
      </c>
      <c r="AE453" s="971" t="s">
        <v>946</v>
      </c>
      <c r="AF453" s="970" t="s">
        <v>733</v>
      </c>
      <c r="AG453" s="971" t="s">
        <v>947</v>
      </c>
      <c r="AH453" s="970" t="s">
        <v>735</v>
      </c>
      <c r="AI453" s="971" t="s">
        <v>948</v>
      </c>
      <c r="AK453" s="10"/>
      <c r="AL453" s="10"/>
      <c r="AM453" s="10"/>
      <c r="AN453" s="10"/>
      <c r="AO453" s="10"/>
      <c r="AP453" s="10"/>
      <c r="AQ453" s="1806" t="s">
        <v>1322</v>
      </c>
      <c r="AR453" s="1806" t="s">
        <v>1323</v>
      </c>
      <c r="AS453" s="1806" t="s">
        <v>1322</v>
      </c>
      <c r="AT453" s="1806" t="s">
        <v>1323</v>
      </c>
      <c r="AU453" s="1806" t="s">
        <v>1322</v>
      </c>
      <c r="AV453" s="1806" t="s">
        <v>1323</v>
      </c>
      <c r="BD453" s="816"/>
      <c r="BE453" s="110"/>
      <c r="BF453" s="477"/>
      <c r="BG453" s="113"/>
      <c r="BH453" s="481"/>
      <c r="BI453" s="113"/>
      <c r="BJ453" s="482"/>
      <c r="BK453" s="478"/>
    </row>
    <row r="454" spans="2:63" ht="47" customHeight="1" x14ac:dyDescent="0.2">
      <c r="B454" s="2030" t="str">
        <f>'Action-Réaction finale'!I73</f>
        <v>H: Rôle actif, Réponse au CC, r</v>
      </c>
      <c r="C454" s="414" t="str">
        <f>'Action-Réaction finale'!G73</f>
        <v>PFA11a</v>
      </c>
      <c r="D454" s="767" t="str">
        <f>Test_Bible!B184</f>
        <v/>
      </c>
      <c r="E454" s="101" t="s">
        <v>804</v>
      </c>
      <c r="F454" s="790">
        <f>Test_Bible!P184</f>
        <v>0</v>
      </c>
      <c r="G454" s="789">
        <f>Test_Bible!D184</f>
        <v>3</v>
      </c>
      <c r="H454" s="790">
        <f>F454*G454</f>
        <v>0</v>
      </c>
      <c r="I454" s="1622">
        <v>4</v>
      </c>
      <c r="J454" s="1615">
        <v>10</v>
      </c>
      <c r="K454" s="45" t="b">
        <f>IF(AND(F454&gt;=I454,F454&lt;=J454),TRUE,FALSE)</f>
        <v>0</v>
      </c>
      <c r="L454" s="45"/>
      <c r="M454" s="45"/>
      <c r="N454" s="45"/>
      <c r="O454" s="1623"/>
      <c r="P454" s="1647">
        <v>11</v>
      </c>
      <c r="Q454" s="1648">
        <v>11</v>
      </c>
      <c r="R454" s="1623" t="b">
        <f>IF(AND(F454&gt;=P454,F454&lt;=Q454),TRUE,FALSE)</f>
        <v>0</v>
      </c>
      <c r="S454" s="1622">
        <v>4</v>
      </c>
      <c r="T454" s="1615">
        <v>7</v>
      </c>
      <c r="U454" s="1623" t="b">
        <f>IF(AND(F454&gt;=S454,F454&lt;=T454),TRUE,FALSE)</f>
        <v>0</v>
      </c>
      <c r="V454" s="931"/>
      <c r="W454" s="1403"/>
      <c r="X454" s="1404">
        <v>4</v>
      </c>
      <c r="Y454" s="1405"/>
      <c r="Z454" s="1424">
        <v>11</v>
      </c>
      <c r="AA454" s="1405"/>
      <c r="AB454" s="1415">
        <v>4</v>
      </c>
      <c r="AD454" s="958"/>
      <c r="AE454" s="959"/>
      <c r="AF454" s="958"/>
      <c r="AG454" s="959"/>
      <c r="AH454" s="958"/>
      <c r="AI454" s="959"/>
      <c r="AK454" s="10"/>
      <c r="AL454" s="10"/>
      <c r="AM454" s="10"/>
      <c r="AN454" s="975">
        <f>IF($K454=TRUE,H454,0)</f>
        <v>0</v>
      </c>
      <c r="AO454" s="975">
        <f>IF($R454=TRUE,H454,0)</f>
        <v>0</v>
      </c>
      <c r="AP454" s="975">
        <f>IF($U454=TRUE,H454,0)</f>
        <v>0</v>
      </c>
      <c r="AQ454" s="1806">
        <f>IF(I454=11,0,G454*I454)</f>
        <v>12</v>
      </c>
      <c r="AR454" s="1806">
        <f>IF(J454=11,0,G454*J454)</f>
        <v>30</v>
      </c>
      <c r="AS454" s="1806">
        <f>IF(P454=11,0,G454*P454)</f>
        <v>0</v>
      </c>
      <c r="AT454" s="1806">
        <f>IF(Q454=11,0,G454*Q454)</f>
        <v>0</v>
      </c>
      <c r="AU454" s="1806">
        <f>IF(S454=11,0,S454*G454)</f>
        <v>12</v>
      </c>
      <c r="AV454" s="1806">
        <f>IF(T454=11,0,T454*G454)</f>
        <v>21</v>
      </c>
      <c r="BD454" s="816"/>
      <c r="BE454" s="110"/>
      <c r="BF454" s="477"/>
      <c r="BG454" s="113"/>
      <c r="BH454" s="481"/>
      <c r="BI454" s="113"/>
      <c r="BJ454" s="482"/>
      <c r="BK454" s="478"/>
    </row>
    <row r="455" spans="2:63" ht="32" customHeight="1" x14ac:dyDescent="0.2">
      <c r="B455" s="2030"/>
      <c r="C455" s="414" t="s">
        <v>293</v>
      </c>
      <c r="D455" s="26"/>
      <c r="E455" s="101"/>
      <c r="F455" s="790"/>
      <c r="G455" s="789"/>
      <c r="H455" s="790">
        <f>F455*G455</f>
        <v>0</v>
      </c>
      <c r="I455" s="1647">
        <v>11</v>
      </c>
      <c r="J455" s="1648">
        <v>11</v>
      </c>
      <c r="K455" s="45" t="b">
        <f>IF(AND(F455&gt;=I455,F455&lt;=J455),TRUE,FALSE)</f>
        <v>0</v>
      </c>
      <c r="L455" s="45"/>
      <c r="M455" s="45"/>
      <c r="N455" s="45"/>
      <c r="O455" s="1623"/>
      <c r="P455" s="1647">
        <v>11</v>
      </c>
      <c r="Q455" s="1648">
        <v>11</v>
      </c>
      <c r="R455" s="1623" t="b">
        <f>IF(AND(F455&gt;=P455,F455&lt;=Q455),TRUE,FALSE)</f>
        <v>0</v>
      </c>
      <c r="S455" s="1647">
        <v>11</v>
      </c>
      <c r="T455" s="1648">
        <v>11</v>
      </c>
      <c r="U455" s="1623" t="b">
        <f>IF(AND(F455&gt;=S455,F455&lt;=T455),TRUE,FALSE)</f>
        <v>0</v>
      </c>
      <c r="V455" s="931"/>
      <c r="W455" s="1406" t="s">
        <v>943</v>
      </c>
      <c r="X455" s="1425">
        <v>11</v>
      </c>
      <c r="Y455" s="1426"/>
      <c r="Z455" s="1427">
        <v>11</v>
      </c>
      <c r="AA455" s="1426"/>
      <c r="AB455" s="1421">
        <v>11</v>
      </c>
      <c r="AD455" s="960"/>
      <c r="AE455" s="961"/>
      <c r="AF455" s="960"/>
      <c r="AG455" s="961"/>
      <c r="AH455" s="960"/>
      <c r="AI455" s="961"/>
      <c r="AK455" s="10"/>
      <c r="AL455" s="10"/>
      <c r="AM455" s="10"/>
      <c r="AN455" s="975">
        <f>IF($K455=TRUE,H455,0)</f>
        <v>0</v>
      </c>
      <c r="AO455" s="975">
        <f>IF($R455=TRUE,H455,0)</f>
        <v>0</v>
      </c>
      <c r="AP455" s="975">
        <f>IF($U455=TRUE,H455,0)</f>
        <v>0</v>
      </c>
      <c r="AQ455" s="1806">
        <f>IF(I455=11,0,G455*I455)</f>
        <v>0</v>
      </c>
      <c r="AR455" s="1806">
        <f>IF(J455=11,0,G455*J455)</f>
        <v>0</v>
      </c>
      <c r="AS455" s="1806">
        <f>IF(P455=11,0,G455*P455)</f>
        <v>0</v>
      </c>
      <c r="AT455" s="1806">
        <f>IF(Q455=11,0,G455*Q455)</f>
        <v>0</v>
      </c>
      <c r="AU455" s="1806">
        <f>IF(S455=11,0,S455*G455)</f>
        <v>0</v>
      </c>
      <c r="AV455" s="1806">
        <f>IF(T455=11,0,T455*G455)</f>
        <v>0</v>
      </c>
      <c r="BD455" s="816"/>
      <c r="BE455" s="110"/>
      <c r="BF455" s="477"/>
      <c r="BG455" s="113"/>
      <c r="BH455" s="481"/>
      <c r="BI455" s="113"/>
      <c r="BJ455" s="482"/>
      <c r="BK455" s="478"/>
    </row>
    <row r="456" spans="2:63" ht="32" customHeight="1" x14ac:dyDescent="0.2">
      <c r="B456" s="2030"/>
      <c r="C456" s="792" t="s">
        <v>745</v>
      </c>
      <c r="D456" s="793" t="str">
        <f>_xlfn.XLOOKUP(H456,H454:H455,D454:D455)</f>
        <v/>
      </c>
      <c r="E456" s="794" t="str">
        <f>_xlfn.XLOOKUP(H456,H454:H455,E454:E455)</f>
        <v>vous demande de respecter les désirs et choix de l'enfant</v>
      </c>
      <c r="F456" s="795"/>
      <c r="G456" s="795"/>
      <c r="H456" s="795">
        <f>IF(AND(K454=TRUE,K455=FALSE),H454,IF(AND(K454=FALSE,K455=TRUE),H455,MAX(H454,H455)))</f>
        <v>0</v>
      </c>
      <c r="I456" s="1624"/>
      <c r="J456" s="796"/>
      <c r="K456" s="797" t="b">
        <f>IF(AND(K454=FALSE,K455=FALSE),FALSE,TRUE)</f>
        <v>0</v>
      </c>
      <c r="L456" s="45"/>
      <c r="M456" s="45"/>
      <c r="N456" s="45"/>
      <c r="O456" s="1623"/>
      <c r="P456" s="1624"/>
      <c r="Q456" s="796"/>
      <c r="R456" s="1637" t="b">
        <f>IF(AND(R454=FALSE,R455=FALSE),FALSE,TRUE)</f>
        <v>0</v>
      </c>
      <c r="S456" s="1624"/>
      <c r="T456" s="796"/>
      <c r="U456" s="1637" t="b">
        <f>IF(AND(U454=FALSE,U455=FALSE),FALSE,TRUE)</f>
        <v>0</v>
      </c>
      <c r="V456" s="931"/>
      <c r="W456" s="931" t="s">
        <v>943</v>
      </c>
      <c r="X456" s="1392"/>
      <c r="Y456" s="8"/>
      <c r="Z456" s="1397"/>
      <c r="AA456" s="8"/>
      <c r="AB456" s="1400"/>
      <c r="AD456" s="960"/>
      <c r="AE456" s="961"/>
      <c r="AF456" s="960"/>
      <c r="AG456" s="961"/>
      <c r="AH456" s="960"/>
      <c r="AI456" s="961"/>
      <c r="AK456" s="10"/>
      <c r="AL456" s="10"/>
      <c r="AM456" s="10"/>
      <c r="AN456" s="2100">
        <f>IF($K456=TRUE,MAX(AN454:AN455),0)</f>
        <v>0</v>
      </c>
      <c r="AO456" s="2100">
        <f>IF($R456=TRUE,MAX(AO454:AO455),0)</f>
        <v>0</v>
      </c>
      <c r="AP456" s="2100">
        <f>IF($U456=TRUE,MAX(AP454:AP455),0)</f>
        <v>0</v>
      </c>
      <c r="AQ456" s="2099">
        <f>MAX(AQ454:AQ455)</f>
        <v>12</v>
      </c>
      <c r="AR456" s="2099">
        <f t="shared" ref="AR456" si="442">MAX(AR454:AR455)</f>
        <v>30</v>
      </c>
      <c r="AS456" s="2099">
        <f t="shared" ref="AS456" si="443">MAX(AS454:AS455)</f>
        <v>0</v>
      </c>
      <c r="AT456" s="2099">
        <f t="shared" ref="AT456" si="444">MAX(AT454:AT455)</f>
        <v>0</v>
      </c>
      <c r="AU456" s="2099">
        <f t="shared" ref="AU456" si="445">MAX(AU454:AU455)</f>
        <v>12</v>
      </c>
      <c r="AV456" s="2099">
        <f t="shared" ref="AV456" si="446">MAX(AV454:AV455)</f>
        <v>21</v>
      </c>
      <c r="BD456" s="816"/>
      <c r="BE456" s="110"/>
      <c r="BF456" s="477"/>
      <c r="BG456" s="113"/>
      <c r="BH456" s="481"/>
      <c r="BI456" s="113"/>
      <c r="BJ456" s="482"/>
      <c r="BK456" s="478"/>
    </row>
    <row r="457" spans="2:63" ht="45" customHeight="1" x14ac:dyDescent="0.2">
      <c r="B457" s="2030" t="str">
        <f>'Action-Réaction finale'!M73</f>
        <v>H: Rôle actif, Réponse au CC, r</v>
      </c>
      <c r="C457" s="52" t="str">
        <f>'Action-Réaction finale'!K73</f>
        <v>NC16</v>
      </c>
      <c r="D457" s="26" t="str">
        <f>Test_Bible!B426</f>
        <v/>
      </c>
      <c r="E457" s="101" t="s">
        <v>805</v>
      </c>
      <c r="F457" s="790">
        <f>Test_Bible!P426</f>
        <v>0</v>
      </c>
      <c r="G457" s="789">
        <f>Test_Bible!D426</f>
        <v>3</v>
      </c>
      <c r="H457" s="790">
        <f>F457*G457</f>
        <v>0</v>
      </c>
      <c r="I457" s="1622">
        <v>4</v>
      </c>
      <c r="J457" s="1615">
        <v>10</v>
      </c>
      <c r="K457" s="45" t="b">
        <f>IF(AND(F457&gt;=I457,F457&lt;=J457),TRUE,FALSE)</f>
        <v>0</v>
      </c>
      <c r="L457" s="45"/>
      <c r="M457" s="45"/>
      <c r="N457" s="45"/>
      <c r="O457" s="1623"/>
      <c r="P457" s="1647">
        <v>11</v>
      </c>
      <c r="Q457" s="1648">
        <v>11</v>
      </c>
      <c r="R457" s="1623" t="b">
        <f>IF(AND(F457&gt;=P457,F457&lt;=Q457),TRUE,FALSE)</f>
        <v>0</v>
      </c>
      <c r="S457" s="1622">
        <v>7</v>
      </c>
      <c r="T457" s="1615">
        <v>10</v>
      </c>
      <c r="U457" s="1623" t="b">
        <f>IF(AND(F457&gt;=S457,F457&lt;=T457),TRUE,FALSE)</f>
        <v>0</v>
      </c>
      <c r="V457" s="931"/>
      <c r="W457" s="1403"/>
      <c r="X457" s="1404">
        <v>4</v>
      </c>
      <c r="Y457" s="1405"/>
      <c r="Z457" s="1424">
        <v>11</v>
      </c>
      <c r="AA457" s="1405"/>
      <c r="AB457" s="1415">
        <v>2</v>
      </c>
      <c r="AD457" s="960"/>
      <c r="AE457" s="961"/>
      <c r="AF457" s="960"/>
      <c r="AG457" s="961"/>
      <c r="AH457" s="960"/>
      <c r="AI457" s="961"/>
      <c r="AK457" s="10"/>
      <c r="AL457" s="10"/>
      <c r="AM457" s="10"/>
      <c r="AN457" s="975">
        <f>IF(K457=TRUE,H457,0)</f>
        <v>0</v>
      </c>
      <c r="AO457" s="975">
        <f>IF(R457=TRUE,H457,0)</f>
        <v>0</v>
      </c>
      <c r="AP457" s="975">
        <f>IF(U457=TRUE,H457,0)</f>
        <v>0</v>
      </c>
      <c r="AQ457" s="1806">
        <f>IF(I457=11,0,G457*I457)</f>
        <v>12</v>
      </c>
      <c r="AR457" s="1806">
        <f>IF(J457=11,0,G457*J457)</f>
        <v>30</v>
      </c>
      <c r="AS457" s="1806">
        <f>IF(P457=11,0,G457*P457)</f>
        <v>0</v>
      </c>
      <c r="AT457" s="1806">
        <f>IF(Q457=11,0,G457*Q457)</f>
        <v>0</v>
      </c>
      <c r="AU457" s="1806">
        <f>IF(S457=11,0,S457*G457)</f>
        <v>21</v>
      </c>
      <c r="AV457" s="1806">
        <f>IF(T457=11,0,T457*G457)</f>
        <v>30</v>
      </c>
      <c r="BD457" s="816"/>
      <c r="BE457" s="110"/>
      <c r="BF457" s="477"/>
      <c r="BG457" s="113"/>
      <c r="BH457" s="481"/>
      <c r="BI457" s="113"/>
      <c r="BJ457" s="482"/>
      <c r="BK457" s="478"/>
    </row>
    <row r="458" spans="2:63" ht="32" customHeight="1" x14ac:dyDescent="0.2">
      <c r="B458" s="2030"/>
      <c r="C458" s="52" t="s">
        <v>247</v>
      </c>
      <c r="D458" s="26"/>
      <c r="E458" s="62"/>
      <c r="F458" s="35"/>
      <c r="G458" s="35"/>
      <c r="H458" s="35">
        <f>F458*G458</f>
        <v>0</v>
      </c>
      <c r="I458" s="1647">
        <v>11</v>
      </c>
      <c r="J458" s="1648">
        <v>11</v>
      </c>
      <c r="K458" s="45" t="b">
        <f>IF(AND(F458&gt;=I458,F458&lt;=J458),TRUE,FALSE)</f>
        <v>0</v>
      </c>
      <c r="L458" s="45"/>
      <c r="M458" s="45"/>
      <c r="N458" s="45"/>
      <c r="O458" s="1623"/>
      <c r="P458" s="1647">
        <v>11</v>
      </c>
      <c r="Q458" s="1648">
        <v>11</v>
      </c>
      <c r="R458" s="1623" t="b">
        <f>IF(AND(F458&gt;=P458,F458&lt;=Q458),TRUE,FALSE)</f>
        <v>0</v>
      </c>
      <c r="S458" s="1647">
        <v>11</v>
      </c>
      <c r="T458" s="1648">
        <v>11</v>
      </c>
      <c r="U458" s="1623" t="b">
        <f>IF(AND(F458&gt;=S458,F458&lt;=T458),TRUE,FALSE)</f>
        <v>0</v>
      </c>
      <c r="V458" s="931"/>
      <c r="W458" s="1406" t="s">
        <v>943</v>
      </c>
      <c r="X458" s="1425">
        <v>11</v>
      </c>
      <c r="Y458" s="1426"/>
      <c r="Z458" s="1427">
        <v>11</v>
      </c>
      <c r="AA458" s="1426"/>
      <c r="AB458" s="1421">
        <v>11</v>
      </c>
      <c r="AD458" s="960"/>
      <c r="AE458" s="961"/>
      <c r="AF458" s="960"/>
      <c r="AG458" s="961"/>
      <c r="AH458" s="960"/>
      <c r="AI458" s="961"/>
      <c r="AK458" s="10"/>
      <c r="AL458" s="10"/>
      <c r="AM458" s="10"/>
      <c r="AN458" s="975">
        <f>IF(K458=TRUE,H458,0)</f>
        <v>0</v>
      </c>
      <c r="AO458" s="975">
        <f>IF(R458=TRUE,H458,0)</f>
        <v>0</v>
      </c>
      <c r="AP458" s="975">
        <f>IF(U458=TRUE,H458,0)</f>
        <v>0</v>
      </c>
      <c r="AQ458" s="1806">
        <f>IF(I458=11,0,G458*I458)</f>
        <v>0</v>
      </c>
      <c r="AR458" s="1806">
        <f>IF(J458=11,0,G458*J458)</f>
        <v>0</v>
      </c>
      <c r="AS458" s="1806">
        <f>IF(P458=11,0,G458*P458)</f>
        <v>0</v>
      </c>
      <c r="AT458" s="1806">
        <f>IF(Q458=11,0,G458*Q458)</f>
        <v>0</v>
      </c>
      <c r="AU458" s="1806">
        <f>IF(S458=11,0,S458*G458)</f>
        <v>0</v>
      </c>
      <c r="AV458" s="1806">
        <f>IF(T458=11,0,T458*G458)</f>
        <v>0</v>
      </c>
      <c r="BC458" s="7"/>
      <c r="BD458" s="816"/>
      <c r="BE458" s="110"/>
      <c r="BF458" s="477"/>
      <c r="BG458" s="113"/>
      <c r="BH458" s="481"/>
      <c r="BI458" s="113"/>
      <c r="BJ458" s="482"/>
      <c r="BK458" s="478"/>
    </row>
    <row r="459" spans="2:63" ht="32" customHeight="1" thickBot="1" x14ac:dyDescent="0.25">
      <c r="B459" s="2030"/>
      <c r="C459" s="798" t="s">
        <v>746</v>
      </c>
      <c r="D459" s="799" t="str">
        <f>_xlfn.XLOOKUP(H459,H457:H458,D457:D458)</f>
        <v/>
      </c>
      <c r="E459" s="800" t="str">
        <f>_xlfn.XLOOKUP(H459,H457:H458,E457:E458)</f>
        <v>Le nouveau conjoint.e vous demande de respecter les désirs et choix de l'enfant</v>
      </c>
      <c r="F459" s="801"/>
      <c r="G459" s="801"/>
      <c r="H459" s="795">
        <f>IF(AND(K457=TRUE,K458=FALSE),H457,IF(AND(K457=FALSE,K458=TRUE),H458,MAX(H457,H458)))</f>
        <v>0</v>
      </c>
      <c r="I459" s="1625"/>
      <c r="J459" s="802"/>
      <c r="K459" s="803" t="b">
        <f>IF(AND(K457=FALSE,K458=FALSE),FALSE,TRUE)</f>
        <v>0</v>
      </c>
      <c r="L459" s="45"/>
      <c r="M459" s="45"/>
      <c r="N459" s="45"/>
      <c r="O459" s="1623"/>
      <c r="P459" s="1625"/>
      <c r="Q459" s="802"/>
      <c r="R459" s="1638" t="b">
        <f>IF(AND(R457=FALSE,R458=FALSE),FALSE,TRUE)</f>
        <v>0</v>
      </c>
      <c r="S459" s="1625"/>
      <c r="T459" s="802"/>
      <c r="U459" s="1638" t="b">
        <f>IF(AND(U457=FALSE,U458=FALSE),FALSE,TRUE)</f>
        <v>0</v>
      </c>
      <c r="V459" s="931"/>
      <c r="W459" s="931"/>
      <c r="X459" s="1392"/>
      <c r="Y459" s="8"/>
      <c r="Z459" s="1397"/>
      <c r="AA459" s="8"/>
      <c r="AB459" s="1400"/>
      <c r="AD459" s="960"/>
      <c r="AE459" s="961"/>
      <c r="AF459" s="960"/>
      <c r="AG459" s="961"/>
      <c r="AH459" s="960"/>
      <c r="AI459" s="961"/>
      <c r="AK459" s="10"/>
      <c r="AL459" s="10"/>
      <c r="AM459" s="10"/>
      <c r="AN459" s="2100">
        <f>IF($K459=TRUE,MAX(AN457:AN458),0)</f>
        <v>0</v>
      </c>
      <c r="AO459" s="2100">
        <f>IF($R459=TRUE,MAX(AO457:AO458),0)</f>
        <v>0</v>
      </c>
      <c r="AP459" s="2100">
        <f>IF($U459=TRUE,MAX(AP457:AP458),0)</f>
        <v>0</v>
      </c>
      <c r="AQ459" s="2099">
        <f>MAX(AQ457:AQ458)</f>
        <v>12</v>
      </c>
      <c r="AR459" s="2099">
        <f t="shared" ref="AR459" si="447">MAX(AR457:AR458)</f>
        <v>30</v>
      </c>
      <c r="AS459" s="2099">
        <f t="shared" ref="AS459" si="448">MAX(AS457:AS458)</f>
        <v>0</v>
      </c>
      <c r="AT459" s="2099">
        <f t="shared" ref="AT459" si="449">MAX(AT457:AT458)</f>
        <v>0</v>
      </c>
      <c r="AU459" s="2099">
        <f t="shared" ref="AU459" si="450">MAX(AU457:AU458)</f>
        <v>21</v>
      </c>
      <c r="AV459" s="2099">
        <f t="shared" ref="AV459" si="451">MAX(AV457:AV458)</f>
        <v>30</v>
      </c>
      <c r="BC459" s="7"/>
      <c r="BD459" s="816"/>
      <c r="BE459" s="110"/>
      <c r="BF459" s="477"/>
      <c r="BG459" s="113"/>
      <c r="BH459" s="481"/>
      <c r="BI459" s="113"/>
      <c r="BJ459" s="482"/>
      <c r="BK459" s="478"/>
    </row>
    <row r="460" spans="2:63" ht="32" customHeight="1" thickBot="1" x14ac:dyDescent="0.25">
      <c r="B460" s="2030"/>
      <c r="C460" s="804" t="s">
        <v>754</v>
      </c>
      <c r="D460" s="805"/>
      <c r="E460" s="805" t="str">
        <f>IF(H460=H456,E456,E459)</f>
        <v>vous demande de respecter les désirs et choix de l'enfant</v>
      </c>
      <c r="F460" s="806"/>
      <c r="G460" s="806"/>
      <c r="H460" s="806">
        <f>IF(AND(K456=TRUE,K459=FALSE),H456,IF(AND(K456=FALSE,K459=TRUE),H459,IF(AND(K456=TRUE,K459=TRUE),H456+H459,MAX(H456,H459))))</f>
        <v>0</v>
      </c>
      <c r="I460" s="1626"/>
      <c r="J460" s="807"/>
      <c r="K460" s="808" t="b">
        <f>IF(AND(K456=FALSE,K459=FALSE),FALSE,TRUE)</f>
        <v>0</v>
      </c>
      <c r="L460" s="1610"/>
      <c r="M460" s="1610"/>
      <c r="N460" s="1610"/>
      <c r="O460" s="1627"/>
      <c r="P460" s="1626"/>
      <c r="Q460" s="807"/>
      <c r="R460" s="808" t="b">
        <f>IF(AND(R456=FALSE,R459=FALSE),FALSE,TRUE)</f>
        <v>0</v>
      </c>
      <c r="S460" s="1626"/>
      <c r="T460" s="807"/>
      <c r="U460" s="808" t="b">
        <f>IF(AND(U456=FALSE,U459=FALSE),FALSE,TRUE)</f>
        <v>0</v>
      </c>
      <c r="V460" s="931"/>
      <c r="W460" s="931" t="s">
        <v>942</v>
      </c>
      <c r="X460" s="1392"/>
      <c r="Y460" s="8"/>
      <c r="Z460" s="1397"/>
      <c r="AA460" s="8"/>
      <c r="AB460" s="1400"/>
      <c r="AD460" s="960" t="str">
        <f>IF(K460=TRUE,"V","F")</f>
        <v>F</v>
      </c>
      <c r="AE460" s="961"/>
      <c r="AF460" s="960" t="str">
        <f>IF(R460=TRUE,"V","F")</f>
        <v>F</v>
      </c>
      <c r="AG460" s="961"/>
      <c r="AH460" s="960" t="str">
        <f>IF(U460=TRUE,"V","F")</f>
        <v>F</v>
      </c>
      <c r="AI460" s="961"/>
      <c r="AJ460" t="str">
        <f>IF(OR(AD460="V",AF460="V"),IF(H459&gt;H456,"Le NC contribue plus que le coparent","Le coparent joue un plus grand rôle que le NC"),"pas de contexte significatif de la part du coparent et NC")</f>
        <v>pas de contexte significatif de la part du coparent et NC</v>
      </c>
      <c r="AK460" s="10"/>
      <c r="AL460" s="10"/>
      <c r="AM460" s="10"/>
      <c r="AN460" s="631">
        <f>IF(AND($K456=TRUE,$K459=FALSE),AN456,IF(AND($K456=FALSE,$K459=TRUE),AN459,IF(AND($K456=TRUE,$K459=TRUE),AN456+AN459,0)))</f>
        <v>0</v>
      </c>
      <c r="AO460" s="631">
        <f>IF(AND($R456=TRUE,$R459=FALSE),AO456,IF(AND($R456=FALSE,$R459=TRUE),AO459,IF(AND($R456=TRUE,$R459=TRUE),AO456+AO459,0)))</f>
        <v>0</v>
      </c>
      <c r="AP460" s="631">
        <f>IF(AND($U456=TRUE,$U459=FALSE),AP456,IF(AND($U456=FALSE,$U459=TRUE),AP459,IF(AND($U456=TRUE,$U459=TRUE),AP456+AP459,0)))</f>
        <v>0</v>
      </c>
      <c r="AQ460" s="631">
        <f>IF(AND($K456=TRUE,$K459=FALSE),AQ456,IF(AND($K456=FALSE,$K459=TRUE),AQ459,IF(AND($K456=TRUE,$K459=TRUE),AQ456+AQ459,MAX(AQ456,AQ459))))</f>
        <v>12</v>
      </c>
      <c r="AR460" s="631">
        <f>IF(AND($K456=TRUE,$K459=FALSE),AR456,IF(AND($K456=FALSE,$K459=TRUE),AR459,IF(AND($K456=TRUE,$K459=TRUE),AR456+AR459,MAX(AR456,AR459))))</f>
        <v>30</v>
      </c>
      <c r="AS460" s="631">
        <f t="shared" ref="AS460" si="452">IF(AND($R456=TRUE,$R459=FALSE),AS456,IF(AND($R456=FALSE,$R459=TRUE),AS459,IF(AND($R456=TRUE,$R459=TRUE),AS456+AS459,MAX(AS456,AS459))))</f>
        <v>0</v>
      </c>
      <c r="AT460" s="631">
        <f t="shared" ref="AT460" si="453">IF(AND($R456=TRUE,$R459=FALSE),AT456,IF(AND($R456=FALSE,$R459=TRUE),AT459,IF(AND($R456=TRUE,$R459=TRUE),AT456+AT459,MAX(AT456,AT459))))</f>
        <v>0</v>
      </c>
      <c r="AU460" s="631">
        <f t="shared" ref="AU460" si="454">IF(AND($U456=TRUE,$U459=FALSE),AU456,IF(AND($U456=FALSE,$U459=TRUE),AU459,IF(AND($U456=TRUE,$U459=TRUE),AU456+AU459,MAX(AU456,AU459))))</f>
        <v>21</v>
      </c>
      <c r="AV460" s="631">
        <f t="shared" ref="AV460" si="455">IF(AND($U456=TRUE,$U459=FALSE),AV456,IF(AND($U456=FALSE,$U459=TRUE),AV459,IF(AND($U456=TRUE,$U459=TRUE),AV456+AV459,MAX(AV456,AV459))))</f>
        <v>30</v>
      </c>
      <c r="BC460" s="7"/>
      <c r="BD460" s="816"/>
      <c r="BE460" s="110"/>
      <c r="BF460" s="477"/>
      <c r="BG460" s="113"/>
      <c r="BH460" s="481"/>
      <c r="BI460" s="113"/>
      <c r="BJ460" s="482"/>
      <c r="BK460" s="478"/>
    </row>
    <row r="461" spans="2:63" ht="32" customHeight="1" x14ac:dyDescent="0.2">
      <c r="B461" s="2030" t="str">
        <f>'Action-Réaction finale'!Q73</f>
        <v>H: Rôle actif, Réponse au CC, r</v>
      </c>
      <c r="C461" s="313" t="str">
        <f>'Action-Réaction finale'!O73</f>
        <v>E33</v>
      </c>
      <c r="D461" s="26" t="str">
        <f>Test_Bible!B326</f>
        <v/>
      </c>
      <c r="E461" s="101" t="s">
        <v>806</v>
      </c>
      <c r="F461" s="790">
        <f>Test_Bible!P326</f>
        <v>0</v>
      </c>
      <c r="G461" s="789">
        <f>Test_Bible!D326</f>
        <v>3</v>
      </c>
      <c r="H461" s="790">
        <f>F461*G461</f>
        <v>0</v>
      </c>
      <c r="I461" s="1622">
        <v>4</v>
      </c>
      <c r="J461" s="1615">
        <f>$J$18</f>
        <v>10</v>
      </c>
      <c r="K461" s="45" t="b">
        <f>IF(AND(F461&gt;=I461,F461&lt;=J461),TRUE,FALSE)</f>
        <v>0</v>
      </c>
      <c r="L461" s="45"/>
      <c r="M461" s="45"/>
      <c r="N461" s="45"/>
      <c r="O461" s="1623"/>
      <c r="P461" s="1647">
        <v>11</v>
      </c>
      <c r="Q461" s="1648">
        <v>11</v>
      </c>
      <c r="R461" s="1623" t="b">
        <f>IF(AND(F461&gt;=P461,F461&lt;=Q461),TRUE,FALSE)</f>
        <v>0</v>
      </c>
      <c r="S461" s="1622"/>
      <c r="T461" s="1615"/>
      <c r="U461" s="1623"/>
      <c r="V461" s="931"/>
      <c r="W461" s="1403"/>
      <c r="X461" s="1404">
        <v>4</v>
      </c>
      <c r="Y461" s="1405"/>
      <c r="Z461" s="1424">
        <v>11</v>
      </c>
      <c r="AA461" s="1405"/>
      <c r="AB461" s="1416">
        <v>11</v>
      </c>
      <c r="AD461" s="960" t="s">
        <v>945</v>
      </c>
      <c r="AE461" s="961"/>
      <c r="AF461" s="960"/>
      <c r="AG461" s="961"/>
      <c r="AH461" s="960"/>
      <c r="AI461" s="961"/>
      <c r="AK461" s="10"/>
      <c r="AL461" s="10"/>
      <c r="AM461" s="10"/>
      <c r="AN461" s="975">
        <f>IF($K461=TRUE,H461,0)</f>
        <v>0</v>
      </c>
      <c r="AO461" s="975">
        <f>IF($R461=TRUE,H461,0)</f>
        <v>0</v>
      </c>
      <c r="AP461" s="975"/>
      <c r="AQ461" s="1806">
        <f>IF(I461=11,0,G461*I461)</f>
        <v>12</v>
      </c>
      <c r="AR461" s="1806">
        <f>IF(J461=11,0,G461*J461)</f>
        <v>30</v>
      </c>
      <c r="AS461" s="1806">
        <f>IF(P461=11,0,G461*P461)</f>
        <v>0</v>
      </c>
      <c r="AT461" s="1806">
        <f>IF(Q461=11,0,G461*Q461)</f>
        <v>0</v>
      </c>
      <c r="AU461" s="1806"/>
      <c r="AV461" s="1806"/>
      <c r="BC461" s="7"/>
      <c r="BD461" s="816"/>
      <c r="BE461" s="110"/>
      <c r="BF461" s="477"/>
      <c r="BG461" s="113"/>
      <c r="BH461" s="481"/>
      <c r="BI461" s="113"/>
      <c r="BJ461" s="482"/>
      <c r="BK461" s="478"/>
    </row>
    <row r="462" spans="2:63" ht="32" customHeight="1" thickBot="1" x14ac:dyDescent="0.25">
      <c r="B462" s="2030"/>
      <c r="C462" s="313" t="s">
        <v>309</v>
      </c>
      <c r="D462" s="26"/>
      <c r="E462" s="101"/>
      <c r="F462" s="790"/>
      <c r="G462" s="789"/>
      <c r="H462" s="790">
        <f>F462*G462</f>
        <v>0</v>
      </c>
      <c r="I462" s="1647">
        <v>11</v>
      </c>
      <c r="J462" s="1648">
        <v>11</v>
      </c>
      <c r="K462" s="45" t="b">
        <f>IF(AND(F462&gt;=I462,F462&lt;=J462),TRUE,FALSE)</f>
        <v>0</v>
      </c>
      <c r="L462" s="45"/>
      <c r="M462" s="45"/>
      <c r="N462" s="45"/>
      <c r="O462" s="1623"/>
      <c r="P462" s="1647">
        <v>11</v>
      </c>
      <c r="Q462" s="1648">
        <v>11</v>
      </c>
      <c r="R462" s="1623" t="b">
        <f>IF(AND(F462&gt;=P462,F462&lt;=Q462),TRUE,FALSE)</f>
        <v>0</v>
      </c>
      <c r="S462" s="1647"/>
      <c r="T462" s="1648"/>
      <c r="U462" s="1623"/>
      <c r="V462" s="931"/>
      <c r="W462" s="1406" t="s">
        <v>943</v>
      </c>
      <c r="X462" s="1425">
        <v>11</v>
      </c>
      <c r="Y462" s="1426"/>
      <c r="Z462" s="1427">
        <v>11</v>
      </c>
      <c r="AA462" s="1426"/>
      <c r="AB462" s="1421">
        <v>11</v>
      </c>
      <c r="AD462" s="960"/>
      <c r="AE462" s="961"/>
      <c r="AF462" s="960"/>
      <c r="AG462" s="961"/>
      <c r="AH462" s="960"/>
      <c r="AI462" s="961"/>
      <c r="AK462" s="10"/>
      <c r="AL462" s="10"/>
      <c r="AM462" s="10"/>
      <c r="AN462" s="975">
        <f>IF($K462=TRUE,H462,0)</f>
        <v>0</v>
      </c>
      <c r="AO462" s="975">
        <f>IF($R462=TRUE,H462,0)</f>
        <v>0</v>
      </c>
      <c r="AP462" s="975"/>
      <c r="AQ462" s="1806">
        <f>IF(I462=11,0,G462*I462)</f>
        <v>0</v>
      </c>
      <c r="AR462" s="1806">
        <f>IF(J462=11,0,G462*J462)</f>
        <v>0</v>
      </c>
      <c r="AS462" s="1806">
        <f>IF(P462=11,0,G462*P462)</f>
        <v>0</v>
      </c>
      <c r="AT462" s="1806">
        <f>IF(Q462=11,0,G462*Q462)</f>
        <v>0</v>
      </c>
      <c r="AU462" s="1806"/>
      <c r="AV462" s="1806"/>
      <c r="BC462" s="7"/>
      <c r="BD462" s="816"/>
      <c r="BE462" s="110"/>
      <c r="BF462" s="477"/>
      <c r="BG462" s="113"/>
      <c r="BH462" s="481"/>
      <c r="BI462" s="113"/>
      <c r="BJ462" s="482"/>
      <c r="BK462" s="478"/>
    </row>
    <row r="463" spans="2:63" ht="32" customHeight="1" thickBot="1" x14ac:dyDescent="0.25">
      <c r="B463" s="2030"/>
      <c r="C463" s="809" t="s">
        <v>747</v>
      </c>
      <c r="D463" s="810" t="str">
        <f>_xlfn.XLOOKUP(H463,H461:H462,D461:D462)</f>
        <v/>
      </c>
      <c r="E463" s="810" t="str">
        <f>_xlfn.XLOOKUP(H463,H461:H462,E461:E462)</f>
        <v>reproche de ne pas le respecter</v>
      </c>
      <c r="F463" s="811"/>
      <c r="G463" s="811"/>
      <c r="H463" s="811">
        <f>IF(AND(K461=TRUE,K462=FALSE),H461,IF(AND(K461=FALSE,K462=TRUE),H462,MAX(H461,H462)))</f>
        <v>0</v>
      </c>
      <c r="I463" s="1628"/>
      <c r="J463" s="812"/>
      <c r="K463" s="813" t="b">
        <f>IF(AND(K461=FALSE,K462=FALSE),FALSE,TRUE)</f>
        <v>0</v>
      </c>
      <c r="L463" s="1611"/>
      <c r="M463" s="1611"/>
      <c r="N463" s="1611"/>
      <c r="O463" s="1629"/>
      <c r="P463" s="1628"/>
      <c r="Q463" s="812"/>
      <c r="R463" s="813" t="b">
        <f>IF(AND(R461=FALSE,R462=FALSE),FALSE,TRUE)</f>
        <v>0</v>
      </c>
      <c r="S463" s="1628"/>
      <c r="T463" s="812"/>
      <c r="U463" s="813"/>
      <c r="V463" s="931"/>
      <c r="W463" s="931"/>
      <c r="X463" s="1394"/>
      <c r="Z463" s="1398"/>
      <c r="AB463" s="1402"/>
      <c r="AD463" s="960" t="str">
        <f>IF(K463=TRUE,"V","F")</f>
        <v>F</v>
      </c>
      <c r="AE463" s="961"/>
      <c r="AF463" s="960" t="str">
        <f>IF(R463=TRUE,"V","F")</f>
        <v>F</v>
      </c>
      <c r="AG463" s="961"/>
      <c r="AH463" s="960"/>
      <c r="AI463" s="961"/>
      <c r="AK463" s="10"/>
      <c r="AL463" s="10"/>
      <c r="AM463" s="10"/>
      <c r="AN463" s="2102">
        <f>IF(AND($K461=TRUE,$K462=FALSE),AN461,IF(AND($K461=FALSE,$K462=TRUE),AN462,IF(AND($K461=TRUE,$K462=TRUE),MAX(AN461,AN462),0)))</f>
        <v>0</v>
      </c>
      <c r="AO463" s="2102">
        <f>IF(AND($R461=TRUE,$R462=FALSE),AO461,IF(AND($R461=FALSE,$R462=TRUE),AO462,IF(AND($R461=TRUE,$R462=TRUE),MAX(AO461,AO462),0)))</f>
        <v>0</v>
      </c>
      <c r="AP463" s="2102"/>
      <c r="AQ463" s="2102">
        <f>IF(AND($K461=TRUE,$K462=FALSE),AQ461,IF(AND($K461=FALSE,$K462=TRUE),AQ462,IF(AND($K461=TRUE,$K462=TRUE),MAX(AQ461,AQ462),0)))</f>
        <v>0</v>
      </c>
      <c r="AR463" s="2102">
        <f>IF(AND($K461=TRUE,$K462=FALSE),AR461,IF(AND($K461=FALSE,$K462=TRUE),AR462,IF(AND($K461=TRUE,$K462=TRUE),MAX(AR461,AR462),0)))</f>
        <v>0</v>
      </c>
      <c r="AS463" s="2102">
        <f t="shared" ref="AS463" si="456">IF(AND($R461=TRUE,$R462=FALSE),AS461,IF(AND($R461=FALSE,$R462=TRUE),AS462,IF(AND($R461=TRUE,$R462=TRUE),MAX(AS461,AS462),0)))</f>
        <v>0</v>
      </c>
      <c r="AT463" s="2102">
        <f t="shared" ref="AT463" si="457">IF(AND($R461=TRUE,$R462=FALSE),AT461,IF(AND($R461=FALSE,$R462=TRUE),AT462,IF(AND($R461=TRUE,$R462=TRUE),MAX(AT461,AT462),0)))</f>
        <v>0</v>
      </c>
      <c r="AU463" s="2102"/>
      <c r="AV463" s="2102"/>
      <c r="BD463" s="816"/>
      <c r="BE463" s="110"/>
      <c r="BF463" s="477"/>
      <c r="BG463" s="113"/>
      <c r="BH463" s="481"/>
      <c r="BI463" s="113"/>
      <c r="BJ463" s="482"/>
      <c r="BK463" s="478"/>
    </row>
    <row r="464" spans="2:63" ht="32" customHeight="1" x14ac:dyDescent="0.2">
      <c r="B464" s="2030"/>
      <c r="D464" s="421" t="s">
        <v>310</v>
      </c>
      <c r="E464" s="785"/>
      <c r="F464" s="474" t="s">
        <v>398</v>
      </c>
      <c r="G464" s="47"/>
      <c r="H464" s="47">
        <f>IF(AND(K460=TRUE,K463=FALSE),H460,IF(AND(K460=FALSE,K463=TRUE),H463,IF(AND(K460=TRUE,K463=TRUE),H460+H463,MAX(H460,H463))))</f>
        <v>0</v>
      </c>
      <c r="I464" s="1630"/>
      <c r="J464" s="475"/>
      <c r="K464" s="1613"/>
      <c r="L464" s="1614" t="str">
        <f>IF(AND(K463=TRUE,K460=TRUE),E463,"")</f>
        <v/>
      </c>
      <c r="M464" s="1614" t="str">
        <f>IF(AND(K460=TRUE,K463=FALSE),"Bien que le parent "&amp;E460&amp;" l'enfant ne semble pas s'ingérer","")</f>
        <v/>
      </c>
      <c r="N464" s="1614" t="str">
        <f>IF(AND(K460=FALSE,K463=TRUE),E463&amp;" sans signe de la participation du parent favorisé et|ou nouveau conjoint.e","")</f>
        <v/>
      </c>
      <c r="O464" s="1631" t="str">
        <f>IF(AND(K460=FALSE,K463=FALSE),"aucun comportement significatif de cette nature","")</f>
        <v>aucun comportement significatif de cette nature</v>
      </c>
      <c r="P464" s="1630"/>
      <c r="Q464" s="475"/>
      <c r="R464" s="1639"/>
      <c r="S464" s="1630"/>
      <c r="T464" s="475"/>
      <c r="U464" s="1639"/>
      <c r="V464" s="170"/>
      <c r="W464" s="170"/>
      <c r="X464" s="1394"/>
      <c r="Z464" s="1398"/>
      <c r="AB464" s="1402"/>
      <c r="AD464" s="962"/>
      <c r="AE464" s="963">
        <f>IF(AND(AD460="V",AD463="V"),2,IF(OR(AD460="V",AD463="V"),1,0))</f>
        <v>0</v>
      </c>
      <c r="AF464" s="962"/>
      <c r="AG464" s="963">
        <f>IF(OR(AF460="V",AF463="V"),1,0)</f>
        <v>0</v>
      </c>
      <c r="AH464" s="962"/>
      <c r="AI464" s="963"/>
      <c r="AK464" s="10"/>
      <c r="AL464" s="10"/>
      <c r="AM464" s="10"/>
      <c r="AN464" s="2097">
        <f>IF(AND($AD460="V",$AD463="F"),AN460,IF(AND($AD460="F",$AD463="V"),AN463,IF(AND($AD460="V",$AD463="V"),AN460+AN463,0)))</f>
        <v>0</v>
      </c>
      <c r="AO464" s="2097">
        <f>IF(AND($AF460="V",$AF463="F"),AO460,IF(AND($AF460="F",$AF463="V"),AO463,IF(AND($AF460="V",$AF463="V"),AO460+AO463,0)))</f>
        <v>0</v>
      </c>
      <c r="AP464" s="2097"/>
      <c r="AQ464" s="2097">
        <f>IF(AND($AD460="V",$AD463="F"),AQ460,IF(AND($AD460="F",$AD463="V"),AQ463,IF(AND($AD460="V",$AD463="V"),AQ460+AQ463,0)))</f>
        <v>0</v>
      </c>
      <c r="AR464" s="2097">
        <f>IF(AND($AD460="V",$AD463="F"),AR460,IF(AND($AD460="F",$AD463="V"),AR463,IF(AND($AD460="V",$AD463="V"),AR460+AR463,0)))</f>
        <v>0</v>
      </c>
      <c r="AS464" s="2097">
        <f>IF(AND($AF460="V",$AF463="F"),AS460,IF(AND($AF460="F",$AF463="V"),AS463,IF(AND($AF460="V",$AF463="V"),AS460+AS463,0)))</f>
        <v>0</v>
      </c>
      <c r="AT464" s="2097">
        <f>IF(AND($AF460="V",$AF463="F"),AT460,IF(AND($AF460="F",$AF463="V"),AT463,IF(AND($AF460="V",$AF463="V"),AT460+AT463,0)))</f>
        <v>0</v>
      </c>
      <c r="AU464" s="2097"/>
      <c r="AV464" s="2097"/>
      <c r="BD464" s="816"/>
      <c r="BE464" s="110"/>
      <c r="BF464" s="477"/>
      <c r="BG464" s="113"/>
      <c r="BH464" s="481"/>
      <c r="BI464" s="113"/>
      <c r="BJ464" s="482"/>
      <c r="BK464" s="478"/>
    </row>
    <row r="465" spans="2:63" ht="32" customHeight="1" x14ac:dyDescent="0.2">
      <c r="B465" s="2030"/>
      <c r="C465" t="s">
        <v>243</v>
      </c>
      <c r="I465" s="146"/>
      <c r="L465" s="46"/>
      <c r="M465" s="46"/>
      <c r="N465" s="46"/>
      <c r="O465" s="1652"/>
      <c r="P465" s="146"/>
      <c r="R465" s="326"/>
      <c r="S465" s="146"/>
      <c r="U465" s="326"/>
      <c r="V465" s="46"/>
      <c r="AD465" s="960"/>
      <c r="AE465" s="961"/>
      <c r="AF465" s="960"/>
      <c r="AG465" s="961"/>
      <c r="AH465" s="960"/>
      <c r="AI465" s="961"/>
      <c r="AK465" s="10"/>
      <c r="AL465" s="10"/>
      <c r="AM465" s="10"/>
      <c r="AN465" s="975"/>
      <c r="AO465" s="975"/>
      <c r="AP465" s="975"/>
      <c r="AQ465" s="1806"/>
      <c r="AR465" s="1806"/>
      <c r="AS465" s="1806"/>
      <c r="AT465" s="1806"/>
      <c r="AU465" s="1806"/>
      <c r="AV465" s="1806"/>
      <c r="BD465" s="816"/>
      <c r="BE465" s="110"/>
      <c r="BF465" s="477"/>
      <c r="BG465" s="113"/>
      <c r="BH465" s="481"/>
      <c r="BI465" s="113"/>
      <c r="BJ465" s="482"/>
      <c r="BK465" s="478"/>
    </row>
    <row r="466" spans="2:63" ht="32" customHeight="1" x14ac:dyDescent="0.2">
      <c r="B466" s="2030"/>
      <c r="C466" s="964"/>
      <c r="D466" s="972"/>
      <c r="E466" s="965"/>
      <c r="F466" s="973"/>
      <c r="G466" s="973"/>
      <c r="H466" s="973">
        <f>F466*G466</f>
        <v>0</v>
      </c>
      <c r="I466" s="1647">
        <v>11</v>
      </c>
      <c r="J466" s="1648">
        <v>11</v>
      </c>
      <c r="K466" s="45" t="b">
        <f>IF(AND(F466&gt;=I466,F466&lt;=J466),TRUE,FALSE)</f>
        <v>0</v>
      </c>
      <c r="L466" s="32"/>
      <c r="M466" s="32"/>
      <c r="N466" s="32"/>
      <c r="O466" s="1632"/>
      <c r="P466" s="1647">
        <v>11</v>
      </c>
      <c r="Q466" s="1648">
        <v>11</v>
      </c>
      <c r="R466" s="1623" t="b">
        <f>IF(AND(F466&gt;=P466,F466&lt;=Q466),TRUE,FALSE)</f>
        <v>0</v>
      </c>
      <c r="S466" s="1647">
        <v>11</v>
      </c>
      <c r="T466" s="1648">
        <v>11</v>
      </c>
      <c r="U466" s="1623" t="b">
        <f>IF(AND(F466&gt;=S466,F466&lt;=T466),TRUE,FALSE)</f>
        <v>0</v>
      </c>
      <c r="V466" s="46"/>
      <c r="W466" s="1428"/>
      <c r="X466" s="1422">
        <v>11</v>
      </c>
      <c r="Y466" s="1423"/>
      <c r="Z466" s="1424">
        <v>11</v>
      </c>
      <c r="AA466" s="1423"/>
      <c r="AB466" s="1416">
        <v>11</v>
      </c>
      <c r="AD466" s="960"/>
      <c r="AE466" s="961"/>
      <c r="AF466" s="960"/>
      <c r="AG466" s="961"/>
      <c r="AH466" s="960"/>
      <c r="AI466" s="961"/>
      <c r="AK466" s="10"/>
      <c r="AL466" s="10"/>
      <c r="AM466" s="10"/>
      <c r="AN466" s="975">
        <f>IF($K466=TRUE,H466,0)</f>
        <v>0</v>
      </c>
      <c r="AO466" s="975">
        <f>IF($R466=TRUE,H466,0)</f>
        <v>0</v>
      </c>
      <c r="AP466" s="975">
        <f>IF($U466=TRUE,H466,0)</f>
        <v>0</v>
      </c>
      <c r="AQ466" s="1806">
        <f>IF(I466=11,0,G466*I466)</f>
        <v>0</v>
      </c>
      <c r="AR466" s="1806">
        <f>IF(J466=11,0,G466*J466)</f>
        <v>0</v>
      </c>
      <c r="AS466" s="1806">
        <f>IF(P466=11,0,G466*P466)</f>
        <v>0</v>
      </c>
      <c r="AT466" s="1806">
        <f>IF(Q466=11,0,G466*Q466)</f>
        <v>0</v>
      </c>
      <c r="AU466" s="1806">
        <f>IF(S466=11,0,S466*G466)</f>
        <v>0</v>
      </c>
      <c r="AV466" s="1806">
        <f>IF(T466=11,0,T466*G466)</f>
        <v>0</v>
      </c>
      <c r="BD466" s="816"/>
      <c r="BE466" s="110"/>
      <c r="BF466" s="477"/>
      <c r="BG466" s="113"/>
      <c r="BH466" s="481"/>
      <c r="BI466" s="113"/>
      <c r="BJ466" s="482"/>
      <c r="BK466" s="478"/>
    </row>
    <row r="467" spans="2:63" ht="32" customHeight="1" thickBot="1" x14ac:dyDescent="0.25">
      <c r="B467" s="2030"/>
      <c r="C467" s="964"/>
      <c r="D467" s="972"/>
      <c r="E467" s="965"/>
      <c r="F467" s="973"/>
      <c r="G467" s="973"/>
      <c r="H467" s="973">
        <f>F467*G467</f>
        <v>0</v>
      </c>
      <c r="I467" s="1647">
        <v>11</v>
      </c>
      <c r="J467" s="1648">
        <v>11</v>
      </c>
      <c r="K467" s="45" t="b">
        <f>IF(AND(F467&gt;=I467,F467&lt;=J467),TRUE,FALSE)</f>
        <v>0</v>
      </c>
      <c r="L467" s="32"/>
      <c r="M467" s="32"/>
      <c r="N467" s="32"/>
      <c r="O467" s="1632"/>
      <c r="P467" s="1647">
        <v>11</v>
      </c>
      <c r="Q467" s="1648">
        <v>11</v>
      </c>
      <c r="R467" s="1623" t="b">
        <f>IF(AND(F467&gt;=P467,F467&lt;=Q467),TRUE,FALSE)</f>
        <v>0</v>
      </c>
      <c r="S467" s="1647">
        <v>11</v>
      </c>
      <c r="T467" s="1648">
        <v>11</v>
      </c>
      <c r="U467" s="1623" t="b">
        <f>IF(AND(F467&gt;=S467,F467&lt;=T467),TRUE,FALSE)</f>
        <v>0</v>
      </c>
      <c r="W467" s="1429"/>
      <c r="X467" s="1425">
        <v>11</v>
      </c>
      <c r="Y467" s="1426"/>
      <c r="Z467" s="1427">
        <v>11</v>
      </c>
      <c r="AA467" s="1426"/>
      <c r="AB467" s="1421">
        <v>11</v>
      </c>
      <c r="AD467" s="960"/>
      <c r="AE467" s="961"/>
      <c r="AF467" s="960"/>
      <c r="AG467" s="961"/>
      <c r="AH467" s="960"/>
      <c r="AI467" s="961"/>
      <c r="AK467" s="10"/>
      <c r="AL467" s="10"/>
      <c r="AM467" s="10"/>
      <c r="AN467" s="975">
        <f>IF($K467=TRUE,H467,0)</f>
        <v>0</v>
      </c>
      <c r="AO467" s="975">
        <f>IF($R467=TRUE,H467,0)</f>
        <v>0</v>
      </c>
      <c r="AP467" s="975">
        <f>IF($U467=TRUE,H467,0)</f>
        <v>0</v>
      </c>
      <c r="AQ467" s="1806">
        <f>IF(I467=11,0,G467*I467)</f>
        <v>0</v>
      </c>
      <c r="AR467" s="1806">
        <f>IF(J467=11,0,G467*J467)</f>
        <v>0</v>
      </c>
      <c r="AS467" s="1806">
        <f>IF(P467=11,0,G467*P467)</f>
        <v>0</v>
      </c>
      <c r="AT467" s="1806">
        <f>IF(Q467=11,0,G467*Q467)</f>
        <v>0</v>
      </c>
      <c r="AU467" s="1806">
        <f>IF(S467=11,0,S467*G467)</f>
        <v>0</v>
      </c>
      <c r="AV467" s="1806">
        <f>IF(T467=11,0,T467*G467)</f>
        <v>0</v>
      </c>
      <c r="BD467" s="816"/>
      <c r="BE467" s="110"/>
      <c r="BF467" s="477"/>
      <c r="BG467" s="113"/>
      <c r="BH467" s="481"/>
      <c r="BI467" s="113"/>
      <c r="BJ467" s="482"/>
      <c r="BK467" s="478"/>
    </row>
    <row r="468" spans="2:63" ht="32" customHeight="1" thickBot="1" x14ac:dyDescent="0.25">
      <c r="B468" s="2030"/>
      <c r="D468" s="16"/>
      <c r="E468" s="16"/>
      <c r="F468" s="89"/>
      <c r="G468" s="473"/>
      <c r="H468" s="47">
        <f>IF(AND(K466=TRUE,K467=FALSE),H466,IF(AND(K466=FALSE,K467=TRUE),H467,MAX(H466,H467)))</f>
        <v>0</v>
      </c>
      <c r="I468" s="1644"/>
      <c r="J468" s="1645"/>
      <c r="K468" s="1651" t="b">
        <f>IF(AND(K466=FALSE,K467=FALSE),FALSE,TRUE)</f>
        <v>0</v>
      </c>
      <c r="L468" s="1633"/>
      <c r="M468" s="1634"/>
      <c r="N468" s="1634"/>
      <c r="O468" s="1635"/>
      <c r="P468" s="1644"/>
      <c r="Q468" s="1645"/>
      <c r="R468" s="1651" t="b">
        <f>IF(AND(R466=FALSE,R467=FALSE),FALSE,TRUE)</f>
        <v>0</v>
      </c>
      <c r="S468" s="1656"/>
      <c r="T468" s="1657"/>
      <c r="U468" s="1658" t="b">
        <f>IF(AND(U466=FALSE,U467=FALSE),FALSE,TRUE)</f>
        <v>0</v>
      </c>
      <c r="V468" s="933"/>
      <c r="AD468" s="1564" t="str">
        <f>IF(K468=TRUE,"V","F")</f>
        <v>F</v>
      </c>
      <c r="AE468" s="1565"/>
      <c r="AF468" s="1564" t="str">
        <f>IF(R468=TRUE,"V","F")</f>
        <v>F</v>
      </c>
      <c r="AG468" s="1565"/>
      <c r="AH468" s="1564" t="str">
        <f>IF(U468=TRUE,"V","F")</f>
        <v>F</v>
      </c>
      <c r="AI468" s="1565"/>
      <c r="AK468" s="10"/>
      <c r="AL468" s="10"/>
      <c r="AM468" s="10"/>
      <c r="AN468" s="2102">
        <f>IF(AND($K466=TRUE,$K467=FALSE),AN466,IF(AND($K466=FALSE,$K467=TRUE),AN467,MAX(AN466,AN467)))</f>
        <v>0</v>
      </c>
      <c r="AO468" s="2102">
        <f>IF(AND($R466=TRUE,$R467=FALSE),AO466,IF(AND($R466=FALSE,$R467=TRUE),AO467,MAX(AO466,AO467)))</f>
        <v>0</v>
      </c>
      <c r="AP468" s="2102">
        <f>IF(AND($U466=TRUE,$U467=FALSE),AP466,IF(AND($U466=FALSE,$U467=TRUE),AP467,MAX(AP466,AP467)))</f>
        <v>0</v>
      </c>
      <c r="AQ468" s="2102">
        <f>IF(AND($K466=TRUE,$K467=FALSE),AQ466,IF(AND($K466=FALSE,$K467=TRUE),AQ467,MAX(AQ466,AQ467)))</f>
        <v>0</v>
      </c>
      <c r="AR468" s="2102">
        <f>IF(AND($K466=TRUE,$K467=FALSE),AR466,IF(AND($K466=FALSE,$K467=TRUE),AR467,MAX(AR466,AR467)))</f>
        <v>0</v>
      </c>
      <c r="AS468" s="2102">
        <f>IF(AND($R466=TRUE,$R467=FALSE),AS466,IF(AND($R466=FALSE,$R467=TRUE),AS467,MAX(AS466,AS467)))</f>
        <v>0</v>
      </c>
      <c r="AT468" s="2102">
        <f>IF(AND($R466=TRUE,$R467=FALSE),AT466,IF(AND($R466=FALSE,$R467=TRUE),AT467,MAX(AT466,AT467)))</f>
        <v>0</v>
      </c>
      <c r="AU468" s="2102">
        <f>IF(AND($U466=TRUE,$U467=FALSE),AU466,IF(AND($U466=FALSE,$U467=TRUE),AU467,MAX(AU466,AU467)))</f>
        <v>0</v>
      </c>
      <c r="AV468" s="2102">
        <f>IF(AND($U466=TRUE,$U467=FALSE),AV466,IF(AND($U466=FALSE,$U467=TRUE),AV467,MAX(AV466,AV467)))</f>
        <v>0</v>
      </c>
      <c r="BD468" s="816"/>
      <c r="BE468" s="110"/>
      <c r="BF468" s="477"/>
      <c r="BG468" s="113"/>
      <c r="BH468" s="481"/>
      <c r="BI468" s="113"/>
      <c r="BJ468" s="482"/>
      <c r="BK468" s="478"/>
    </row>
    <row r="469" spans="2:63" ht="32" customHeight="1" thickBot="1" x14ac:dyDescent="0.35">
      <c r="D469" s="16"/>
      <c r="E469" s="16"/>
      <c r="F469" s="89"/>
      <c r="G469" s="473"/>
      <c r="H469" s="473"/>
      <c r="I469" s="8"/>
      <c r="J469" s="8"/>
      <c r="K469" s="932"/>
      <c r="L469" s="933"/>
      <c r="M469" s="933"/>
      <c r="N469" s="933"/>
      <c r="O469" s="933"/>
      <c r="P469" s="933"/>
      <c r="Q469" s="933"/>
      <c r="R469" s="933"/>
      <c r="S469" s="933"/>
      <c r="T469" s="933"/>
      <c r="U469" s="933"/>
      <c r="V469" s="933"/>
      <c r="W469" s="933"/>
      <c r="X469" s="8"/>
      <c r="Y469" s="8"/>
      <c r="Z469" s="8"/>
      <c r="AA469" s="8"/>
      <c r="AB469" s="8"/>
      <c r="AD469" s="1649"/>
      <c r="AE469" s="1650">
        <f>IF(AND(AD468="V",AD460="V"),AE464-1,AE464)</f>
        <v>0</v>
      </c>
      <c r="AF469" s="1649"/>
      <c r="AG469" s="1650">
        <f>IF(OR(AF460="V",AF463="V",AF468="V"),1,0)</f>
        <v>0</v>
      </c>
      <c r="AH469" s="1649"/>
      <c r="AI469" s="1650">
        <f>IF(AH460="V",1,IF(AH468="V",1,0))</f>
        <v>0</v>
      </c>
      <c r="AK469" s="10">
        <v>1</v>
      </c>
      <c r="AL469" s="10"/>
      <c r="AM469" s="10">
        <v>1</v>
      </c>
      <c r="AN469" s="2101">
        <f>IF($AD468="F",AN464,AN464+AN468)</f>
        <v>0</v>
      </c>
      <c r="AO469" s="2101">
        <f>IF($AF468="F",AO464,AO464+AO468)</f>
        <v>0</v>
      </c>
      <c r="AP469" s="2101">
        <f>IF(AND($AH460="V",$AH468="F"),AP460,IF(AND($AH460="F",$AH468="V"),AP468,IF(AND($AH460="V",$AH468="V"),AP460+AP468,0)))</f>
        <v>0</v>
      </c>
      <c r="AQ469" s="2101">
        <f>IF($AD468="F",AQ464,AQ464+AQ468)</f>
        <v>0</v>
      </c>
      <c r="AR469" s="2101">
        <f t="shared" ref="AR469" si="458">IF($AD468="F",AR464,AR464+AR468)</f>
        <v>0</v>
      </c>
      <c r="AS469" s="2101">
        <f t="shared" ref="AS469" si="459">IF($AF468="F",AS464,AS464+AS468)</f>
        <v>0</v>
      </c>
      <c r="AT469" s="2101">
        <f t="shared" ref="AT469" si="460">IF($AF468="F",AT464,AT464+AT468)</f>
        <v>0</v>
      </c>
      <c r="AU469" s="2101">
        <f t="shared" ref="AU469" si="461">IF(AND($AH460="V",$AH468="F"),AU460,IF(AND($AH460="F",$AH468="V"),AU468,IF(AND($AH460="V",$AH468="V"),AU460+AU468,0)))</f>
        <v>0</v>
      </c>
      <c r="AV469" s="2101">
        <f t="shared" ref="AV469" si="462">IF(AND($AH460="V",$AH468="F"),AV460,IF(AND($AH460="F",$AH468="V"),AV468,IF(AND($AH460="V",$AH468="V"),AV460+AV468,0)))</f>
        <v>0</v>
      </c>
      <c r="BD469" s="816"/>
      <c r="BE469" s="110"/>
      <c r="BF469" s="477"/>
      <c r="BG469" s="113"/>
      <c r="BH469" s="481"/>
      <c r="BI469" s="113"/>
      <c r="BJ469" s="482"/>
      <c r="BK469" s="478"/>
    </row>
    <row r="470" spans="2:63" ht="32" customHeight="1" x14ac:dyDescent="0.3">
      <c r="D470" s="16"/>
      <c r="E470" s="16"/>
      <c r="F470" s="89"/>
      <c r="G470" s="473"/>
      <c r="H470" s="473"/>
      <c r="I470" s="1616"/>
      <c r="J470" s="1617"/>
      <c r="K470" s="1618"/>
      <c r="L470" s="2268"/>
      <c r="M470" s="2268"/>
      <c r="N470" s="2268"/>
      <c r="O470" s="1619"/>
      <c r="P470" s="1636"/>
      <c r="Q470" s="1618"/>
      <c r="R470" s="1619"/>
      <c r="S470" s="1636"/>
      <c r="T470" s="1618"/>
      <c r="U470" s="1619"/>
      <c r="V470" s="170"/>
      <c r="W470" s="170"/>
      <c r="X470" s="8"/>
      <c r="Y470" s="8"/>
      <c r="Z470" s="8"/>
      <c r="AA470" s="8"/>
      <c r="AB470" s="8"/>
      <c r="AD470" s="1668"/>
      <c r="AE470" s="1669"/>
      <c r="AF470" s="1409"/>
      <c r="AG470" s="1409"/>
      <c r="AH470" s="1409"/>
      <c r="AI470" s="1409"/>
      <c r="AK470" s="10"/>
      <c r="AL470" s="10"/>
      <c r="AM470" s="10"/>
      <c r="BD470" s="816"/>
      <c r="BE470" s="110"/>
      <c r="BF470" s="477"/>
      <c r="BG470" s="113"/>
      <c r="BH470" s="481"/>
      <c r="BI470" s="113"/>
      <c r="BJ470" s="482"/>
      <c r="BK470" s="478"/>
    </row>
    <row r="471" spans="2:63" ht="32" customHeight="1" x14ac:dyDescent="0.3">
      <c r="B471" s="2029">
        <v>24</v>
      </c>
      <c r="D471" s="476" t="s">
        <v>715</v>
      </c>
      <c r="E471" s="107"/>
      <c r="F471" s="65"/>
      <c r="G471" s="18"/>
      <c r="H471" s="18"/>
      <c r="I471" s="2255" t="s">
        <v>734</v>
      </c>
      <c r="J471" s="2256"/>
      <c r="K471" s="2256"/>
      <c r="L471" s="2257" t="s">
        <v>1378</v>
      </c>
      <c r="M471" s="2257"/>
      <c r="N471" s="2257"/>
      <c r="O471" s="2258"/>
      <c r="P471" s="2259" t="s">
        <v>733</v>
      </c>
      <c r="Q471" s="2260"/>
      <c r="R471" s="2261"/>
      <c r="S471" s="2262" t="s">
        <v>735</v>
      </c>
      <c r="T471" s="2263"/>
      <c r="U471" s="2264"/>
      <c r="V471" s="15"/>
      <c r="W471" s="15"/>
      <c r="AD471" s="956"/>
      <c r="AE471" s="956"/>
      <c r="AF471" s="956"/>
      <c r="AG471" s="956"/>
      <c r="AH471" s="956"/>
      <c r="AI471" s="957"/>
      <c r="AK471" s="10"/>
      <c r="AL471" s="10"/>
      <c r="AM471" s="10"/>
      <c r="AN471" s="1659" t="s">
        <v>734</v>
      </c>
      <c r="AO471" s="1659" t="s">
        <v>733</v>
      </c>
      <c r="AP471" s="1659" t="s">
        <v>735</v>
      </c>
      <c r="AQ471" s="2254" t="s">
        <v>734</v>
      </c>
      <c r="AR471" s="2254"/>
      <c r="AS471" s="2254" t="s">
        <v>733</v>
      </c>
      <c r="AT471" s="2254"/>
      <c r="AU471" s="2254" t="s">
        <v>735</v>
      </c>
      <c r="AV471" s="2254"/>
      <c r="BD471" s="816"/>
      <c r="BE471" s="110"/>
      <c r="BF471" s="477"/>
      <c r="BG471" s="113"/>
      <c r="BH471" s="481"/>
      <c r="BI471" s="113"/>
      <c r="BJ471" s="482"/>
      <c r="BK471" s="478"/>
    </row>
    <row r="472" spans="2:63" ht="32" customHeight="1" x14ac:dyDescent="0.2">
      <c r="B472" s="2030"/>
      <c r="D472" s="102" t="s">
        <v>998</v>
      </c>
      <c r="E472" s="983" t="s">
        <v>997</v>
      </c>
      <c r="F472" s="32" t="s">
        <v>748</v>
      </c>
      <c r="G472" s="32" t="s">
        <v>749</v>
      </c>
      <c r="H472" s="32" t="s">
        <v>750</v>
      </c>
      <c r="I472" s="1620" t="s">
        <v>306</v>
      </c>
      <c r="J472" s="43" t="s">
        <v>307</v>
      </c>
      <c r="K472" s="43" t="s">
        <v>308</v>
      </c>
      <c r="L472" s="43" t="s">
        <v>413</v>
      </c>
      <c r="M472" s="43" t="s">
        <v>388</v>
      </c>
      <c r="N472" s="43" t="s">
        <v>389</v>
      </c>
      <c r="O472" s="1621" t="s">
        <v>390</v>
      </c>
      <c r="P472" s="1620" t="s">
        <v>306</v>
      </c>
      <c r="Q472" s="43" t="s">
        <v>307</v>
      </c>
      <c r="R472" s="1621" t="s">
        <v>308</v>
      </c>
      <c r="S472" s="1620" t="s">
        <v>306</v>
      </c>
      <c r="T472" s="43" t="s">
        <v>307</v>
      </c>
      <c r="U472" s="1621" t="s">
        <v>308</v>
      </c>
      <c r="V472" s="818"/>
      <c r="W472" s="955" t="s">
        <v>928</v>
      </c>
      <c r="X472" s="1391" t="s">
        <v>734</v>
      </c>
      <c r="Y472" s="955" t="s">
        <v>928</v>
      </c>
      <c r="Z472" s="1395" t="s">
        <v>733</v>
      </c>
      <c r="AA472" s="955"/>
      <c r="AB472" s="1399" t="s">
        <v>735</v>
      </c>
      <c r="AD472" s="970" t="s">
        <v>734</v>
      </c>
      <c r="AE472" s="971" t="s">
        <v>946</v>
      </c>
      <c r="AF472" s="970" t="s">
        <v>733</v>
      </c>
      <c r="AG472" s="971" t="s">
        <v>947</v>
      </c>
      <c r="AH472" s="970" t="s">
        <v>735</v>
      </c>
      <c r="AI472" s="971" t="s">
        <v>948</v>
      </c>
      <c r="AK472" s="10"/>
      <c r="AL472" s="10"/>
      <c r="AM472" s="10"/>
      <c r="AN472" s="10"/>
      <c r="AO472" s="10"/>
      <c r="AP472" s="10"/>
      <c r="AQ472" s="1806" t="s">
        <v>1322</v>
      </c>
      <c r="AR472" s="1806" t="s">
        <v>1323</v>
      </c>
      <c r="AS472" s="1806" t="s">
        <v>1322</v>
      </c>
      <c r="AT472" s="1806" t="s">
        <v>1323</v>
      </c>
      <c r="AU472" s="1806" t="s">
        <v>1322</v>
      </c>
      <c r="AV472" s="1806" t="s">
        <v>1323</v>
      </c>
      <c r="BD472" s="816"/>
      <c r="BE472" s="110"/>
      <c r="BF472" s="477"/>
      <c r="BG472" s="113"/>
      <c r="BH472" s="481"/>
      <c r="BI472" s="113"/>
      <c r="BJ472" s="482"/>
      <c r="BK472" s="478"/>
    </row>
    <row r="473" spans="2:63" ht="48" x14ac:dyDescent="0.2">
      <c r="B473" s="2030" t="str">
        <f>'Action-Réaction finale'!I75</f>
        <v>C: Chantage affectif, loyauté, manipulation</v>
      </c>
      <c r="C473" s="414" t="str">
        <f>'Action-Réaction finale'!G75</f>
        <v>PFA36</v>
      </c>
      <c r="D473" s="26" t="str">
        <f>Test_Bible!B250</f>
        <v/>
      </c>
      <c r="E473" s="101" t="s">
        <v>807</v>
      </c>
      <c r="F473" s="790">
        <f>Test_Bible!P250</f>
        <v>0</v>
      </c>
      <c r="G473" s="789">
        <f>Test_Bible!D250</f>
        <v>3</v>
      </c>
      <c r="H473" s="790">
        <f>F473*G473</f>
        <v>0</v>
      </c>
      <c r="I473" s="1622">
        <v>4</v>
      </c>
      <c r="J473" s="1615">
        <v>10</v>
      </c>
      <c r="K473" s="45" t="b">
        <f>IF(AND(F473&gt;=I473,F473&lt;=J473),TRUE,FALSE)</f>
        <v>0</v>
      </c>
      <c r="L473" s="45"/>
      <c r="M473" s="45"/>
      <c r="N473" s="45"/>
      <c r="O473" s="1623"/>
      <c r="P473" s="1622">
        <v>2</v>
      </c>
      <c r="Q473" s="1615">
        <v>7</v>
      </c>
      <c r="R473" s="1623" t="b">
        <f>IF(AND(F473&gt;=P473,F473&lt;=Q473),TRUE,FALSE)</f>
        <v>0</v>
      </c>
      <c r="S473" s="1647">
        <v>11</v>
      </c>
      <c r="T473" s="1648">
        <v>11</v>
      </c>
      <c r="U473" s="1623" t="b">
        <f>IF(AND(F473&gt;=S473,F473&lt;=T473),TRUE,FALSE)</f>
        <v>0</v>
      </c>
      <c r="V473" s="931"/>
      <c r="W473" s="1403"/>
      <c r="X473" s="1404">
        <v>4</v>
      </c>
      <c r="Y473" s="1405"/>
      <c r="Z473" s="1408">
        <v>2</v>
      </c>
      <c r="AA473" s="1405"/>
      <c r="AB473" s="1416">
        <v>11</v>
      </c>
      <c r="AD473" s="958"/>
      <c r="AE473" s="959"/>
      <c r="AF473" s="958"/>
      <c r="AG473" s="959"/>
      <c r="AH473" s="958"/>
      <c r="AI473" s="959"/>
      <c r="AK473" s="10"/>
      <c r="AL473" s="10"/>
      <c r="AM473" s="10"/>
      <c r="AN473" s="975">
        <f>IF($K473=TRUE,H473,0)</f>
        <v>0</v>
      </c>
      <c r="AO473" s="975">
        <f>IF($R473=TRUE,H473,0)</f>
        <v>0</v>
      </c>
      <c r="AP473" s="975">
        <f>IF($U473=TRUE,H473,0)</f>
        <v>0</v>
      </c>
      <c r="AQ473" s="1806">
        <f>IF(I473=11,0,G473*I473)</f>
        <v>12</v>
      </c>
      <c r="AR473" s="1806">
        <f>IF(J473=11,0,G473*J473)</f>
        <v>30</v>
      </c>
      <c r="AS473" s="1806">
        <f>IF(P473=11,0,G473*P473)</f>
        <v>6</v>
      </c>
      <c r="AT473" s="1806">
        <f>IF(Q473=11,0,G473*Q473)</f>
        <v>21</v>
      </c>
      <c r="AU473" s="1806">
        <f>IF(S473=11,0,S473*G473)</f>
        <v>0</v>
      </c>
      <c r="AV473" s="1806">
        <f>IF(T473=11,0,T473*G473)</f>
        <v>0</v>
      </c>
      <c r="BD473" s="816"/>
      <c r="BE473" s="110"/>
      <c r="BF473" s="477"/>
      <c r="BG473" s="113"/>
      <c r="BH473" s="481"/>
      <c r="BI473" s="113"/>
      <c r="BJ473" s="482"/>
      <c r="BK473" s="478"/>
    </row>
    <row r="474" spans="2:63" ht="32" customHeight="1" x14ac:dyDescent="0.2">
      <c r="B474" s="2030" t="str">
        <f>'Action-Réaction finale'!I76</f>
        <v>F: Interférence lien affectif ou symbolique</v>
      </c>
      <c r="C474" s="414" t="str">
        <f>'Action-Réaction finale'!G76</f>
        <v>PFA30</v>
      </c>
      <c r="D474" s="26" t="str">
        <f>Test_Bible!B234</f>
        <v>L’autre parent incite, consciemment ou inconsciemment, votre enfant à choisir entre ses deux parents.</v>
      </c>
      <c r="E474" s="101" t="s">
        <v>399</v>
      </c>
      <c r="F474" s="790">
        <f>Test_Bible!P234</f>
        <v>0</v>
      </c>
      <c r="G474" s="789">
        <f>Test_Bible!D234</f>
        <v>3</v>
      </c>
      <c r="H474" s="790">
        <f>F474*G474</f>
        <v>0</v>
      </c>
      <c r="I474" s="1622">
        <v>2</v>
      </c>
      <c r="J474" s="1615">
        <v>10</v>
      </c>
      <c r="K474" s="45" t="b">
        <f>IF(AND(F474&gt;=I474,F474&lt;=J474),TRUE,FALSE)</f>
        <v>0</v>
      </c>
      <c r="L474" s="45"/>
      <c r="M474" s="45"/>
      <c r="N474" s="45"/>
      <c r="O474" s="1623"/>
      <c r="P474" s="1622">
        <v>2</v>
      </c>
      <c r="Q474" s="1615">
        <v>7</v>
      </c>
      <c r="R474" s="1623" t="b">
        <f>IF(AND(F474&gt;=P474,F474&lt;=Q474),TRUE,FALSE)</f>
        <v>0</v>
      </c>
      <c r="S474" s="1647">
        <v>11</v>
      </c>
      <c r="T474" s="1648">
        <v>11</v>
      </c>
      <c r="U474" s="1623" t="b">
        <f>IF(AND(F474&gt;=S474,F474&lt;=T474),TRUE,FALSE)</f>
        <v>0</v>
      </c>
      <c r="V474" s="931"/>
      <c r="W474" s="1406" t="s">
        <v>943</v>
      </c>
      <c r="X474" s="1411">
        <v>2</v>
      </c>
      <c r="Y474" s="1412"/>
      <c r="Z474" s="1413">
        <v>2</v>
      </c>
      <c r="AA474" s="1412"/>
      <c r="AB474" s="1421">
        <v>11</v>
      </c>
      <c r="AD474" s="960"/>
      <c r="AE474" s="961"/>
      <c r="AF474" s="960"/>
      <c r="AG474" s="961"/>
      <c r="AH474" s="960"/>
      <c r="AI474" s="961"/>
      <c r="AK474" s="10"/>
      <c r="AL474" s="10"/>
      <c r="AM474" s="10"/>
      <c r="AN474" s="975">
        <f>IF($K474=TRUE,H474,0)</f>
        <v>0</v>
      </c>
      <c r="AO474" s="975">
        <f>IF($R474=TRUE,H474,0)</f>
        <v>0</v>
      </c>
      <c r="AP474" s="975">
        <f>IF($U474=TRUE,H474,0)</f>
        <v>0</v>
      </c>
      <c r="AQ474" s="1806">
        <f>IF(I474=11,0,G474*I474)</f>
        <v>6</v>
      </c>
      <c r="AR474" s="1806">
        <f>IF(J474=11,0,G474*J474)</f>
        <v>30</v>
      </c>
      <c r="AS474" s="1806">
        <f>IF(P474=11,0,G474*P474)</f>
        <v>6</v>
      </c>
      <c r="AT474" s="1806">
        <f>IF(Q474=11,0,G474*Q474)</f>
        <v>21</v>
      </c>
      <c r="AU474" s="1806">
        <f>IF(S474=11,0,S474*G474)</f>
        <v>0</v>
      </c>
      <c r="AV474" s="1806">
        <f>IF(T474=11,0,T474*G474)</f>
        <v>0</v>
      </c>
      <c r="BD474" s="816"/>
      <c r="BE474" s="110"/>
      <c r="BF474" s="477"/>
      <c r="BG474" s="113"/>
      <c r="BH474" s="481"/>
      <c r="BI474" s="113"/>
      <c r="BJ474" s="482"/>
      <c r="BK474" s="478"/>
    </row>
    <row r="475" spans="2:63" ht="32" customHeight="1" x14ac:dyDescent="0.2">
      <c r="B475" s="2030"/>
      <c r="C475" s="792" t="s">
        <v>745</v>
      </c>
      <c r="D475" s="793" t="str">
        <f>_xlfn.XLOOKUP(H475,H473:H474,D473:D474)</f>
        <v/>
      </c>
      <c r="E475" s="794" t="str">
        <f>_xlfn.XLOOKUP(H475,H473:H474,E473:E474)</f>
        <v>est d'avis que l'enfant est assez mature pour choisir</v>
      </c>
      <c r="F475" s="795"/>
      <c r="G475" s="795"/>
      <c r="H475" s="795">
        <f>IF(AND(K473=TRUE,K474=FALSE),H473,IF(AND(K473=FALSE,K474=TRUE),H474,MAX(H473,H474)))</f>
        <v>0</v>
      </c>
      <c r="I475" s="1624"/>
      <c r="J475" s="796"/>
      <c r="K475" s="797" t="b">
        <f>IF(AND(K473=FALSE,K474=FALSE),FALSE,TRUE)</f>
        <v>0</v>
      </c>
      <c r="L475" s="45"/>
      <c r="M475" s="45"/>
      <c r="N475" s="45"/>
      <c r="O475" s="1623"/>
      <c r="P475" s="1624"/>
      <c r="Q475" s="796"/>
      <c r="R475" s="1637" t="b">
        <f>IF(AND(R473=FALSE,R474=FALSE),FALSE,TRUE)</f>
        <v>0</v>
      </c>
      <c r="S475" s="1624"/>
      <c r="T475" s="796"/>
      <c r="U475" s="1637" t="b">
        <f>IF(AND(U473=FALSE,U474=FALSE),FALSE,TRUE)</f>
        <v>0</v>
      </c>
      <c r="V475" s="931"/>
      <c r="W475" s="931" t="s">
        <v>943</v>
      </c>
      <c r="X475" s="1392"/>
      <c r="Y475" s="8"/>
      <c r="Z475" s="1397"/>
      <c r="AA475" s="8"/>
      <c r="AB475" s="1400"/>
      <c r="AD475" s="960"/>
      <c r="AE475" s="961"/>
      <c r="AF475" s="960"/>
      <c r="AG475" s="961"/>
      <c r="AH475" s="960"/>
      <c r="AI475" s="961"/>
      <c r="AK475" s="10"/>
      <c r="AL475" s="10"/>
      <c r="AM475" s="10"/>
      <c r="AN475" s="2100">
        <f>IF($K475=TRUE,MAX(AN473:AN474),0)</f>
        <v>0</v>
      </c>
      <c r="AO475" s="2100">
        <f>IF($R475=TRUE,MAX(AO473:AO474),0)</f>
        <v>0</v>
      </c>
      <c r="AP475" s="2100">
        <f>IF($U475=TRUE,MAX(AP473:AP474),0)</f>
        <v>0</v>
      </c>
      <c r="AQ475" s="2099">
        <f>MAX(AQ473:AQ474)</f>
        <v>12</v>
      </c>
      <c r="AR475" s="2099">
        <f t="shared" ref="AR475" si="463">MAX(AR473:AR474)</f>
        <v>30</v>
      </c>
      <c r="AS475" s="2099">
        <f t="shared" ref="AS475" si="464">MAX(AS473:AS474)</f>
        <v>6</v>
      </c>
      <c r="AT475" s="2099">
        <f t="shared" ref="AT475" si="465">MAX(AT473:AT474)</f>
        <v>21</v>
      </c>
      <c r="AU475" s="2099">
        <f t="shared" ref="AU475" si="466">MAX(AU473:AU474)</f>
        <v>0</v>
      </c>
      <c r="AV475" s="2099">
        <f t="shared" ref="AV475" si="467">MAX(AV473:AV474)</f>
        <v>0</v>
      </c>
      <c r="BD475" s="816"/>
      <c r="BE475" s="110"/>
      <c r="BF475" s="477"/>
      <c r="BG475" s="113"/>
      <c r="BH475" s="481"/>
      <c r="BI475" s="113"/>
      <c r="BJ475" s="482"/>
      <c r="BK475" s="478"/>
    </row>
    <row r="476" spans="2:63" ht="32" customHeight="1" x14ac:dyDescent="0.2">
      <c r="B476" s="2030"/>
      <c r="C476" s="52" t="s">
        <v>247</v>
      </c>
      <c r="D476" s="26"/>
      <c r="E476" s="101"/>
      <c r="F476" s="790"/>
      <c r="G476" s="789"/>
      <c r="H476" s="790">
        <f>F476*G476</f>
        <v>0</v>
      </c>
      <c r="I476" s="1647">
        <v>11</v>
      </c>
      <c r="J476" s="1648">
        <v>11</v>
      </c>
      <c r="K476" s="45" t="b">
        <f>IF(AND(F476&gt;=I476,F476&lt;=J476),TRUE,FALSE)</f>
        <v>0</v>
      </c>
      <c r="L476" s="45"/>
      <c r="M476" s="45"/>
      <c r="N476" s="45"/>
      <c r="O476" s="1623"/>
      <c r="P476" s="1647">
        <v>11</v>
      </c>
      <c r="Q476" s="1648">
        <v>11</v>
      </c>
      <c r="R476" s="1623" t="b">
        <f>IF(AND(F476&gt;=P476,F476&lt;=Q476),TRUE,FALSE)</f>
        <v>0</v>
      </c>
      <c r="S476" s="1647">
        <v>11</v>
      </c>
      <c r="T476" s="1648">
        <v>11</v>
      </c>
      <c r="U476" s="1623" t="b">
        <f>IF(AND(F476&gt;=S476,F476&lt;=T476),TRUE,FALSE)</f>
        <v>0</v>
      </c>
      <c r="V476" s="931"/>
      <c r="W476" s="1403"/>
      <c r="X476" s="1422">
        <v>11</v>
      </c>
      <c r="Y476" s="1423"/>
      <c r="Z476" s="1424">
        <v>11</v>
      </c>
      <c r="AA476" s="1423"/>
      <c r="AB476" s="1416">
        <v>11</v>
      </c>
      <c r="AD476" s="960"/>
      <c r="AE476" s="961"/>
      <c r="AF476" s="960"/>
      <c r="AG476" s="961"/>
      <c r="AH476" s="960"/>
      <c r="AI476" s="961"/>
      <c r="AK476" s="10"/>
      <c r="AL476" s="10"/>
      <c r="AM476" s="10"/>
      <c r="AN476" s="975">
        <f>IF(K476=TRUE,H476,0)</f>
        <v>0</v>
      </c>
      <c r="AO476" s="975">
        <f>IF(R476=TRUE,H476,0)</f>
        <v>0</v>
      </c>
      <c r="AP476" s="975">
        <f>IF(U476=TRUE,H476,0)</f>
        <v>0</v>
      </c>
      <c r="AQ476" s="1806">
        <f>IF(I476=11,0,G476*I476)</f>
        <v>0</v>
      </c>
      <c r="AR476" s="1806">
        <f>IF(J476=11,0,G476*J476)</f>
        <v>0</v>
      </c>
      <c r="AS476" s="1806">
        <f>IF(P476=11,0,G476*P476)</f>
        <v>0</v>
      </c>
      <c r="AT476" s="1806">
        <f>IF(Q476=11,0,G476*Q476)</f>
        <v>0</v>
      </c>
      <c r="AU476" s="1806">
        <f>IF(S476=11,0,S476*G476)</f>
        <v>0</v>
      </c>
      <c r="AV476" s="1806">
        <f>IF(T476=11,0,T476*G476)</f>
        <v>0</v>
      </c>
    </row>
    <row r="477" spans="2:63" ht="32" customHeight="1" x14ac:dyDescent="0.2">
      <c r="B477" s="2030"/>
      <c r="C477" s="52" t="s">
        <v>247</v>
      </c>
      <c r="D477" s="26"/>
      <c r="E477" s="62"/>
      <c r="F477" s="35"/>
      <c r="G477" s="35"/>
      <c r="H477" s="35">
        <f>F477*G477</f>
        <v>0</v>
      </c>
      <c r="I477" s="1647">
        <v>11</v>
      </c>
      <c r="J477" s="1648">
        <v>11</v>
      </c>
      <c r="K477" s="45" t="b">
        <f>IF(AND(F477&gt;=I477,F477&lt;=J477),TRUE,FALSE)</f>
        <v>0</v>
      </c>
      <c r="L477" s="45"/>
      <c r="M477" s="45"/>
      <c r="N477" s="45"/>
      <c r="O477" s="1623"/>
      <c r="P477" s="1647">
        <v>11</v>
      </c>
      <c r="Q477" s="1648">
        <v>11</v>
      </c>
      <c r="R477" s="1623" t="b">
        <f>IF(AND(F477&gt;=P477,F477&lt;=Q477),TRUE,FALSE)</f>
        <v>0</v>
      </c>
      <c r="S477" s="1647">
        <v>11</v>
      </c>
      <c r="T477" s="1648">
        <v>11</v>
      </c>
      <c r="U477" s="1623" t="b">
        <f>IF(AND(F477&gt;=S477,F477&lt;=T477),TRUE,FALSE)</f>
        <v>0</v>
      </c>
      <c r="V477" s="931"/>
      <c r="W477" s="1406" t="s">
        <v>943</v>
      </c>
      <c r="X477" s="1425">
        <v>11</v>
      </c>
      <c r="Y477" s="1426"/>
      <c r="Z477" s="1427">
        <v>11</v>
      </c>
      <c r="AA477" s="1426"/>
      <c r="AB477" s="1421">
        <v>11</v>
      </c>
      <c r="AD477" s="960"/>
      <c r="AE477" s="961"/>
      <c r="AF477" s="960"/>
      <c r="AG477" s="961"/>
      <c r="AH477" s="960"/>
      <c r="AI477" s="961"/>
      <c r="AK477" s="10"/>
      <c r="AL477" s="10"/>
      <c r="AM477" s="10"/>
      <c r="AN477" s="975">
        <f>IF(K477=TRUE,H477,0)</f>
        <v>0</v>
      </c>
      <c r="AO477" s="975">
        <f>IF(R477=TRUE,H477,0)</f>
        <v>0</v>
      </c>
      <c r="AP477" s="975">
        <f>IF(U477=TRUE,H477,0)</f>
        <v>0</v>
      </c>
      <c r="AQ477" s="1806">
        <f>IF(I477=11,0,G477*I477)</f>
        <v>0</v>
      </c>
      <c r="AR477" s="1806">
        <f>IF(J477=11,0,G477*J477)</f>
        <v>0</v>
      </c>
      <c r="AS477" s="1806">
        <f>IF(P477=11,0,G477*P477)</f>
        <v>0</v>
      </c>
      <c r="AT477" s="1806">
        <f>IF(Q477=11,0,G477*Q477)</f>
        <v>0</v>
      </c>
      <c r="AU477" s="1806">
        <f>IF(S477=11,0,S477*G477)</f>
        <v>0</v>
      </c>
      <c r="AV477" s="1806">
        <f>IF(T477=11,0,T477*G477)</f>
        <v>0</v>
      </c>
      <c r="BC477" s="7"/>
      <c r="BD477" s="816"/>
      <c r="BE477" s="110"/>
      <c r="BF477" s="477"/>
      <c r="BG477" s="113"/>
      <c r="BH477" s="481"/>
      <c r="BI477" s="113"/>
      <c r="BJ477" s="482"/>
      <c r="BK477" s="478"/>
    </row>
    <row r="478" spans="2:63" ht="32" customHeight="1" thickBot="1" x14ac:dyDescent="0.25">
      <c r="B478" s="2030"/>
      <c r="C478" s="798" t="s">
        <v>746</v>
      </c>
      <c r="D478" s="799">
        <f>_xlfn.XLOOKUP(H478,H476:H477,D476:D477)</f>
        <v>0</v>
      </c>
      <c r="E478" s="800">
        <f>_xlfn.XLOOKUP(H478,H476:H477,E476:E477)</f>
        <v>0</v>
      </c>
      <c r="F478" s="801"/>
      <c r="G478" s="801"/>
      <c r="H478" s="795">
        <f>IF(AND(K476=TRUE,K477=FALSE),H476,IF(AND(K476=FALSE,K477=TRUE),H477,MAX(H476,H477)))</f>
        <v>0</v>
      </c>
      <c r="I478" s="1625"/>
      <c r="J478" s="802"/>
      <c r="K478" s="803" t="b">
        <f>IF(AND(K476=FALSE,K477=FALSE),FALSE,TRUE)</f>
        <v>0</v>
      </c>
      <c r="L478" s="45"/>
      <c r="M478" s="45"/>
      <c r="N478" s="45"/>
      <c r="O478" s="1623"/>
      <c r="P478" s="1625"/>
      <c r="Q478" s="802"/>
      <c r="R478" s="1638" t="b">
        <f>IF(AND(R476=FALSE,R477=FALSE),FALSE,TRUE)</f>
        <v>0</v>
      </c>
      <c r="S478" s="1625"/>
      <c r="T478" s="802"/>
      <c r="U478" s="1638" t="b">
        <f>IF(AND(U476=FALSE,U477=FALSE),FALSE,TRUE)</f>
        <v>0</v>
      </c>
      <c r="V478" s="931"/>
      <c r="W478" s="931"/>
      <c r="X478" s="1392"/>
      <c r="Y478" s="8"/>
      <c r="Z478" s="1397"/>
      <c r="AA478" s="8"/>
      <c r="AB478" s="1400"/>
      <c r="AD478" s="960"/>
      <c r="AE478" s="961"/>
      <c r="AF478" s="960"/>
      <c r="AG478" s="961"/>
      <c r="AH478" s="960"/>
      <c r="AI478" s="961"/>
      <c r="AK478" s="10"/>
      <c r="AL478" s="10"/>
      <c r="AM478" s="10"/>
      <c r="AN478" s="2100">
        <f>IF($K478=TRUE,MAX(AN476:AN477),0)</f>
        <v>0</v>
      </c>
      <c r="AO478" s="2100">
        <f>IF($R478=TRUE,MAX(AO476:AO477),0)</f>
        <v>0</v>
      </c>
      <c r="AP478" s="2100">
        <f>IF($U478=TRUE,MAX(AP476:AP477),0)</f>
        <v>0</v>
      </c>
      <c r="AQ478" s="2099">
        <f>MAX(AQ476:AQ477)</f>
        <v>0</v>
      </c>
      <c r="AR478" s="2099">
        <f t="shared" ref="AR478" si="468">MAX(AR476:AR477)</f>
        <v>0</v>
      </c>
      <c r="AS478" s="2099">
        <f t="shared" ref="AS478" si="469">MAX(AS476:AS477)</f>
        <v>0</v>
      </c>
      <c r="AT478" s="2099">
        <f t="shared" ref="AT478" si="470">MAX(AT476:AT477)</f>
        <v>0</v>
      </c>
      <c r="AU478" s="2099">
        <f t="shared" ref="AU478" si="471">MAX(AU476:AU477)</f>
        <v>0</v>
      </c>
      <c r="AV478" s="2099">
        <f t="shared" ref="AV478" si="472">MAX(AV476:AV477)</f>
        <v>0</v>
      </c>
      <c r="BC478" s="7"/>
      <c r="BD478" s="816"/>
      <c r="BE478" s="110"/>
      <c r="BF478" s="477"/>
      <c r="BG478" s="113"/>
      <c r="BH478" s="481"/>
      <c r="BI478" s="113"/>
      <c r="BJ478" s="482"/>
      <c r="BK478" s="478"/>
    </row>
    <row r="479" spans="2:63" ht="32" customHeight="1" thickBot="1" x14ac:dyDescent="0.25">
      <c r="B479" s="2030"/>
      <c r="C479" s="804" t="s">
        <v>754</v>
      </c>
      <c r="D479" s="805"/>
      <c r="E479" s="805" t="str">
        <f>IF(H479=H475,E475,E478)</f>
        <v>est d'avis que l'enfant est assez mature pour choisir</v>
      </c>
      <c r="F479" s="806"/>
      <c r="G479" s="806"/>
      <c r="H479" s="806">
        <f>IF(AND(K475=TRUE,K478=FALSE),H475,IF(AND(K475=FALSE,K478=TRUE),H478,IF(AND(K475=TRUE,K478=TRUE),H475+H478,MAX(H475,H478))))</f>
        <v>0</v>
      </c>
      <c r="I479" s="1626"/>
      <c r="J479" s="807"/>
      <c r="K479" s="808" t="b">
        <f>IF(AND(K475=FALSE,K478=FALSE),FALSE,TRUE)</f>
        <v>0</v>
      </c>
      <c r="L479" s="1610"/>
      <c r="M479" s="1610"/>
      <c r="N479" s="1610"/>
      <c r="O479" s="1627"/>
      <c r="P479" s="1626"/>
      <c r="Q479" s="807"/>
      <c r="R479" s="808" t="b">
        <f>IF(AND(R475=FALSE,R478=FALSE),FALSE,TRUE)</f>
        <v>0</v>
      </c>
      <c r="S479" s="1626"/>
      <c r="T479" s="807"/>
      <c r="U479" s="808" t="b">
        <f>IF(AND(U475=FALSE,U478=FALSE),FALSE,TRUE)</f>
        <v>0</v>
      </c>
      <c r="V479" s="931"/>
      <c r="W479" s="931" t="s">
        <v>942</v>
      </c>
      <c r="X479" s="1392"/>
      <c r="Y479" s="8"/>
      <c r="Z479" s="1397"/>
      <c r="AA479" s="8"/>
      <c r="AB479" s="1400"/>
      <c r="AD479" s="960" t="str">
        <f>IF(K479=TRUE,"V","F")</f>
        <v>F</v>
      </c>
      <c r="AE479" s="961"/>
      <c r="AF479" s="960" t="str">
        <f>IF(R479=TRUE,"V","F")</f>
        <v>F</v>
      </c>
      <c r="AG479" s="961"/>
      <c r="AH479" s="960" t="str">
        <f>IF(U479=TRUE,"V","F")</f>
        <v>F</v>
      </c>
      <c r="AI479" s="961"/>
      <c r="AJ479" t="str">
        <f>IF(OR(AD479="V",AF479="V"),IF(H478&gt;H475,"Le NC contribue plus que le coparent","Le coparent joue un plus grand rôle que le NC"),"pas de contexte significatif de la part du coparent et NC")</f>
        <v>pas de contexte significatif de la part du coparent et NC</v>
      </c>
      <c r="AK479" s="10"/>
      <c r="AL479" s="10"/>
      <c r="AM479" s="10"/>
      <c r="AN479" s="631">
        <f>IF(AND($K475=TRUE,$K478=FALSE),AN475,IF(AND($K475=FALSE,$K478=TRUE),AN478,IF(AND($K475=TRUE,$K478=TRUE),AN475+AN478,0)))</f>
        <v>0</v>
      </c>
      <c r="AO479" s="631">
        <f>IF(AND($R475=TRUE,$R478=FALSE),AO475,IF(AND($R475=FALSE,$R478=TRUE),AO478,IF(AND($R475=TRUE,$R478=TRUE),AO475+AO478,0)))</f>
        <v>0</v>
      </c>
      <c r="AP479" s="631">
        <f>IF(AND($U475=TRUE,$U478=FALSE),AP475,IF(AND($U475=FALSE,$U478=TRUE),AP478,IF(AND($U475=TRUE,$U478=TRUE),AP475+AP478,0)))</f>
        <v>0</v>
      </c>
      <c r="AQ479" s="631">
        <f>IF(AND($K475=TRUE,$K478=FALSE),AQ475,IF(AND($K475=FALSE,$K478=TRUE),AQ478,IF(AND($K475=TRUE,$K478=TRUE),AQ475+AQ478,MAX(AQ475,AQ478))))</f>
        <v>12</v>
      </c>
      <c r="AR479" s="631">
        <f>IF(AND($K475=TRUE,$K478=FALSE),AR475,IF(AND($K475=FALSE,$K478=TRUE),AR478,IF(AND($K475=TRUE,$K478=TRUE),AR475+AR478,MAX(AR475,AR478))))</f>
        <v>30</v>
      </c>
      <c r="AS479" s="631">
        <f t="shared" ref="AS479" si="473">IF(AND($R475=TRUE,$R478=FALSE),AS475,IF(AND($R475=FALSE,$R478=TRUE),AS478,IF(AND($R475=TRUE,$R478=TRUE),AS475+AS478,MAX(AS475,AS478))))</f>
        <v>6</v>
      </c>
      <c r="AT479" s="631">
        <f t="shared" ref="AT479" si="474">IF(AND($R475=TRUE,$R478=FALSE),AT475,IF(AND($R475=FALSE,$R478=TRUE),AT478,IF(AND($R475=TRUE,$R478=TRUE),AT475+AT478,MAX(AT475,AT478))))</f>
        <v>21</v>
      </c>
      <c r="AU479" s="631">
        <f t="shared" ref="AU479" si="475">IF(AND($U475=TRUE,$U478=FALSE),AU475,IF(AND($U475=FALSE,$U478=TRUE),AU478,IF(AND($U475=TRUE,$U478=TRUE),AU475+AU478,MAX(AU475,AU478))))</f>
        <v>0</v>
      </c>
      <c r="AV479" s="631">
        <f t="shared" ref="AV479" si="476">IF(AND($U475=TRUE,$U478=FALSE),AV475,IF(AND($U475=FALSE,$U478=TRUE),AV478,IF(AND($U475=TRUE,$U478=TRUE),AV475+AV478,MAX(AV475,AV478))))</f>
        <v>0</v>
      </c>
      <c r="BC479" s="7"/>
      <c r="BD479" s="816"/>
      <c r="BE479" s="110"/>
      <c r="BF479" s="477"/>
      <c r="BG479" s="113"/>
      <c r="BH479" s="481"/>
      <c r="BI479" s="113"/>
      <c r="BJ479" s="482"/>
      <c r="BK479" s="478"/>
    </row>
    <row r="480" spans="2:63" ht="51" x14ac:dyDescent="0.2">
      <c r="B480" s="2030" t="str">
        <f>'Action-Réaction finale'!Q75</f>
        <v>H: Rôle actif, Réponse au CC, r</v>
      </c>
      <c r="C480" s="313" t="str">
        <f>Test_Bible!A324</f>
        <v>E30</v>
      </c>
      <c r="D480" s="26" t="str">
        <f>Test_Bible!B324</f>
        <v/>
      </c>
      <c r="E480" s="101" t="s">
        <v>808</v>
      </c>
      <c r="F480" s="790">
        <f>Test_Bible!P324</f>
        <v>0</v>
      </c>
      <c r="G480" s="789">
        <f>Test_Bible!D324</f>
        <v>2</v>
      </c>
      <c r="H480" s="790">
        <f>F480*G480</f>
        <v>0</v>
      </c>
      <c r="I480" s="1622">
        <v>4</v>
      </c>
      <c r="J480" s="1615">
        <f>$J$18</f>
        <v>10</v>
      </c>
      <c r="K480" s="45" t="b">
        <f>IF(AND(F480&gt;=I480,F480&lt;=J480),TRUE,FALSE)</f>
        <v>0</v>
      </c>
      <c r="L480" s="45"/>
      <c r="M480" s="45"/>
      <c r="N480" s="45"/>
      <c r="O480" s="1623"/>
      <c r="P480" s="1622">
        <v>4</v>
      </c>
      <c r="Q480" s="1615">
        <v>7</v>
      </c>
      <c r="R480" s="1623" t="b">
        <f>IF(AND(F480&gt;=P480,F480&lt;=Q480),TRUE,FALSE)</f>
        <v>0</v>
      </c>
      <c r="S480" s="1622"/>
      <c r="T480" s="1615"/>
      <c r="U480" s="1623"/>
      <c r="V480" s="931"/>
      <c r="W480" s="1403"/>
      <c r="X480" s="1404">
        <v>7</v>
      </c>
      <c r="Y480" s="1405"/>
      <c r="Z480" s="1408">
        <v>4</v>
      </c>
      <c r="AA480" s="1405"/>
      <c r="AB480" s="1416">
        <v>11</v>
      </c>
      <c r="AD480" s="960" t="s">
        <v>945</v>
      </c>
      <c r="AE480" s="961"/>
      <c r="AF480" s="960"/>
      <c r="AG480" s="961"/>
      <c r="AH480" s="960"/>
      <c r="AI480" s="961"/>
      <c r="AK480" s="10"/>
      <c r="AL480" s="10"/>
      <c r="AM480" s="10"/>
      <c r="AN480" s="975">
        <f>IF($K480=TRUE,H480,0)</f>
        <v>0</v>
      </c>
      <c r="AO480" s="975">
        <f>IF($R480=TRUE,H480,0)</f>
        <v>0</v>
      </c>
      <c r="AP480" s="975"/>
      <c r="AQ480" s="1806">
        <f>IF(I480=11,0,G480*I480)</f>
        <v>8</v>
      </c>
      <c r="AR480" s="1806">
        <f>IF(J480=11,0,G480*J480)</f>
        <v>20</v>
      </c>
      <c r="AS480" s="1806">
        <f>IF(P480=11,0,G480*P480)</f>
        <v>8</v>
      </c>
      <c r="AT480" s="1806">
        <f>IF(Q480=11,0,G480*Q480)</f>
        <v>14</v>
      </c>
      <c r="AU480" s="1806"/>
      <c r="AV480" s="1806"/>
      <c r="BC480" s="7"/>
      <c r="BD480" s="816"/>
      <c r="BE480" s="110"/>
      <c r="BF480" s="477"/>
      <c r="BG480" s="113"/>
      <c r="BH480" s="481"/>
      <c r="BI480" s="113"/>
      <c r="BJ480" s="482"/>
      <c r="BK480" s="478"/>
    </row>
    <row r="481" spans="2:63" ht="32" customHeight="1" thickBot="1" x14ac:dyDescent="0.25">
      <c r="B481" s="2030"/>
      <c r="C481" s="313" t="s">
        <v>309</v>
      </c>
      <c r="D481" s="26"/>
      <c r="E481" s="101"/>
      <c r="F481" s="790"/>
      <c r="G481" s="789"/>
      <c r="H481" s="790">
        <f>F481*G481</f>
        <v>0</v>
      </c>
      <c r="I481" s="1647">
        <v>11</v>
      </c>
      <c r="J481" s="1648">
        <v>11</v>
      </c>
      <c r="K481" s="45" t="b">
        <f>IF(AND(F481&gt;=I481,F481&lt;=J481),TRUE,FALSE)</f>
        <v>0</v>
      </c>
      <c r="L481" s="45"/>
      <c r="M481" s="45"/>
      <c r="N481" s="45"/>
      <c r="O481" s="1623"/>
      <c r="P481" s="1647">
        <v>11</v>
      </c>
      <c r="Q481" s="1648">
        <v>11</v>
      </c>
      <c r="R481" s="1623" t="b">
        <f>IF(AND(F481&gt;=P481,F481&lt;=Q481),TRUE,FALSE)</f>
        <v>0</v>
      </c>
      <c r="S481" s="1647"/>
      <c r="T481" s="1648"/>
      <c r="U481" s="1623"/>
      <c r="V481" s="931"/>
      <c r="W481" s="1406" t="s">
        <v>943</v>
      </c>
      <c r="X481" s="1425">
        <v>11</v>
      </c>
      <c r="Y481" s="1426"/>
      <c r="Z481" s="1427">
        <v>11</v>
      </c>
      <c r="AA481" s="1426"/>
      <c r="AB481" s="1421">
        <v>11</v>
      </c>
      <c r="AD481" s="960"/>
      <c r="AE481" s="961"/>
      <c r="AF481" s="960"/>
      <c r="AG481" s="961"/>
      <c r="AH481" s="960"/>
      <c r="AI481" s="961"/>
      <c r="AK481" s="10"/>
      <c r="AL481" s="10"/>
      <c r="AM481" s="10"/>
      <c r="AN481" s="975">
        <f>IF($K481=TRUE,H481,0)</f>
        <v>0</v>
      </c>
      <c r="AO481" s="975">
        <f>IF($R481=TRUE,H481,0)</f>
        <v>0</v>
      </c>
      <c r="AP481" s="975"/>
      <c r="AQ481" s="1806">
        <f>IF(I481=11,0,G481*I481)</f>
        <v>0</v>
      </c>
      <c r="AR481" s="1806">
        <f>IF(J481=11,0,G481*J481)</f>
        <v>0</v>
      </c>
      <c r="AS481" s="1806">
        <f>IF(P481=11,0,G481*P481)</f>
        <v>0</v>
      </c>
      <c r="AT481" s="1806">
        <f>IF(Q481=11,0,G481*Q481)</f>
        <v>0</v>
      </c>
      <c r="AU481" s="1806"/>
      <c r="AV481" s="1806"/>
      <c r="BC481" s="7"/>
      <c r="BD481" s="816"/>
      <c r="BE481" s="110"/>
      <c r="BF481" s="477"/>
      <c r="BG481" s="113"/>
      <c r="BH481" s="481"/>
      <c r="BI481" s="113"/>
      <c r="BJ481" s="482"/>
      <c r="BK481" s="478"/>
    </row>
    <row r="482" spans="2:63" ht="32" customHeight="1" thickBot="1" x14ac:dyDescent="0.25">
      <c r="B482" s="2030"/>
      <c r="C482" s="809" t="s">
        <v>747</v>
      </c>
      <c r="D482" s="810" t="str">
        <f>_xlfn.XLOOKUP(H482,H480:H481,D480:D481)</f>
        <v/>
      </c>
      <c r="E482" s="810" t="str">
        <f>_xlfn.XLOOKUP(H482,H480:H481,E480:E481)</f>
        <v>reproche de lui manquer de respect en ne respectant pas ses choix</v>
      </c>
      <c r="F482" s="811"/>
      <c r="G482" s="811"/>
      <c r="H482" s="811">
        <f>IF(AND(K480=TRUE,K481=FALSE),H480,IF(AND(K480=FALSE,K481=TRUE),H481,MAX(H480,H481)))</f>
        <v>0</v>
      </c>
      <c r="I482" s="1628"/>
      <c r="J482" s="812"/>
      <c r="K482" s="813" t="b">
        <f>IF(AND(K480=FALSE,K481=FALSE),FALSE,TRUE)</f>
        <v>0</v>
      </c>
      <c r="L482" s="1611"/>
      <c r="M482" s="1611"/>
      <c r="N482" s="1611"/>
      <c r="O482" s="1629"/>
      <c r="P482" s="1628"/>
      <c r="Q482" s="812"/>
      <c r="R482" s="813" t="b">
        <f>IF(AND(R480=FALSE,R481=FALSE),FALSE,TRUE)</f>
        <v>0</v>
      </c>
      <c r="S482" s="1628"/>
      <c r="T482" s="812"/>
      <c r="U482" s="813"/>
      <c r="V482" s="931"/>
      <c r="W482" s="931"/>
      <c r="X482" s="1394"/>
      <c r="Z482" s="1398"/>
      <c r="AB482" s="1402"/>
      <c r="AD482" s="960" t="str">
        <f>IF(K482=TRUE,"V","F")</f>
        <v>F</v>
      </c>
      <c r="AE482" s="961"/>
      <c r="AF482" s="960" t="str">
        <f>IF(R482=TRUE,"V","F")</f>
        <v>F</v>
      </c>
      <c r="AG482" s="961"/>
      <c r="AH482" s="960"/>
      <c r="AI482" s="961"/>
      <c r="AK482" s="10"/>
      <c r="AL482" s="10"/>
      <c r="AM482" s="10"/>
      <c r="AN482" s="2102">
        <f>IF(AND($K480=TRUE,$K481=FALSE),AN480,IF(AND($K480=FALSE,$K481=TRUE),AN481,IF(AND($K480=TRUE,$K481=TRUE),MAX(AN480,AN481),0)))</f>
        <v>0</v>
      </c>
      <c r="AO482" s="2102">
        <f>IF(AND($R480=TRUE,$R481=FALSE),AO480,IF(AND($R480=FALSE,$R481=TRUE),AO481,IF(AND($R480=TRUE,$R481=TRUE),MAX(AO480,AO481),0)))</f>
        <v>0</v>
      </c>
      <c r="AP482" s="2102"/>
      <c r="AQ482" s="2102">
        <f>IF(AND($K480=TRUE,$K481=FALSE),AQ480,IF(AND($K480=FALSE,$K481=TRUE),AQ481,IF(AND($K480=TRUE,$K481=TRUE),MAX(AQ480,AQ481),0)))</f>
        <v>0</v>
      </c>
      <c r="AR482" s="2102">
        <f>IF(AND($K480=TRUE,$K481=FALSE),AR480,IF(AND($K480=FALSE,$K481=TRUE),AR481,IF(AND($K480=TRUE,$K481=TRUE),MAX(AR480,AR481),0)))</f>
        <v>0</v>
      </c>
      <c r="AS482" s="2102">
        <f t="shared" ref="AS482" si="477">IF(AND($R480=TRUE,$R481=FALSE),AS480,IF(AND($R480=FALSE,$R481=TRUE),AS481,IF(AND($R480=TRUE,$R481=TRUE),MAX(AS480,AS481),0)))</f>
        <v>0</v>
      </c>
      <c r="AT482" s="2102">
        <f t="shared" ref="AT482" si="478">IF(AND($R480=TRUE,$R481=FALSE),AT480,IF(AND($R480=FALSE,$R481=TRUE),AT481,IF(AND($R480=TRUE,$R481=TRUE),MAX(AT480,AT481),0)))</f>
        <v>0</v>
      </c>
      <c r="AU482" s="2102"/>
      <c r="AV482" s="2102"/>
    </row>
    <row r="483" spans="2:63" ht="32" customHeight="1" x14ac:dyDescent="0.2">
      <c r="B483" s="2030"/>
      <c r="D483" s="421" t="s">
        <v>310</v>
      </c>
      <c r="E483" s="785"/>
      <c r="F483" s="474" t="s">
        <v>398</v>
      </c>
      <c r="G483" s="47"/>
      <c r="H483" s="47">
        <f>IF(AND(K479=TRUE,K482=FALSE),H479,IF(AND(K479=FALSE,K482=TRUE),H482,IF(AND(K479=TRUE,K482=TRUE),H479+H482,MAX(H479,H482))))</f>
        <v>0</v>
      </c>
      <c r="I483" s="1630"/>
      <c r="J483" s="475"/>
      <c r="K483" s="1613"/>
      <c r="L483" s="1614" t="str">
        <f>IF(AND(K482=TRUE,K479=TRUE),E482,"")</f>
        <v/>
      </c>
      <c r="M483" s="1614" t="str">
        <f>IF(AND(K479=TRUE,K482=FALSE),"Bien que le parent "&amp;E479&amp;" l'enfant ne semble pas s'ingérer","")</f>
        <v/>
      </c>
      <c r="N483" s="1614" t="str">
        <f>IF(AND(K479=FALSE,K482=TRUE),E482&amp;" sans signe de la participation du parent favorisé et|ou nouveau conjoint.e","")</f>
        <v/>
      </c>
      <c r="O483" s="1631" t="str">
        <f>IF(AND(K479=FALSE,K482=FALSE),"aucun comportement significatif de cette nature","")</f>
        <v>aucun comportement significatif de cette nature</v>
      </c>
      <c r="P483" s="1630"/>
      <c r="Q483" s="475"/>
      <c r="R483" s="1639"/>
      <c r="S483" s="1630"/>
      <c r="T483" s="475"/>
      <c r="U483" s="1639"/>
      <c r="V483" s="170"/>
      <c r="W483" s="170"/>
      <c r="X483" s="1394"/>
      <c r="Z483" s="1398"/>
      <c r="AB483" s="1402"/>
      <c r="AD483" s="962"/>
      <c r="AE483" s="963">
        <f>IF(AND(AD479="V",AD482="V"),2,IF(OR(AD479="V",AD482="V"),1,0))</f>
        <v>0</v>
      </c>
      <c r="AF483" s="962"/>
      <c r="AG483" s="963">
        <f>IF(OR(AF479="V",AF482="V"),1,0)</f>
        <v>0</v>
      </c>
      <c r="AH483" s="962"/>
      <c r="AI483" s="963"/>
      <c r="AK483" s="10"/>
      <c r="AL483" s="10"/>
      <c r="AM483" s="10"/>
      <c r="AN483" s="2097">
        <f>IF(AND($AD479="V",$AD482="F"),AN479,IF(AND($AD479="F",$AD482="V"),AN482,IF(AND($AD479="V",$AD482="V"),AN479+AN482,0)))</f>
        <v>0</v>
      </c>
      <c r="AO483" s="2097">
        <f>IF(AND($AF479="V",$AF482="F"),AO479,IF(AND($AF479="F",$AF482="V"),AO482,IF(AND($AF479="V",$AF482="V"),AO479+AO482,0)))</f>
        <v>0</v>
      </c>
      <c r="AP483" s="2097"/>
      <c r="AQ483" s="2097">
        <f>IF(AND($AD479="V",$AD482="F"),AQ479,IF(AND($AD479="F",$AD482="V"),AQ482,IF(AND($AD479="V",$AD482="V"),AQ479+AQ482,0)))</f>
        <v>0</v>
      </c>
      <c r="AR483" s="2097">
        <f>IF(AND($AD479="V",$AD482="F"),AR479,IF(AND($AD479="F",$AD482="V"),AR482,IF(AND($AD479="V",$AD482="V"),AR479+AR482,0)))</f>
        <v>0</v>
      </c>
      <c r="AS483" s="2097">
        <f>IF(AND($AF479="V",$AF482="F"),AS479,IF(AND($AF479="F",$AF482="V"),AS482,IF(AND($AF479="V",$AF482="V"),AS479+AS482,0)))</f>
        <v>0</v>
      </c>
      <c r="AT483" s="2097">
        <f>IF(AND($AF479="V",$AF482="F"),AT479,IF(AND($AF479="F",$AF482="V"),AT482,IF(AND($AF479="V",$AF482="V"),AT479+AT482,0)))</f>
        <v>0</v>
      </c>
      <c r="AU483" s="2097"/>
      <c r="AV483" s="2097"/>
    </row>
    <row r="484" spans="2:63" ht="32" customHeight="1" x14ac:dyDescent="0.2">
      <c r="B484" s="2030"/>
      <c r="C484" t="s">
        <v>243</v>
      </c>
      <c r="I484" s="146"/>
      <c r="L484" s="46"/>
      <c r="M484" s="46"/>
      <c r="N484" s="46"/>
      <c r="O484" s="1652"/>
      <c r="P484" s="146"/>
      <c r="R484" s="326"/>
      <c r="S484" s="146"/>
      <c r="U484" s="326"/>
      <c r="V484" s="46"/>
      <c r="AD484" s="960"/>
      <c r="AE484" s="961"/>
      <c r="AF484" s="960"/>
      <c r="AG484" s="961"/>
      <c r="AH484" s="960"/>
      <c r="AI484" s="961"/>
      <c r="AK484" s="10"/>
      <c r="AL484" s="10"/>
      <c r="AM484" s="10"/>
      <c r="AN484" s="975"/>
      <c r="AO484" s="975"/>
      <c r="AP484" s="975"/>
      <c r="AQ484" s="1806"/>
      <c r="AR484" s="1806"/>
      <c r="AS484" s="1806"/>
      <c r="AT484" s="1806"/>
      <c r="AU484" s="1806"/>
      <c r="AV484" s="1806"/>
    </row>
    <row r="485" spans="2:63" ht="32" customHeight="1" x14ac:dyDescent="0.2">
      <c r="B485" s="2030"/>
      <c r="C485" s="964"/>
      <c r="D485" s="972"/>
      <c r="E485" s="965"/>
      <c r="F485" s="973"/>
      <c r="G485" s="973"/>
      <c r="H485" s="973">
        <f>F485*G485</f>
        <v>0</v>
      </c>
      <c r="I485" s="1647">
        <v>11</v>
      </c>
      <c r="J485" s="1648">
        <v>11</v>
      </c>
      <c r="K485" s="45" t="b">
        <f>IF(AND(F485&gt;=I485,F485&lt;=J485),TRUE,FALSE)</f>
        <v>0</v>
      </c>
      <c r="L485" s="32"/>
      <c r="M485" s="32"/>
      <c r="N485" s="32"/>
      <c r="O485" s="1632"/>
      <c r="P485" s="1647">
        <v>11</v>
      </c>
      <c r="Q485" s="1648">
        <v>11</v>
      </c>
      <c r="R485" s="1623" t="b">
        <f>IF(AND(F485&gt;=P485,F485&lt;=Q485),TRUE,FALSE)</f>
        <v>0</v>
      </c>
      <c r="S485" s="1647">
        <v>11</v>
      </c>
      <c r="T485" s="1648">
        <v>11</v>
      </c>
      <c r="U485" s="1623" t="b">
        <f>IF(AND(F485&gt;=S485,F485&lt;=T485),TRUE,FALSE)</f>
        <v>0</v>
      </c>
      <c r="V485" s="46"/>
      <c r="W485" s="1428"/>
      <c r="X485" s="1422">
        <v>11</v>
      </c>
      <c r="Y485" s="1423"/>
      <c r="Z485" s="1424">
        <v>11</v>
      </c>
      <c r="AA485" s="1423"/>
      <c r="AB485" s="1416">
        <v>11</v>
      </c>
      <c r="AD485" s="960"/>
      <c r="AE485" s="961"/>
      <c r="AF485" s="960"/>
      <c r="AG485" s="961"/>
      <c r="AH485" s="960"/>
      <c r="AI485" s="961"/>
      <c r="AK485" s="10"/>
      <c r="AL485" s="10"/>
      <c r="AM485" s="10"/>
      <c r="AN485" s="975">
        <f>IF($K485=TRUE,H485,0)</f>
        <v>0</v>
      </c>
      <c r="AO485" s="975">
        <f>IF($R485=TRUE,H485,0)</f>
        <v>0</v>
      </c>
      <c r="AP485" s="975">
        <f>IF($U485=TRUE,H485,0)</f>
        <v>0</v>
      </c>
      <c r="AQ485" s="1806">
        <f>IF(I485=11,0,G485*I485)</f>
        <v>0</v>
      </c>
      <c r="AR485" s="1806">
        <f>IF(J485=11,0,G485*J485)</f>
        <v>0</v>
      </c>
      <c r="AS485" s="1806">
        <f>IF(P485=11,0,G485*P485)</f>
        <v>0</v>
      </c>
      <c r="AT485" s="1806">
        <f>IF(Q485=11,0,G485*Q485)</f>
        <v>0</v>
      </c>
      <c r="AU485" s="1806">
        <f>IF(S485=11,0,S485*G485)</f>
        <v>0</v>
      </c>
      <c r="AV485" s="1806">
        <f>IF(T485=11,0,T485*G485)</f>
        <v>0</v>
      </c>
    </row>
    <row r="486" spans="2:63" ht="32" customHeight="1" thickBot="1" x14ac:dyDescent="0.25">
      <c r="B486" s="2030"/>
      <c r="C486" s="964"/>
      <c r="D486" s="972"/>
      <c r="E486" s="965"/>
      <c r="F486" s="973"/>
      <c r="G486" s="973"/>
      <c r="H486" s="973">
        <f>F486*G486</f>
        <v>0</v>
      </c>
      <c r="I486" s="1647">
        <v>11</v>
      </c>
      <c r="J486" s="1648">
        <v>11</v>
      </c>
      <c r="K486" s="45" t="b">
        <f>IF(AND(F486&gt;=I486,F486&lt;=J486),TRUE,FALSE)</f>
        <v>0</v>
      </c>
      <c r="L486" s="32"/>
      <c r="M486" s="32"/>
      <c r="N486" s="32"/>
      <c r="O486" s="1632"/>
      <c r="P486" s="1647">
        <v>11</v>
      </c>
      <c r="Q486" s="1648">
        <v>11</v>
      </c>
      <c r="R486" s="1623" t="b">
        <f>IF(AND(F486&gt;=P486,F486&lt;=Q486),TRUE,FALSE)</f>
        <v>0</v>
      </c>
      <c r="S486" s="1647">
        <v>11</v>
      </c>
      <c r="T486" s="1648">
        <v>11</v>
      </c>
      <c r="U486" s="1623" t="b">
        <f>IF(AND(F486&gt;=S486,F486&lt;=T486),TRUE,FALSE)</f>
        <v>0</v>
      </c>
      <c r="W486" s="1429"/>
      <c r="X486" s="1425">
        <v>11</v>
      </c>
      <c r="Y486" s="1426"/>
      <c r="Z486" s="1427">
        <v>11</v>
      </c>
      <c r="AA486" s="1426"/>
      <c r="AB486" s="1421">
        <v>11</v>
      </c>
      <c r="AD486" s="960"/>
      <c r="AE486" s="961"/>
      <c r="AF486" s="960"/>
      <c r="AG486" s="961"/>
      <c r="AH486" s="960"/>
      <c r="AI486" s="961"/>
      <c r="AK486" s="10"/>
      <c r="AL486" s="10"/>
      <c r="AM486" s="10"/>
      <c r="AN486" s="975">
        <f>IF($K486=TRUE,H486,0)</f>
        <v>0</v>
      </c>
      <c r="AO486" s="975">
        <f>IF($R486=TRUE,H486,0)</f>
        <v>0</v>
      </c>
      <c r="AP486" s="975">
        <f>IF($U486=TRUE,H486,0)</f>
        <v>0</v>
      </c>
      <c r="AQ486" s="1806">
        <f>IF(I486=11,0,G486*I486)</f>
        <v>0</v>
      </c>
      <c r="AR486" s="1806">
        <f>IF(J486=11,0,G486*J486)</f>
        <v>0</v>
      </c>
      <c r="AS486" s="1806">
        <f>IF(P486=11,0,G486*P486)</f>
        <v>0</v>
      </c>
      <c r="AT486" s="1806">
        <f>IF(Q486=11,0,G486*Q486)</f>
        <v>0</v>
      </c>
      <c r="AU486" s="1806">
        <f>IF(S486=11,0,S486*G486)</f>
        <v>0</v>
      </c>
      <c r="AV486" s="1806">
        <f>IF(T486=11,0,T486*G486)</f>
        <v>0</v>
      </c>
    </row>
    <row r="487" spans="2:63" ht="32" customHeight="1" thickBot="1" x14ac:dyDescent="0.35">
      <c r="D487" s="16"/>
      <c r="E487" s="16"/>
      <c r="F487" s="89"/>
      <c r="G487" s="473"/>
      <c r="H487" s="47">
        <f>IF(AND(K485=TRUE,K486=FALSE),H485,IF(AND(K485=FALSE,K486=TRUE),H486,MAX(H485,H486)))</f>
        <v>0</v>
      </c>
      <c r="I487" s="1644"/>
      <c r="J487" s="1645"/>
      <c r="K487" s="1651" t="b">
        <f>IF(AND(K485=FALSE,K486=FALSE),FALSE,TRUE)</f>
        <v>0</v>
      </c>
      <c r="L487" s="1633"/>
      <c r="M487" s="1634"/>
      <c r="N487" s="1634"/>
      <c r="O487" s="1635"/>
      <c r="P487" s="1644"/>
      <c r="Q487" s="1645"/>
      <c r="R487" s="1651" t="b">
        <f>IF(AND(R485=FALSE,R486=FALSE),FALSE,TRUE)</f>
        <v>0</v>
      </c>
      <c r="S487" s="1656"/>
      <c r="T487" s="1657"/>
      <c r="U487" s="1658" t="b">
        <f>IF(AND(U485=FALSE,U486=FALSE),FALSE,TRUE)</f>
        <v>0</v>
      </c>
      <c r="V487" s="933"/>
      <c r="AD487" s="1564" t="str">
        <f>IF(K487=TRUE,"V","F")</f>
        <v>F</v>
      </c>
      <c r="AE487" s="1565"/>
      <c r="AF487" s="1564" t="str">
        <f>IF(R487=TRUE,"V","F")</f>
        <v>F</v>
      </c>
      <c r="AG487" s="1565"/>
      <c r="AH487" s="1564" t="str">
        <f>IF(U487=TRUE,"V","F")</f>
        <v>F</v>
      </c>
      <c r="AI487" s="1565"/>
      <c r="AK487" s="10"/>
      <c r="AL487" s="10"/>
      <c r="AM487" s="10"/>
      <c r="AN487" s="2102">
        <f>IF(AND($K485=TRUE,$K486=FALSE),AN485,IF(AND($K485=FALSE,$K486=TRUE),AN486,MAX(AN485,AN486)))</f>
        <v>0</v>
      </c>
      <c r="AO487" s="2102">
        <f>IF(AND($R485=TRUE,$R486=FALSE),AO485,IF(AND($R485=FALSE,$R486=TRUE),AO486,MAX(AO485,AO486)))</f>
        <v>0</v>
      </c>
      <c r="AP487" s="2102">
        <f>IF(AND($U485=TRUE,$U486=FALSE),AP485,IF(AND($U485=FALSE,$U486=TRUE),AP486,MAX(AP485,AP486)))</f>
        <v>0</v>
      </c>
      <c r="AQ487" s="2102">
        <f>IF(AND($K485=TRUE,$K486=FALSE),AQ485,IF(AND($K485=FALSE,$K486=TRUE),AQ486,MAX(AQ485,AQ486)))</f>
        <v>0</v>
      </c>
      <c r="AR487" s="2102">
        <f>IF(AND($K485=TRUE,$K486=FALSE),AR485,IF(AND($K485=FALSE,$K486=TRUE),AR486,MAX(AR485,AR486)))</f>
        <v>0</v>
      </c>
      <c r="AS487" s="2102">
        <f>IF(AND($R485=TRUE,$R486=FALSE),AS485,IF(AND($R485=FALSE,$R486=TRUE),AS486,MAX(AS485,AS486)))</f>
        <v>0</v>
      </c>
      <c r="AT487" s="2102">
        <f>IF(AND($R485=TRUE,$R486=FALSE),AT485,IF(AND($R485=FALSE,$R486=TRUE),AT486,MAX(AT485,AT486)))</f>
        <v>0</v>
      </c>
      <c r="AU487" s="2102">
        <f>IF(AND($U485=TRUE,$U486=FALSE),AU485,IF(AND($U485=FALSE,$U486=TRUE),AU486,MAX(AU485,AU486)))</f>
        <v>0</v>
      </c>
      <c r="AV487" s="2102">
        <f>IF(AND($U485=TRUE,$U486=FALSE),AV485,IF(AND($U485=FALSE,$U486=TRUE),AV486,MAX(AV485,AV486)))</f>
        <v>0</v>
      </c>
    </row>
    <row r="488" spans="2:63" ht="32" customHeight="1" thickBot="1" x14ac:dyDescent="0.35">
      <c r="D488" s="16"/>
      <c r="E488" s="16"/>
      <c r="F488" s="89"/>
      <c r="G488" s="473"/>
      <c r="H488" s="473"/>
      <c r="I488" s="8"/>
      <c r="J488" s="8"/>
      <c r="K488" s="932"/>
      <c r="L488" s="933"/>
      <c r="M488" s="933"/>
      <c r="N488" s="933"/>
      <c r="O488" s="933"/>
      <c r="P488" s="933"/>
      <c r="Q488" s="933"/>
      <c r="R488" s="933"/>
      <c r="S488" s="933"/>
      <c r="T488" s="933"/>
      <c r="U488" s="933"/>
      <c r="V488" s="933"/>
      <c r="W488" s="933"/>
      <c r="AD488" s="1649"/>
      <c r="AE488" s="1650">
        <f>IF(AND(AD487="V",AD479="V"),AE483-1,AE483)</f>
        <v>0</v>
      </c>
      <c r="AF488" s="1649"/>
      <c r="AG488" s="1650">
        <f>IF(OR(AF479="V",AF482="V",AF487="V"),1,0)</f>
        <v>0</v>
      </c>
      <c r="AH488" s="1649"/>
      <c r="AI488" s="1650">
        <f>IF(AH479="V",1,IF(AH487="V",1,0))</f>
        <v>0</v>
      </c>
      <c r="AK488" s="10">
        <v>1</v>
      </c>
      <c r="AL488" s="10">
        <v>1</v>
      </c>
      <c r="AM488" s="10"/>
      <c r="AN488" s="2101">
        <f>IF($AD487="F",AN483,AN483+AN487)</f>
        <v>0</v>
      </c>
      <c r="AO488" s="2101">
        <f>IF($AF487="F",AO483,AO483+AO487)</f>
        <v>0</v>
      </c>
      <c r="AP488" s="2101">
        <f>IF(AND($AH479="V",$AH487="F"),AP479,IF(AND($AH479="F",$AH487="V"),AP487,IF(AND($AH479="V",$AH487="V"),AP479+AP487,0)))</f>
        <v>0</v>
      </c>
      <c r="AQ488" s="2101">
        <f>IF($AD487="F",AQ483,AQ483+AQ487)</f>
        <v>0</v>
      </c>
      <c r="AR488" s="2101">
        <f t="shared" ref="AR488" si="479">IF($AD487="F",AR483,AR483+AR487)</f>
        <v>0</v>
      </c>
      <c r="AS488" s="2101">
        <f t="shared" ref="AS488" si="480">IF($AF487="F",AS483,AS483+AS487)</f>
        <v>0</v>
      </c>
      <c r="AT488" s="2101">
        <f t="shared" ref="AT488" si="481">IF($AF487="F",AT483,AT483+AT487)</f>
        <v>0</v>
      </c>
      <c r="AU488" s="2101">
        <f t="shared" ref="AU488" si="482">IF(AND($AH479="V",$AH487="F"),AU479,IF(AND($AH479="F",$AH487="V"),AU487,IF(AND($AH479="V",$AH487="V"),AU479+AU487,0)))</f>
        <v>0</v>
      </c>
      <c r="AV488" s="2101">
        <f t="shared" ref="AV488" si="483">IF(AND($AH479="V",$AH487="F"),AV479,IF(AND($AH479="F",$AH487="V"),AV487,IF(AND($AH479="V",$AH487="V"),AV479+AV487,0)))</f>
        <v>0</v>
      </c>
    </row>
    <row r="489" spans="2:63" ht="32" customHeight="1" x14ac:dyDescent="0.3">
      <c r="I489" s="1616"/>
      <c r="J489" s="1617"/>
      <c r="K489" s="1618"/>
      <c r="L489" s="2268"/>
      <c r="M489" s="2268"/>
      <c r="N489" s="2268"/>
      <c r="O489" s="1619"/>
      <c r="P489" s="1636"/>
      <c r="Q489" s="1618"/>
      <c r="R489" s="1619"/>
      <c r="S489" s="1636"/>
      <c r="T489" s="1618"/>
      <c r="U489" s="1619"/>
      <c r="AD489" s="1668"/>
      <c r="AE489" s="1669"/>
      <c r="AF489" s="1409"/>
      <c r="AG489" s="1409"/>
      <c r="AH489" s="1409"/>
      <c r="AI489" s="1409"/>
      <c r="AK489" s="10"/>
      <c r="AL489" s="10"/>
      <c r="AM489" s="10"/>
    </row>
    <row r="490" spans="2:63" ht="32" customHeight="1" x14ac:dyDescent="0.3">
      <c r="B490" s="2029">
        <v>25</v>
      </c>
      <c r="D490" s="476" t="str">
        <f>'Action-Réaction finale'!F78</f>
        <v>Transport d'objets d'un domicile à l'autre</v>
      </c>
      <c r="E490" s="107"/>
      <c r="F490" s="65"/>
      <c r="G490" s="18"/>
      <c r="H490" s="18"/>
      <c r="I490" s="2255" t="s">
        <v>734</v>
      </c>
      <c r="J490" s="2256"/>
      <c r="K490" s="2256"/>
      <c r="L490" s="2257" t="s">
        <v>1378</v>
      </c>
      <c r="M490" s="2257"/>
      <c r="N490" s="2257"/>
      <c r="O490" s="2258"/>
      <c r="P490" s="2259" t="s">
        <v>733</v>
      </c>
      <c r="Q490" s="2260"/>
      <c r="R490" s="2261"/>
      <c r="S490" s="2262" t="s">
        <v>735</v>
      </c>
      <c r="T490" s="2263"/>
      <c r="U490" s="2264"/>
      <c r="V490" s="15"/>
      <c r="W490" s="15"/>
      <c r="AD490" s="956"/>
      <c r="AE490" s="956"/>
      <c r="AF490" s="956"/>
      <c r="AG490" s="956"/>
      <c r="AH490" s="956"/>
      <c r="AI490" s="957"/>
      <c r="AK490" s="10"/>
      <c r="AL490" s="10"/>
      <c r="AM490" s="10"/>
      <c r="AN490" s="1659" t="s">
        <v>734</v>
      </c>
      <c r="AO490" s="1659" t="s">
        <v>733</v>
      </c>
      <c r="AP490" s="1659" t="s">
        <v>735</v>
      </c>
      <c r="AQ490" s="2254" t="s">
        <v>734</v>
      </c>
      <c r="AR490" s="2254"/>
      <c r="AS490" s="2254" t="s">
        <v>733</v>
      </c>
      <c r="AT490" s="2254"/>
      <c r="AU490" s="2254" t="s">
        <v>735</v>
      </c>
      <c r="AV490" s="2254"/>
    </row>
    <row r="491" spans="2:63" ht="32" customHeight="1" x14ac:dyDescent="0.3">
      <c r="D491" s="102" t="s">
        <v>998</v>
      </c>
      <c r="E491" s="983" t="s">
        <v>997</v>
      </c>
      <c r="F491" s="32" t="s">
        <v>748</v>
      </c>
      <c r="G491" s="32" t="s">
        <v>749</v>
      </c>
      <c r="H491" s="32" t="s">
        <v>750</v>
      </c>
      <c r="I491" s="1620" t="s">
        <v>306</v>
      </c>
      <c r="J491" s="43" t="s">
        <v>307</v>
      </c>
      <c r="K491" s="43" t="s">
        <v>308</v>
      </c>
      <c r="L491" s="43" t="s">
        <v>413</v>
      </c>
      <c r="M491" s="43" t="s">
        <v>388</v>
      </c>
      <c r="N491" s="43" t="s">
        <v>389</v>
      </c>
      <c r="O491" s="1621" t="s">
        <v>390</v>
      </c>
      <c r="P491" s="1620" t="s">
        <v>306</v>
      </c>
      <c r="Q491" s="43" t="s">
        <v>307</v>
      </c>
      <c r="R491" s="1621" t="s">
        <v>308</v>
      </c>
      <c r="S491" s="1620" t="s">
        <v>306</v>
      </c>
      <c r="T491" s="43" t="s">
        <v>307</v>
      </c>
      <c r="U491" s="1621" t="s">
        <v>308</v>
      </c>
      <c r="V491" s="818"/>
      <c r="W491" s="955" t="s">
        <v>928</v>
      </c>
      <c r="X491" s="1391" t="s">
        <v>734</v>
      </c>
      <c r="Y491" s="955" t="s">
        <v>928</v>
      </c>
      <c r="Z491" s="1395" t="s">
        <v>733</v>
      </c>
      <c r="AA491" s="955"/>
      <c r="AB491" s="1399" t="s">
        <v>735</v>
      </c>
      <c r="AD491" s="970" t="s">
        <v>734</v>
      </c>
      <c r="AE491" s="971" t="s">
        <v>946</v>
      </c>
      <c r="AF491" s="970" t="s">
        <v>733</v>
      </c>
      <c r="AG491" s="971" t="s">
        <v>947</v>
      </c>
      <c r="AH491" s="970" t="s">
        <v>735</v>
      </c>
      <c r="AI491" s="971" t="s">
        <v>948</v>
      </c>
      <c r="AK491" s="10"/>
      <c r="AL491" s="10"/>
      <c r="AM491" s="10"/>
      <c r="AN491" s="10"/>
      <c r="AO491" s="10"/>
      <c r="AP491" s="10"/>
      <c r="AQ491" s="1806" t="s">
        <v>1322</v>
      </c>
      <c r="AR491" s="1806" t="s">
        <v>1323</v>
      </c>
      <c r="AS491" s="1806" t="s">
        <v>1322</v>
      </c>
      <c r="AT491" s="1806" t="s">
        <v>1323</v>
      </c>
      <c r="AU491" s="1806" t="s">
        <v>1322</v>
      </c>
      <c r="AV491" s="1806" t="s">
        <v>1323</v>
      </c>
    </row>
    <row r="492" spans="2:63" ht="55" customHeight="1" x14ac:dyDescent="0.2">
      <c r="B492" s="2030" t="str">
        <f>'Action-Réaction finale'!I78</f>
        <v>F: Interférence lien affectif ou symbolique</v>
      </c>
      <c r="C492" s="414" t="str">
        <f>BIBLE!E129</f>
        <v>PFA28</v>
      </c>
      <c r="D492" s="26" t="str">
        <f>BIBLE!F129</f>
        <v xml:space="preserve">L’autre parent permet à votre enfant d'apporter des objets (jouets ou cadeaux reçus) provenant de chez vous. </v>
      </c>
      <c r="E492" s="101" t="s">
        <v>1292</v>
      </c>
      <c r="F492" s="790">
        <f>Test_Bible!P218</f>
        <v>4</v>
      </c>
      <c r="G492" s="789">
        <f>Test_Bible!D218</f>
        <v>2</v>
      </c>
      <c r="H492" s="790">
        <f>F492*G492</f>
        <v>8</v>
      </c>
      <c r="I492" s="1647">
        <v>11</v>
      </c>
      <c r="J492" s="1648">
        <v>11</v>
      </c>
      <c r="K492" s="45" t="b">
        <f>IF(AND(F492&gt;=I492,F492&lt;=J492),TRUE,FALSE)</f>
        <v>0</v>
      </c>
      <c r="L492" s="45"/>
      <c r="M492" s="45"/>
      <c r="N492" s="45"/>
      <c r="O492" s="1623"/>
      <c r="P492" s="1622">
        <v>4</v>
      </c>
      <c r="Q492" s="1615">
        <v>7</v>
      </c>
      <c r="R492" s="1623" t="b">
        <f>IF(AND(F492&gt;=P492,F492&lt;=Q492),TRUE,FALSE)</f>
        <v>1</v>
      </c>
      <c r="S492" s="1622">
        <v>4</v>
      </c>
      <c r="T492" s="1615">
        <v>7</v>
      </c>
      <c r="U492" s="1623" t="b">
        <f>IF(AND(F492&gt;=S492,F492&lt;=T492),TRUE,FALSE)</f>
        <v>1</v>
      </c>
      <c r="V492" s="931"/>
      <c r="W492" s="1403"/>
      <c r="X492" s="1422">
        <v>11</v>
      </c>
      <c r="Y492" s="1423"/>
      <c r="Z492" s="1424">
        <v>11</v>
      </c>
      <c r="AA492" s="1423"/>
      <c r="AB492" s="1416">
        <v>11</v>
      </c>
      <c r="AD492" s="958"/>
      <c r="AE492" s="959"/>
      <c r="AF492" s="958"/>
      <c r="AG492" s="959"/>
      <c r="AH492" s="958"/>
      <c r="AI492" s="959"/>
      <c r="AK492" s="10"/>
      <c r="AL492" s="10"/>
      <c r="AM492" s="10"/>
      <c r="AN492" s="975">
        <f>IF($K492=TRUE,H492,0)</f>
        <v>0</v>
      </c>
      <c r="AO492" s="975">
        <f>IF($R492=TRUE,H492,0)</f>
        <v>8</v>
      </c>
      <c r="AP492" s="975">
        <f>IF($U492=TRUE,H492,0)</f>
        <v>8</v>
      </c>
      <c r="AQ492" s="1806">
        <f>IF(I492=11,0,G492*I492)</f>
        <v>0</v>
      </c>
      <c r="AR492" s="1806">
        <f>IF(J492=11,0,G492*J492)</f>
        <v>0</v>
      </c>
      <c r="AS492" s="1806">
        <f>IF(P492=11,0,G492*P492)</f>
        <v>8</v>
      </c>
      <c r="AT492" s="1806">
        <f>IF(Q492=11,0,G492*Q492)</f>
        <v>14</v>
      </c>
      <c r="AU492" s="1806">
        <f>IF(S492=11,0,S492*G492)</f>
        <v>8</v>
      </c>
      <c r="AV492" s="1806">
        <f>IF(T492=11,0,T492*G492)</f>
        <v>14</v>
      </c>
    </row>
    <row r="493" spans="2:63" ht="45" customHeight="1" x14ac:dyDescent="0.2">
      <c r="B493" s="2030" t="str">
        <f>'Action-Réaction finale'!I79</f>
        <v>F: Interférence lien affectif ou symbolique</v>
      </c>
      <c r="C493" s="414" t="str">
        <f>BIBLE!E130</f>
        <v>PFA28a</v>
      </c>
      <c r="D493" s="26" t="str">
        <f>BIBLE!F130</f>
        <v xml:space="preserve">L’autre parent jette les cadeaux que vous avez offerts à votre enfant ou proscrit les photographies de vous dans sa demeure. </v>
      </c>
      <c r="E493" s="101"/>
      <c r="F493" s="790">
        <f>Test_Bible!P219</f>
        <v>4</v>
      </c>
      <c r="G493" s="789">
        <f>Test_Bible!D219</f>
        <v>3</v>
      </c>
      <c r="H493" s="790">
        <f>F493*G493</f>
        <v>12</v>
      </c>
      <c r="I493" s="1622">
        <v>4</v>
      </c>
      <c r="J493" s="1615">
        <f>$J$18</f>
        <v>10</v>
      </c>
      <c r="K493" s="45" t="b">
        <f>IF(AND(F493&gt;=I493,F493&lt;=J493),TRUE,FALSE)</f>
        <v>1</v>
      </c>
      <c r="L493" s="45"/>
      <c r="M493" s="45"/>
      <c r="N493" s="45"/>
      <c r="O493" s="1623"/>
      <c r="P493" s="1647">
        <v>11</v>
      </c>
      <c r="Q493" s="1648">
        <v>11</v>
      </c>
      <c r="R493" s="1623" t="b">
        <f>IF(AND(F493&gt;=P493,F493&lt;=Q493),TRUE,FALSE)</f>
        <v>0</v>
      </c>
      <c r="S493" s="1647">
        <v>11</v>
      </c>
      <c r="T493" s="1648">
        <v>11</v>
      </c>
      <c r="U493" s="1623" t="b">
        <f>IF(AND(F493&gt;=S493,F493&lt;=T493),TRUE,FALSE)</f>
        <v>0</v>
      </c>
      <c r="V493" s="931"/>
      <c r="W493" s="1406" t="s">
        <v>943</v>
      </c>
      <c r="X493" s="1425">
        <v>11</v>
      </c>
      <c r="Y493" s="1426"/>
      <c r="Z493" s="1427">
        <v>11</v>
      </c>
      <c r="AA493" s="1426"/>
      <c r="AB493" s="1421">
        <v>11</v>
      </c>
      <c r="AD493" s="960"/>
      <c r="AE493" s="961"/>
      <c r="AF493" s="960"/>
      <c r="AG493" s="961"/>
      <c r="AH493" s="960"/>
      <c r="AI493" s="961"/>
      <c r="AK493" s="10"/>
      <c r="AL493" s="10"/>
      <c r="AM493" s="10"/>
      <c r="AN493" s="975">
        <f>IF($K493=TRUE,H493,0)</f>
        <v>12</v>
      </c>
      <c r="AO493" s="975">
        <f>IF($R493=TRUE,H493,0)</f>
        <v>0</v>
      </c>
      <c r="AP493" s="975">
        <f>IF($U493=TRUE,H493,0)</f>
        <v>0</v>
      </c>
      <c r="AQ493" s="1806">
        <f>IF(I493=11,0,G493*I493)</f>
        <v>12</v>
      </c>
      <c r="AR493" s="1806">
        <f>IF(J493=11,0,G493*J493)</f>
        <v>30</v>
      </c>
      <c r="AS493" s="1806">
        <f>IF(P493=11,0,G493*P493)</f>
        <v>0</v>
      </c>
      <c r="AT493" s="1806">
        <f>IF(Q493=11,0,G493*Q493)</f>
        <v>0</v>
      </c>
      <c r="AU493" s="1806">
        <f>IF(S493=11,0,S493*G493)</f>
        <v>0</v>
      </c>
      <c r="AV493" s="1806">
        <f>IF(T493=11,0,T493*G493)</f>
        <v>0</v>
      </c>
    </row>
    <row r="494" spans="2:63" ht="32" customHeight="1" x14ac:dyDescent="0.2">
      <c r="B494" s="2030"/>
      <c r="C494" s="792" t="s">
        <v>745</v>
      </c>
      <c r="D494" s="793" t="str">
        <f>_xlfn.XLOOKUP(H494,H492:H493,D492:D493)</f>
        <v xml:space="preserve">L’autre parent jette les cadeaux que vous avez offerts à votre enfant ou proscrit les photographies de vous dans sa demeure. </v>
      </c>
      <c r="E494" s="794">
        <f>_xlfn.XLOOKUP(H494,H492:H493,E492:E493)</f>
        <v>0</v>
      </c>
      <c r="F494" s="795"/>
      <c r="G494" s="795"/>
      <c r="H494" s="795">
        <f>IF(AND(K492=TRUE,K493=FALSE),H492,IF(AND(K492=FALSE,K493=TRUE),H493,MAX(H492,H493)))</f>
        <v>12</v>
      </c>
      <c r="I494" s="1624"/>
      <c r="J494" s="796"/>
      <c r="K494" s="797" t="b">
        <f>IF(AND(K492=FALSE,K493=FALSE),FALSE,TRUE)</f>
        <v>1</v>
      </c>
      <c r="L494" s="45"/>
      <c r="M494" s="45"/>
      <c r="N494" s="45"/>
      <c r="O494" s="1623"/>
      <c r="P494" s="1624"/>
      <c r="Q494" s="796"/>
      <c r="R494" s="1637" t="b">
        <f>IF(AND(R492=FALSE,R493=FALSE),FALSE,TRUE)</f>
        <v>1</v>
      </c>
      <c r="S494" s="1624"/>
      <c r="T494" s="796"/>
      <c r="U494" s="1637" t="b">
        <f>IF(AND(U492=FALSE,U493=FALSE),FALSE,TRUE)</f>
        <v>1</v>
      </c>
      <c r="V494" s="931"/>
      <c r="W494" s="931" t="s">
        <v>943</v>
      </c>
      <c r="X494" s="1392"/>
      <c r="Y494" s="8"/>
      <c r="Z494" s="1397"/>
      <c r="AA494" s="8"/>
      <c r="AB494" s="1400"/>
      <c r="AD494" s="960"/>
      <c r="AE494" s="961"/>
      <c r="AF494" s="960"/>
      <c r="AG494" s="961"/>
      <c r="AH494" s="960"/>
      <c r="AI494" s="961"/>
      <c r="AK494" s="10"/>
      <c r="AL494" s="10"/>
      <c r="AM494" s="10"/>
      <c r="AN494" s="2100">
        <f>IF($K494=TRUE,MAX(AN492:AN493),0)</f>
        <v>12</v>
      </c>
      <c r="AO494" s="2100">
        <f>IF($R494=TRUE,MAX(AO492:AO493),0)</f>
        <v>8</v>
      </c>
      <c r="AP494" s="2100">
        <f>IF($U494=TRUE,MAX(AP492:AP493),0)</f>
        <v>8</v>
      </c>
      <c r="AQ494" s="2099">
        <f>MAX(AQ492:AQ493)</f>
        <v>12</v>
      </c>
      <c r="AR494" s="2099">
        <f t="shared" ref="AR494" si="484">MAX(AR492:AR493)</f>
        <v>30</v>
      </c>
      <c r="AS494" s="2099">
        <f t="shared" ref="AS494" si="485">MAX(AS492:AS493)</f>
        <v>8</v>
      </c>
      <c r="AT494" s="2099">
        <f t="shared" ref="AT494" si="486">MAX(AT492:AT493)</f>
        <v>14</v>
      </c>
      <c r="AU494" s="2099">
        <f t="shared" ref="AU494" si="487">MAX(AU492:AU493)</f>
        <v>8</v>
      </c>
      <c r="AV494" s="2099">
        <f t="shared" ref="AV494" si="488">MAX(AV492:AV493)</f>
        <v>14</v>
      </c>
    </row>
    <row r="495" spans="2:63" ht="32" customHeight="1" x14ac:dyDescent="0.2">
      <c r="B495" s="2030"/>
      <c r="C495" s="52" t="s">
        <v>247</v>
      </c>
      <c r="D495" s="26"/>
      <c r="E495" s="101"/>
      <c r="F495" s="790"/>
      <c r="G495" s="789"/>
      <c r="H495" s="790">
        <f>F495*G495</f>
        <v>0</v>
      </c>
      <c r="I495" s="1647">
        <v>11</v>
      </c>
      <c r="J495" s="1648">
        <v>11</v>
      </c>
      <c r="K495" s="45" t="b">
        <f>IF(AND(F495&gt;=I495,F495&lt;=J495),TRUE,FALSE)</f>
        <v>0</v>
      </c>
      <c r="L495" s="45"/>
      <c r="M495" s="45"/>
      <c r="N495" s="45"/>
      <c r="O495" s="1623"/>
      <c r="P495" s="1647">
        <v>11</v>
      </c>
      <c r="Q495" s="1648">
        <v>11</v>
      </c>
      <c r="R495" s="1623" t="b">
        <f>IF(AND(F495&gt;=P495,F495&lt;=Q495),TRUE,FALSE)</f>
        <v>0</v>
      </c>
      <c r="S495" s="1647">
        <v>11</v>
      </c>
      <c r="T495" s="1648">
        <v>11</v>
      </c>
      <c r="U495" s="1623" t="b">
        <f>IF(AND(F495&gt;=S495,F495&lt;=T495),TRUE,FALSE)</f>
        <v>0</v>
      </c>
      <c r="V495" s="931"/>
      <c r="W495" s="1403"/>
      <c r="X495" s="1422">
        <v>11</v>
      </c>
      <c r="Y495" s="1423"/>
      <c r="Z495" s="1424">
        <v>11</v>
      </c>
      <c r="AA495" s="1423"/>
      <c r="AB495" s="1416">
        <v>11</v>
      </c>
      <c r="AD495" s="960"/>
      <c r="AE495" s="961"/>
      <c r="AF495" s="960"/>
      <c r="AG495" s="961"/>
      <c r="AH495" s="960"/>
      <c r="AI495" s="961"/>
      <c r="AK495" s="10"/>
      <c r="AL495" s="10"/>
      <c r="AM495" s="10"/>
      <c r="AN495" s="975">
        <f>IF(K495=TRUE,H495,0)</f>
        <v>0</v>
      </c>
      <c r="AO495" s="975">
        <f>IF(R495=TRUE,H495,0)</f>
        <v>0</v>
      </c>
      <c r="AP495" s="975">
        <f>IF(U495=TRUE,H495,0)</f>
        <v>0</v>
      </c>
      <c r="AQ495" s="1806">
        <f>IF(I495=11,0,G495*I495)</f>
        <v>0</v>
      </c>
      <c r="AR495" s="1806">
        <f>IF(J495=11,0,G495*J495)</f>
        <v>0</v>
      </c>
      <c r="AS495" s="1806">
        <f>IF(P495=11,0,G495*P495)</f>
        <v>0</v>
      </c>
      <c r="AT495" s="1806">
        <f>IF(Q495=11,0,G495*Q495)</f>
        <v>0</v>
      </c>
      <c r="AU495" s="1806">
        <f>IF(S495=11,0,S495*G495)</f>
        <v>0</v>
      </c>
      <c r="AV495" s="1806">
        <f>IF(T495=11,0,T495*G495)</f>
        <v>0</v>
      </c>
    </row>
    <row r="496" spans="2:63" ht="32" customHeight="1" x14ac:dyDescent="0.2">
      <c r="B496" s="2030"/>
      <c r="C496" s="52" t="s">
        <v>247</v>
      </c>
      <c r="D496" s="26"/>
      <c r="E496" s="62"/>
      <c r="F496" s="35"/>
      <c r="G496" s="35"/>
      <c r="H496" s="35">
        <f>F496*G496</f>
        <v>0</v>
      </c>
      <c r="I496" s="1647">
        <v>11</v>
      </c>
      <c r="J496" s="1648">
        <v>11</v>
      </c>
      <c r="K496" s="45" t="b">
        <f>IF(AND(F496&gt;=I496,F496&lt;=J496),TRUE,FALSE)</f>
        <v>0</v>
      </c>
      <c r="L496" s="45"/>
      <c r="M496" s="45"/>
      <c r="N496" s="45"/>
      <c r="O496" s="1623"/>
      <c r="P496" s="1647">
        <v>11</v>
      </c>
      <c r="Q496" s="1648">
        <v>11</v>
      </c>
      <c r="R496" s="1623" t="b">
        <f>IF(AND(F496&gt;=P496,F496&lt;=Q496),TRUE,FALSE)</f>
        <v>0</v>
      </c>
      <c r="S496" s="1647">
        <v>11</v>
      </c>
      <c r="T496" s="1648">
        <v>11</v>
      </c>
      <c r="U496" s="1623" t="b">
        <f>IF(AND(F496&gt;=S496,F496&lt;=T496),TRUE,FALSE)</f>
        <v>0</v>
      </c>
      <c r="V496" s="931"/>
      <c r="W496" s="1406" t="s">
        <v>943</v>
      </c>
      <c r="X496" s="1425">
        <v>11</v>
      </c>
      <c r="Y496" s="1426"/>
      <c r="Z496" s="1427">
        <v>11</v>
      </c>
      <c r="AA496" s="1426"/>
      <c r="AB496" s="1421">
        <v>11</v>
      </c>
      <c r="AD496" s="960"/>
      <c r="AE496" s="961"/>
      <c r="AF496" s="960"/>
      <c r="AG496" s="961"/>
      <c r="AH496" s="960"/>
      <c r="AI496" s="961"/>
      <c r="AK496" s="10"/>
      <c r="AL496" s="10"/>
      <c r="AM496" s="10"/>
      <c r="AN496" s="975">
        <f>IF(K496=TRUE,H496,0)</f>
        <v>0</v>
      </c>
      <c r="AO496" s="975">
        <f>IF(R496=TRUE,H496,0)</f>
        <v>0</v>
      </c>
      <c r="AP496" s="975">
        <f>IF(U496=TRUE,H496,0)</f>
        <v>0</v>
      </c>
      <c r="AQ496" s="1806">
        <f>IF(I496=11,0,G496*I496)</f>
        <v>0</v>
      </c>
      <c r="AR496" s="1806">
        <f>IF(J496=11,0,G496*J496)</f>
        <v>0</v>
      </c>
      <c r="AS496" s="1806">
        <f>IF(P496=11,0,G496*P496)</f>
        <v>0</v>
      </c>
      <c r="AT496" s="1806">
        <f>IF(Q496=11,0,G496*Q496)</f>
        <v>0</v>
      </c>
      <c r="AU496" s="1806">
        <f>IF(S496=11,0,S496*G496)</f>
        <v>0</v>
      </c>
      <c r="AV496" s="1806">
        <f>IF(T496=11,0,T496*G496)</f>
        <v>0</v>
      </c>
    </row>
    <row r="497" spans="2:48" ht="32" customHeight="1" thickBot="1" x14ac:dyDescent="0.25">
      <c r="B497" s="2030"/>
      <c r="C497" s="798" t="s">
        <v>746</v>
      </c>
      <c r="D497" s="799">
        <f>_xlfn.XLOOKUP(H497,H495:H496,D495:D496)</f>
        <v>0</v>
      </c>
      <c r="E497" s="800">
        <f>_xlfn.XLOOKUP(H497,H495:H496,E495:E496)</f>
        <v>0</v>
      </c>
      <c r="F497" s="801"/>
      <c r="G497" s="801"/>
      <c r="H497" s="795">
        <f>IF(AND(K495=TRUE,K496=FALSE),H495,IF(AND(K495=FALSE,K496=TRUE),H496,MAX(H495,H496)))</f>
        <v>0</v>
      </c>
      <c r="I497" s="1625"/>
      <c r="J497" s="802"/>
      <c r="K497" s="803" t="b">
        <f>IF(AND(K495=FALSE,K496=FALSE),FALSE,TRUE)</f>
        <v>0</v>
      </c>
      <c r="L497" s="45"/>
      <c r="M497" s="45"/>
      <c r="N497" s="45"/>
      <c r="O497" s="1623"/>
      <c r="P497" s="1625"/>
      <c r="Q497" s="802"/>
      <c r="R497" s="1638" t="b">
        <f>IF(AND(R495=FALSE,R496=FALSE),FALSE,TRUE)</f>
        <v>0</v>
      </c>
      <c r="S497" s="1625"/>
      <c r="T497" s="802"/>
      <c r="U497" s="1638" t="b">
        <f>IF(AND(U495=FALSE,U496=FALSE),FALSE,TRUE)</f>
        <v>0</v>
      </c>
      <c r="V497" s="931"/>
      <c r="W497" s="931"/>
      <c r="X497" s="1392"/>
      <c r="Y497" s="8"/>
      <c r="Z497" s="1397"/>
      <c r="AA497" s="8"/>
      <c r="AB497" s="1400"/>
      <c r="AD497" s="960"/>
      <c r="AE497" s="961"/>
      <c r="AF497" s="960"/>
      <c r="AG497" s="961"/>
      <c r="AH497" s="960"/>
      <c r="AI497" s="961"/>
      <c r="AK497" s="10"/>
      <c r="AL497" s="10"/>
      <c r="AM497" s="10"/>
      <c r="AN497" s="2100">
        <f>IF($K497=TRUE,MAX(AN495:AN496),0)</f>
        <v>0</v>
      </c>
      <c r="AO497" s="2100">
        <f>IF($R497=TRUE,MAX(AO495:AO496),0)</f>
        <v>0</v>
      </c>
      <c r="AP497" s="2100">
        <f>IF($U497=TRUE,MAX(AP495:AP496),0)</f>
        <v>0</v>
      </c>
      <c r="AQ497" s="2099">
        <f>MAX(AQ495:AQ496)</f>
        <v>0</v>
      </c>
      <c r="AR497" s="2099">
        <f t="shared" ref="AR497" si="489">MAX(AR495:AR496)</f>
        <v>0</v>
      </c>
      <c r="AS497" s="2099">
        <f t="shared" ref="AS497" si="490">MAX(AS495:AS496)</f>
        <v>0</v>
      </c>
      <c r="AT497" s="2099">
        <f t="shared" ref="AT497" si="491">MAX(AT495:AT496)</f>
        <v>0</v>
      </c>
      <c r="AU497" s="2099">
        <f t="shared" ref="AU497" si="492">MAX(AU495:AU496)</f>
        <v>0</v>
      </c>
      <c r="AV497" s="2099">
        <f t="shared" ref="AV497" si="493">MAX(AV495:AV496)</f>
        <v>0</v>
      </c>
    </row>
    <row r="498" spans="2:48" ht="32" customHeight="1" thickBot="1" x14ac:dyDescent="0.25">
      <c r="B498" s="2030"/>
      <c r="C498" s="804" t="s">
        <v>754</v>
      </c>
      <c r="D498" s="805"/>
      <c r="E498" s="805">
        <f>IF(H498=H494,E494,E497)</f>
        <v>0</v>
      </c>
      <c r="F498" s="806"/>
      <c r="G498" s="806"/>
      <c r="H498" s="806">
        <f>IF(AND(K494=TRUE,K497=FALSE),H494,IF(AND(K494=FALSE,K497=TRUE),H497,IF(AND(K494=TRUE,K497=TRUE),H494+H497,MAX(H494,H497))))</f>
        <v>12</v>
      </c>
      <c r="I498" s="1626"/>
      <c r="J498" s="807"/>
      <c r="K498" s="808" t="b">
        <f>IF(AND(K494=FALSE,K497=FALSE),FALSE,TRUE)</f>
        <v>1</v>
      </c>
      <c r="L498" s="1610"/>
      <c r="M498" s="1610"/>
      <c r="N498" s="1610"/>
      <c r="O498" s="1627"/>
      <c r="P498" s="1626"/>
      <c r="Q498" s="807"/>
      <c r="R498" s="808" t="b">
        <f>IF(AND(R494=FALSE,R497=FALSE),FALSE,TRUE)</f>
        <v>1</v>
      </c>
      <c r="S498" s="1626"/>
      <c r="T498" s="807"/>
      <c r="U498" s="808" t="b">
        <f>IF(AND(U494=FALSE,U497=FALSE),FALSE,TRUE)</f>
        <v>1</v>
      </c>
      <c r="V498" s="931"/>
      <c r="W498" s="931" t="s">
        <v>942</v>
      </c>
      <c r="X498" s="1392"/>
      <c r="Y498" s="8"/>
      <c r="Z498" s="1397"/>
      <c r="AA498" s="8"/>
      <c r="AB498" s="1400"/>
      <c r="AD498" s="960" t="str">
        <f>IF(K498=TRUE,"V","F")</f>
        <v>V</v>
      </c>
      <c r="AE498" s="961"/>
      <c r="AF498" s="960" t="str">
        <f>IF(R498=TRUE,"V","F")</f>
        <v>V</v>
      </c>
      <c r="AG498" s="961"/>
      <c r="AH498" s="960" t="str">
        <f>IF(U498=TRUE,"V","F")</f>
        <v>V</v>
      </c>
      <c r="AI498" s="961"/>
      <c r="AJ498" t="str">
        <f>IF(OR(AD498="V",AF498="V"),IF(H497&gt;H494,"Le NC contribue plus que le coparent","Le coparent joue un plus grand rôle que le NC"),"pas de contexte significatif de la part du coparent et NC")</f>
        <v>Le coparent joue un plus grand rôle que le NC</v>
      </c>
      <c r="AK498" s="10"/>
      <c r="AL498" s="10"/>
      <c r="AM498" s="10"/>
      <c r="AN498" s="631">
        <f>IF(AND($K494=TRUE,$K497=FALSE),AN494,IF(AND($K494=FALSE,$K497=TRUE),AN497,IF(AND($K494=TRUE,$K497=TRUE),AN494+AN497,0)))</f>
        <v>12</v>
      </c>
      <c r="AO498" s="631">
        <f>IF(AND($R494=TRUE,$R497=FALSE),AO494,IF(AND($R494=FALSE,$R497=TRUE),AO497,IF(AND($R494=TRUE,$R497=TRUE),AO494+AO497,0)))</f>
        <v>8</v>
      </c>
      <c r="AP498" s="631">
        <f>IF(AND($U494=TRUE,$U497=FALSE),AP494,IF(AND($U494=FALSE,$U497=TRUE),AP497,IF(AND($U494=TRUE,$U497=TRUE),AP494+AP497,0)))</f>
        <v>8</v>
      </c>
      <c r="AQ498" s="631">
        <f>IF(AND($K494=TRUE,$K497=FALSE),AQ494,IF(AND($K494=FALSE,$K497=TRUE),AQ497,IF(AND($K494=TRUE,$K497=TRUE),AQ494+AQ497,MAX(AQ494,AQ497))))</f>
        <v>12</v>
      </c>
      <c r="AR498" s="631">
        <f>IF(AND($K494=TRUE,$K497=FALSE),AR494,IF(AND($K494=FALSE,$K497=TRUE),AR497,IF(AND($K494=TRUE,$K497=TRUE),AR494+AR497,MAX(AR494,AR497))))</f>
        <v>30</v>
      </c>
      <c r="AS498" s="631">
        <f t="shared" ref="AS498" si="494">IF(AND($R494=TRUE,$R497=FALSE),AS494,IF(AND($R494=FALSE,$R497=TRUE),AS497,IF(AND($R494=TRUE,$R497=TRUE),AS494+AS497,MAX(AS494,AS497))))</f>
        <v>8</v>
      </c>
      <c r="AT498" s="631">
        <f t="shared" ref="AT498" si="495">IF(AND($R494=TRUE,$R497=FALSE),AT494,IF(AND($R494=FALSE,$R497=TRUE),AT497,IF(AND($R494=TRUE,$R497=TRUE),AT494+AT497,MAX(AT494,AT497))))</f>
        <v>14</v>
      </c>
      <c r="AU498" s="631">
        <f t="shared" ref="AU498" si="496">IF(AND($U494=TRUE,$U497=FALSE),AU494,IF(AND($U494=FALSE,$U497=TRUE),AU497,IF(AND($U494=TRUE,$U497=TRUE),AU494+AU497,MAX(AU494,AU497))))</f>
        <v>8</v>
      </c>
      <c r="AV498" s="631">
        <f t="shared" ref="AV498" si="497">IF(AND($U494=TRUE,$U497=FALSE),AV494,IF(AND($U494=FALSE,$U497=TRUE),AV497,IF(AND($U494=TRUE,$U497=TRUE),AV494+AV497,MAX(AV494,AV497))))</f>
        <v>14</v>
      </c>
    </row>
    <row r="499" spans="2:48" ht="48" x14ac:dyDescent="0.2">
      <c r="B499" s="2030" t="str">
        <f>'Action-Réaction finale'!Q78</f>
        <v>F: Interférence lien affectif ou symbolique</v>
      </c>
      <c r="C499" s="313" t="str">
        <f>'Action-Réaction finale'!O78</f>
        <v>E21</v>
      </c>
      <c r="D499" s="26" t="str">
        <f>Test_Bible!B302</f>
        <v>Les jouets et les vêtements de votre enfant se promènent d’une maison à l’autre simplement.</v>
      </c>
      <c r="E499" s="101" t="s">
        <v>1291</v>
      </c>
      <c r="F499" s="790">
        <f>Test_Bible!P302</f>
        <v>4</v>
      </c>
      <c r="G499" s="789">
        <f>Test_Bible!D302</f>
        <v>1</v>
      </c>
      <c r="H499" s="790">
        <f>F499*G499</f>
        <v>4</v>
      </c>
      <c r="I499" s="1647">
        <v>11</v>
      </c>
      <c r="J499" s="1648">
        <v>11</v>
      </c>
      <c r="K499" s="45" t="b">
        <f>IF(AND(F499&gt;=I499,F499&lt;=J499),TRUE,FALSE)</f>
        <v>0</v>
      </c>
      <c r="L499" s="45"/>
      <c r="M499" s="45"/>
      <c r="N499" s="45"/>
      <c r="O499" s="1623"/>
      <c r="P499" s="1622">
        <v>2</v>
      </c>
      <c r="Q499" s="1615">
        <v>10</v>
      </c>
      <c r="R499" s="1623" t="b">
        <f>IF(AND(F499&gt;=P499,F499&lt;=Q499),TRUE,FALSE)</f>
        <v>1</v>
      </c>
      <c r="S499" s="1622"/>
      <c r="T499" s="1615"/>
      <c r="U499" s="1623"/>
      <c r="V499" s="1593"/>
      <c r="W499" s="1403"/>
      <c r="X499" s="1422">
        <v>11</v>
      </c>
      <c r="Y499" s="1423"/>
      <c r="Z499" s="1424">
        <v>11</v>
      </c>
      <c r="AA499" s="1423"/>
      <c r="AB499" s="1416">
        <v>11</v>
      </c>
      <c r="AD499" s="960" t="s">
        <v>945</v>
      </c>
      <c r="AE499" s="961"/>
      <c r="AF499" s="960"/>
      <c r="AG499" s="961"/>
      <c r="AH499" s="960"/>
      <c r="AI499" s="961"/>
      <c r="AK499" s="10"/>
      <c r="AL499" s="10"/>
      <c r="AM499" s="10"/>
      <c r="AN499" s="975">
        <f>IF($K499=TRUE,H499,0)</f>
        <v>0</v>
      </c>
      <c r="AO499" s="975">
        <f>IF($R499=TRUE,H499,0)</f>
        <v>4</v>
      </c>
      <c r="AP499" s="975"/>
      <c r="AQ499" s="1806">
        <f>IF(I499=11,0,G499*I499)</f>
        <v>0</v>
      </c>
      <c r="AR499" s="1806">
        <f>IF(J499=11,0,G499*J499)</f>
        <v>0</v>
      </c>
      <c r="AS499" s="1806">
        <f>IF(P499=11,0,G499*P499)</f>
        <v>2</v>
      </c>
      <c r="AT499" s="1806">
        <f>IF(Q499=11,0,G499*Q499)</f>
        <v>10</v>
      </c>
      <c r="AU499" s="1806"/>
      <c r="AV499" s="1806"/>
    </row>
    <row r="500" spans="2:48" ht="52" thickBot="1" x14ac:dyDescent="0.25">
      <c r="B500" s="2030" t="str">
        <f>'Action-Réaction finale'!Q79</f>
        <v>F: Interférence lien affectif ou symbolique</v>
      </c>
      <c r="C500" s="313" t="str">
        <f>'Action-Réaction finale'!O79</f>
        <v>E21a</v>
      </c>
      <c r="D500" s="767" t="str">
        <f>Test_Bible!B303</f>
        <v xml:space="preserve">Dans quelle mesure diriez-vous que l'autre parent accepte que votre enfant apporte des objets qui proviennent de votre demeure ou de votre milieu ? </v>
      </c>
      <c r="E500" s="101" t="s">
        <v>1291</v>
      </c>
      <c r="F500" s="790">
        <f>Test_Bible!P303</f>
        <v>7</v>
      </c>
      <c r="G500" s="789">
        <f>Test_Bible!D303</f>
        <v>2</v>
      </c>
      <c r="H500" s="790">
        <f>F500*G500</f>
        <v>14</v>
      </c>
      <c r="I500" s="1622">
        <v>4</v>
      </c>
      <c r="J500" s="1615">
        <f>$J$18</f>
        <v>10</v>
      </c>
      <c r="K500" s="45" t="b">
        <f>IF(AND(F500&gt;=I500,F500&lt;=J500),TRUE,FALSE)</f>
        <v>1</v>
      </c>
      <c r="L500" s="45"/>
      <c r="M500" s="45"/>
      <c r="N500" s="45"/>
      <c r="O500" s="1623"/>
      <c r="P500" s="1622">
        <v>2</v>
      </c>
      <c r="Q500" s="1615">
        <v>7</v>
      </c>
      <c r="R500" s="1623" t="b">
        <f>IF(AND(F500&gt;=P500,F500&lt;=Q500),TRUE,FALSE)</f>
        <v>1</v>
      </c>
      <c r="S500" s="1647"/>
      <c r="T500" s="1648"/>
      <c r="U500" s="1623"/>
      <c r="V500" s="931"/>
      <c r="W500" s="1406" t="s">
        <v>943</v>
      </c>
      <c r="X500" s="1425">
        <v>11</v>
      </c>
      <c r="Y500" s="1426"/>
      <c r="Z500" s="1427">
        <v>11</v>
      </c>
      <c r="AA500" s="1426"/>
      <c r="AB500" s="1421">
        <v>11</v>
      </c>
      <c r="AD500" s="960"/>
      <c r="AE500" s="961"/>
      <c r="AF500" s="960"/>
      <c r="AG500" s="961"/>
      <c r="AH500" s="960"/>
      <c r="AI500" s="961"/>
      <c r="AK500" s="10"/>
      <c r="AL500" s="10"/>
      <c r="AM500" s="10"/>
      <c r="AN500" s="975">
        <f>IF($K500=TRUE,H500,0)</f>
        <v>14</v>
      </c>
      <c r="AO500" s="975">
        <f>IF($R500=TRUE,H500,0)</f>
        <v>14</v>
      </c>
      <c r="AP500" s="975"/>
      <c r="AQ500" s="1806">
        <f>IF(I500=11,0,G500*I500)</f>
        <v>8</v>
      </c>
      <c r="AR500" s="1806">
        <f>IF(J500=11,0,G500*J500)</f>
        <v>20</v>
      </c>
      <c r="AS500" s="1806">
        <f>IF(P500=11,0,G500*P500)</f>
        <v>4</v>
      </c>
      <c r="AT500" s="1806">
        <f>IF(Q500=11,0,G500*Q500)</f>
        <v>14</v>
      </c>
      <c r="AU500" s="1806"/>
      <c r="AV500" s="1806"/>
    </row>
    <row r="501" spans="2:48" ht="32" customHeight="1" thickBot="1" x14ac:dyDescent="0.25">
      <c r="B501" s="2030"/>
      <c r="C501" s="809" t="s">
        <v>747</v>
      </c>
      <c r="D501" s="810" t="str">
        <f>_xlfn.XLOOKUP(H501,H499:H500,D499:D500)</f>
        <v xml:space="preserve">Dans quelle mesure diriez-vous que l'autre parent accepte que votre enfant apporte des objets qui proviennent de votre demeure ou de votre milieu ? </v>
      </c>
      <c r="E501" s="810" t="str">
        <f>_xlfn.XLOOKUP(H501,H499:H500,E499:E500)</f>
        <v>ne peut transporter ses objets d'une demeure à l'autre</v>
      </c>
      <c r="F501" s="811"/>
      <c r="G501" s="811"/>
      <c r="H501" s="811">
        <f>IF(AND(K499=TRUE,K500=FALSE),H499,IF(AND(K499=FALSE,K500=TRUE),H500,MAX(H499,H500)))</f>
        <v>14</v>
      </c>
      <c r="I501" s="1628"/>
      <c r="J501" s="812"/>
      <c r="K501" s="813" t="b">
        <f>IF(AND(K499=FALSE,K500=FALSE),FALSE,TRUE)</f>
        <v>1</v>
      </c>
      <c r="L501" s="1611"/>
      <c r="M501" s="1611"/>
      <c r="N501" s="1611"/>
      <c r="O501" s="1629"/>
      <c r="P501" s="1628"/>
      <c r="Q501" s="812"/>
      <c r="R501" s="813" t="b">
        <f>IF(AND(R499=FALSE,R500=FALSE),FALSE,TRUE)</f>
        <v>1</v>
      </c>
      <c r="S501" s="1628"/>
      <c r="T501" s="812"/>
      <c r="U501" s="813"/>
      <c r="V501" s="931"/>
      <c r="W501" s="931"/>
      <c r="X501" s="1394"/>
      <c r="Z501" s="1398"/>
      <c r="AB501" s="1402"/>
      <c r="AD501" s="960" t="str">
        <f>IF(K501=TRUE,"V","F")</f>
        <v>V</v>
      </c>
      <c r="AE501" s="961"/>
      <c r="AF501" s="960" t="str">
        <f>IF(R501=TRUE,"V","F")</f>
        <v>V</v>
      </c>
      <c r="AG501" s="961"/>
      <c r="AH501" s="960"/>
      <c r="AI501" s="961"/>
      <c r="AK501" s="10"/>
      <c r="AL501" s="10"/>
      <c r="AM501" s="10"/>
      <c r="AN501" s="2102">
        <f>IF(AND($K499=TRUE,$K500=FALSE),AN499,IF(AND($K499=FALSE,$K500=TRUE),AN500,IF(AND($K499=TRUE,$K500=TRUE),MAX(AN499,AN500),0)))</f>
        <v>14</v>
      </c>
      <c r="AO501" s="2102">
        <f>IF(AND($R499=TRUE,$R500=FALSE),AO499,IF(AND($R499=FALSE,$R500=TRUE),AO500,IF(AND($R499=TRUE,$R500=TRUE),MAX(AO499,AO500),0)))</f>
        <v>14</v>
      </c>
      <c r="AP501" s="2102"/>
      <c r="AQ501" s="2102">
        <f>IF(AND($K499=TRUE,$K500=FALSE),AQ499,IF(AND($K499=FALSE,$K500=TRUE),AQ500,IF(AND($K499=TRUE,$K500=TRUE),MAX(AQ499,AQ500),0)))</f>
        <v>8</v>
      </c>
      <c r="AR501" s="2102">
        <f>IF(AND($K499=TRUE,$K500=FALSE),AR499,IF(AND($K499=FALSE,$K500=TRUE),AR500,IF(AND($K499=TRUE,$K500=TRUE),MAX(AR499,AR500),0)))</f>
        <v>20</v>
      </c>
      <c r="AS501" s="2102">
        <f t="shared" ref="AS501" si="498">IF(AND($R499=TRUE,$R500=FALSE),AS499,IF(AND($R499=FALSE,$R500=TRUE),AS500,IF(AND($R499=TRUE,$R500=TRUE),MAX(AS499,AS500),0)))</f>
        <v>4</v>
      </c>
      <c r="AT501" s="2102">
        <f t="shared" ref="AT501" si="499">IF(AND($R499=TRUE,$R500=FALSE),AT499,IF(AND($R499=FALSE,$R500=TRUE),AT500,IF(AND($R499=TRUE,$R500=TRUE),MAX(AT499,AT500),0)))</f>
        <v>14</v>
      </c>
      <c r="AU501" s="2102"/>
      <c r="AV501" s="2102"/>
    </row>
    <row r="502" spans="2:48" ht="32" customHeight="1" x14ac:dyDescent="0.2">
      <c r="B502" s="2030"/>
      <c r="D502" s="421" t="s">
        <v>310</v>
      </c>
      <c r="E502" s="785"/>
      <c r="F502" s="474" t="s">
        <v>398</v>
      </c>
      <c r="G502" s="47"/>
      <c r="H502" s="47">
        <f>IF(AND(K498=TRUE,K501=FALSE),H498,IF(AND(K498=FALSE,K501=TRUE),H501,IF(AND(K498=TRUE,K501=TRUE),H498+H501,MAX(H498,H501))))</f>
        <v>26</v>
      </c>
      <c r="I502" s="1630"/>
      <c r="J502" s="475"/>
      <c r="K502" s="1613"/>
      <c r="L502" s="1614" t="str">
        <f>IF(AND(K501=TRUE,K498=TRUE),E501,"")</f>
        <v>ne peut transporter ses objets d'une demeure à l'autre</v>
      </c>
      <c r="M502" s="1614" t="str">
        <f>IF(AND(K498=TRUE,K501=FALSE),"Bien que le parent "&amp;E498&amp;" l'enfant ne semble pas s'ingérer","")</f>
        <v/>
      </c>
      <c r="N502" s="1614" t="str">
        <f>IF(AND(K498=FALSE,K501=TRUE),E501&amp;" sans signe de la participation du parent favorisé et|ou nouveau conjoint.e","")</f>
        <v/>
      </c>
      <c r="O502" s="1631" t="str">
        <f>IF(AND(K498=FALSE,K501=FALSE),"aucun comportement significatif de cette nature","")</f>
        <v/>
      </c>
      <c r="P502" s="1630"/>
      <c r="Q502" s="475"/>
      <c r="R502" s="1639"/>
      <c r="S502" s="1630"/>
      <c r="T502" s="475"/>
      <c r="U502" s="1639"/>
      <c r="V502" s="931"/>
      <c r="W502" s="931"/>
      <c r="X502" s="1394"/>
      <c r="Z502" s="1398"/>
      <c r="AB502" s="1402"/>
      <c r="AD502" s="962"/>
      <c r="AE502" s="963">
        <f>IF(AND(AD498="V",AD501="V"),2,IF(OR(AD498="V",AD501="V"),1,0))</f>
        <v>2</v>
      </c>
      <c r="AF502" s="962"/>
      <c r="AG502" s="963">
        <f>IF(OR(AF498="V",AF501="V"),1,0)</f>
        <v>1</v>
      </c>
      <c r="AH502" s="962"/>
      <c r="AI502" s="963"/>
      <c r="AK502" s="10"/>
      <c r="AL502" s="10"/>
      <c r="AM502" s="10"/>
      <c r="AN502" s="2097">
        <f>IF(AND($AD498="V",$AD501="F"),AN498,IF(AND($AD498="F",$AD501="V"),AN501,IF(AND($AD498="V",$AD501="V"),AN498+AN501,0)))</f>
        <v>26</v>
      </c>
      <c r="AO502" s="2097">
        <f>IF(AND($AF498="V",$AF501="F"),AO498,IF(AND($AF498="F",$AF501="V"),AO501,IF(AND($AF498="V",$AF501="V"),AO498+AO501,0)))</f>
        <v>22</v>
      </c>
      <c r="AP502" s="2097"/>
      <c r="AQ502" s="2097">
        <f>IF(AND($AD498="V",$AD501="F"),AQ498,IF(AND($AD498="F",$AD501="V"),AQ501,IF(AND($AD498="V",$AD501="V"),AQ498+AQ501,0)))</f>
        <v>20</v>
      </c>
      <c r="AR502" s="2097">
        <f>IF(AND($AD498="V",$AD501="F"),AR498,IF(AND($AD498="F",$AD501="V"),AR501,IF(AND($AD498="V",$AD501="V"),AR498+AR501,0)))</f>
        <v>50</v>
      </c>
      <c r="AS502" s="2097">
        <f>IF(AND($AF498="V",$AF501="F"),AS498,IF(AND($AF498="F",$AF501="V"),AS501,IF(AND($AF498="V",$AF501="V"),AS498+AS501,0)))</f>
        <v>12</v>
      </c>
      <c r="AT502" s="2097">
        <f>IF(AND($AF498="V",$AF501="F"),AT498,IF(AND($AF498="F",$AF501="V"),AT501,IF(AND($AF498="V",$AF501="V"),AT498+AT501,0)))</f>
        <v>28</v>
      </c>
      <c r="AU502" s="2097"/>
      <c r="AV502" s="2097"/>
    </row>
    <row r="503" spans="2:48" ht="32" customHeight="1" x14ac:dyDescent="0.2">
      <c r="B503" s="2030"/>
      <c r="C503" t="s">
        <v>243</v>
      </c>
      <c r="I503" s="146"/>
      <c r="L503" s="46"/>
      <c r="M503" s="46"/>
      <c r="N503" s="46"/>
      <c r="O503" s="1652"/>
      <c r="P503" s="146"/>
      <c r="R503" s="326"/>
      <c r="S503" s="146"/>
      <c r="U503" s="326"/>
      <c r="V503" s="170"/>
      <c r="W503" s="933"/>
      <c r="X503" s="1394"/>
      <c r="Z503" s="1398"/>
      <c r="AB503" s="1402"/>
      <c r="AD503" s="960"/>
      <c r="AE503" s="961"/>
      <c r="AF503" s="960"/>
      <c r="AG503" s="961"/>
      <c r="AH503" s="960"/>
      <c r="AI503" s="961"/>
      <c r="AK503" s="10"/>
      <c r="AL503" s="10"/>
      <c r="AM503" s="10"/>
      <c r="AN503" s="975"/>
      <c r="AO503" s="975"/>
      <c r="AP503" s="975"/>
      <c r="AQ503" s="1806"/>
      <c r="AR503" s="1806"/>
      <c r="AS503" s="1806"/>
      <c r="AT503" s="1806"/>
      <c r="AU503" s="1806"/>
      <c r="AV503" s="1806"/>
    </row>
    <row r="504" spans="2:48" ht="32" customHeight="1" x14ac:dyDescent="0.2">
      <c r="B504" s="2030" t="str">
        <f>'Action-Réaction finale'!U78</f>
        <v>F: Interférence lien affectif ou symbolique</v>
      </c>
      <c r="C504" s="964" t="str">
        <f>'Action-Réaction finale'!S78</f>
        <v>PCR11</v>
      </c>
      <c r="D504" s="965" t="str">
        <f>Test_Bible!B139</f>
        <v>Vous acceptez que les vêtements et/ou jouets de votre enfant se promènent d’une maison à l’autre.</v>
      </c>
      <c r="E504" s="965"/>
      <c r="F504" s="973">
        <f>Test_Bible!P139</f>
        <v>1</v>
      </c>
      <c r="G504" s="973">
        <f>Test_Bible!D139</f>
        <v>2</v>
      </c>
      <c r="H504" s="973">
        <f>F504*G504</f>
        <v>2</v>
      </c>
      <c r="I504" s="1647">
        <v>11</v>
      </c>
      <c r="J504" s="1648">
        <v>11</v>
      </c>
      <c r="K504" s="45" t="b">
        <f>IF(AND(F504&gt;=I504,F504&lt;=J504),TRUE,FALSE)</f>
        <v>0</v>
      </c>
      <c r="L504" s="32"/>
      <c r="M504" s="32"/>
      <c r="N504" s="32"/>
      <c r="O504" s="1632"/>
      <c r="P504" s="1622">
        <v>2</v>
      </c>
      <c r="Q504" s="1615">
        <v>7</v>
      </c>
      <c r="R504" s="1623" t="b">
        <f>IF(AND(F504&gt;=P504,F504&lt;=Q504),TRUE,FALSE)</f>
        <v>0</v>
      </c>
      <c r="S504" s="1622">
        <v>4</v>
      </c>
      <c r="T504" s="1615">
        <v>7</v>
      </c>
      <c r="U504" s="1623" t="b">
        <f>IF(AND(F504&gt;=S504,F504&lt;=T504),TRUE,FALSE)</f>
        <v>0</v>
      </c>
      <c r="V504" s="46"/>
      <c r="AD504" s="960"/>
      <c r="AE504" s="961"/>
      <c r="AF504" s="960"/>
      <c r="AG504" s="961"/>
      <c r="AH504" s="960"/>
      <c r="AI504" s="961"/>
      <c r="AK504" s="10"/>
      <c r="AL504" s="10"/>
      <c r="AM504" s="10"/>
      <c r="AN504" s="975">
        <f>IF($K504=TRUE,H504,0)</f>
        <v>0</v>
      </c>
      <c r="AO504" s="975">
        <f>IF($R504=TRUE,H504,0)</f>
        <v>0</v>
      </c>
      <c r="AP504" s="975">
        <f>IF($U504=TRUE,H504,0)</f>
        <v>0</v>
      </c>
      <c r="AQ504" s="1806">
        <f>IF(I504=11,0,G504*I504)</f>
        <v>0</v>
      </c>
      <c r="AR504" s="1806">
        <f>IF(J504=11,0,G504*J504)</f>
        <v>0</v>
      </c>
      <c r="AS504" s="1806">
        <f>IF(P504=11,0,G504*P504)</f>
        <v>4</v>
      </c>
      <c r="AT504" s="1806">
        <f>IF(Q504=11,0,G504*Q504)</f>
        <v>14</v>
      </c>
      <c r="AU504" s="1806">
        <f>IF(S504=11,0,S504*G504)</f>
        <v>8</v>
      </c>
      <c r="AV504" s="1806">
        <f>IF(T504=11,0,T504*G504)</f>
        <v>14</v>
      </c>
    </row>
    <row r="505" spans="2:48" ht="32" customHeight="1" thickBot="1" x14ac:dyDescent="0.25">
      <c r="B505" s="2030"/>
      <c r="C505" s="964"/>
      <c r="D505" s="972"/>
      <c r="E505" s="965"/>
      <c r="F505" s="973"/>
      <c r="G505" s="973"/>
      <c r="H505" s="973">
        <f>F505*G505</f>
        <v>0</v>
      </c>
      <c r="I505" s="1647">
        <v>11</v>
      </c>
      <c r="J505" s="1648">
        <v>11</v>
      </c>
      <c r="K505" s="45" t="b">
        <f>IF(AND(F505&gt;=I505,F505&lt;=J505),TRUE,FALSE)</f>
        <v>0</v>
      </c>
      <c r="L505" s="32"/>
      <c r="M505" s="32"/>
      <c r="N505" s="32"/>
      <c r="O505" s="1632"/>
      <c r="P505" s="1647">
        <v>11</v>
      </c>
      <c r="Q505" s="1648">
        <v>11</v>
      </c>
      <c r="R505" s="1623" t="b">
        <f>IF(AND(F505&gt;=P505,F505&lt;=Q505),TRUE,FALSE)</f>
        <v>0</v>
      </c>
      <c r="S505" s="1647">
        <v>11</v>
      </c>
      <c r="T505" s="1648">
        <v>11</v>
      </c>
      <c r="U505" s="1623" t="b">
        <f>IF(AND(F505&gt;=S505,F505&lt;=T505),TRUE,FALSE)</f>
        <v>0</v>
      </c>
      <c r="V505" s="46"/>
      <c r="W505" s="1428"/>
      <c r="X505" s="1422">
        <v>11</v>
      </c>
      <c r="Y505" s="1423"/>
      <c r="Z505" s="1424">
        <v>11</v>
      </c>
      <c r="AA505" s="1423"/>
      <c r="AB505" s="1416">
        <v>11</v>
      </c>
      <c r="AD505" s="960"/>
      <c r="AE505" s="961"/>
      <c r="AF505" s="960"/>
      <c r="AG505" s="961"/>
      <c r="AH505" s="960"/>
      <c r="AI505" s="961"/>
      <c r="AK505" s="10"/>
      <c r="AL505" s="10"/>
      <c r="AM505" s="10"/>
      <c r="AN505" s="975">
        <f>IF($K505=TRUE,H505,0)</f>
        <v>0</v>
      </c>
      <c r="AO505" s="975">
        <f>IF($R505=TRUE,H505,0)</f>
        <v>0</v>
      </c>
      <c r="AP505" s="975">
        <f>IF($U505=TRUE,H505,0)</f>
        <v>0</v>
      </c>
      <c r="AQ505" s="1806">
        <f>IF(I505=11,0,G505*I505)</f>
        <v>0</v>
      </c>
      <c r="AR505" s="1806">
        <f>IF(J505=11,0,G505*J505)</f>
        <v>0</v>
      </c>
      <c r="AS505" s="1806">
        <f>IF(P505=11,0,G505*P505)</f>
        <v>0</v>
      </c>
      <c r="AT505" s="1806">
        <f>IF(Q505=11,0,G505*Q505)</f>
        <v>0</v>
      </c>
      <c r="AU505" s="1806">
        <f>IF(S505=11,0,S505*G505)</f>
        <v>0</v>
      </c>
      <c r="AV505" s="1806">
        <f>IF(T505=11,0,T505*G505)</f>
        <v>0</v>
      </c>
    </row>
    <row r="506" spans="2:48" ht="32" customHeight="1" thickBot="1" x14ac:dyDescent="0.35">
      <c r="H506" s="47">
        <f>IF(AND(K504=TRUE,K505=FALSE),H504,IF(AND(K504=FALSE,K505=TRUE),H505,MAX(H504,H505)))</f>
        <v>2</v>
      </c>
      <c r="I506" s="1644"/>
      <c r="J506" s="1645"/>
      <c r="K506" s="1651" t="b">
        <f>IF(AND(K504=FALSE,K505=FALSE),FALSE,TRUE)</f>
        <v>0</v>
      </c>
      <c r="L506" s="1633"/>
      <c r="M506" s="1634"/>
      <c r="N506" s="1634"/>
      <c r="O506" s="1635"/>
      <c r="P506" s="1644"/>
      <c r="Q506" s="1645"/>
      <c r="R506" s="1651" t="b">
        <f>IF(AND(R504=FALSE,R505=FALSE),FALSE,TRUE)</f>
        <v>0</v>
      </c>
      <c r="S506" s="1656"/>
      <c r="T506" s="1657"/>
      <c r="U506" s="1658" t="b">
        <f>IF(AND(U504=FALSE,U505=FALSE),FALSE,TRUE)</f>
        <v>0</v>
      </c>
      <c r="W506" s="1429"/>
      <c r="X506" s="1425">
        <v>11</v>
      </c>
      <c r="Y506" s="1426"/>
      <c r="Z506" s="1427">
        <v>11</v>
      </c>
      <c r="AA506" s="1426"/>
      <c r="AB506" s="1421">
        <v>11</v>
      </c>
      <c r="AD506" s="1564" t="str">
        <f>IF(K506=TRUE,"V","F")</f>
        <v>F</v>
      </c>
      <c r="AE506" s="1565"/>
      <c r="AF506" s="1564" t="str">
        <f>IF(R506=TRUE,"V","F")</f>
        <v>F</v>
      </c>
      <c r="AG506" s="1565"/>
      <c r="AH506" s="1564" t="str">
        <f>IF(U506=TRUE,"V","F")</f>
        <v>F</v>
      </c>
      <c r="AI506" s="1565"/>
      <c r="AK506" s="10"/>
      <c r="AL506" s="10"/>
      <c r="AM506" s="10"/>
      <c r="AN506" s="2102">
        <f>IF(AND($K504=TRUE,$K505=FALSE),AN504,IF(AND($K504=FALSE,$K505=TRUE),AN505,MAX(AN504,AN505)))</f>
        <v>0</v>
      </c>
      <c r="AO506" s="2102">
        <f>IF(AND($R504=TRUE,$R505=FALSE),AO504,IF(AND($R504=FALSE,$R505=TRUE),AO505,MAX(AO504,AO505)))</f>
        <v>0</v>
      </c>
      <c r="AP506" s="2102">
        <f>IF(AND($U504=TRUE,$U505=FALSE),AP504,IF(AND($U504=FALSE,$U505=TRUE),AP505,MAX(AP504,AP505)))</f>
        <v>0</v>
      </c>
      <c r="AQ506" s="2102">
        <f>IF(AND($K504=TRUE,$K505=FALSE),AQ504,IF(AND($K504=FALSE,$K505=TRUE),AQ505,MAX(AQ504,AQ505)))</f>
        <v>0</v>
      </c>
      <c r="AR506" s="2102">
        <f>IF(AND($K504=TRUE,$K505=FALSE),AR504,IF(AND($K504=FALSE,$K505=TRUE),AR505,MAX(AR504,AR505)))</f>
        <v>0</v>
      </c>
      <c r="AS506" s="2102">
        <f>IF(AND($R504=TRUE,$R505=FALSE),AS504,IF(AND($R504=FALSE,$R505=TRUE),AS505,MAX(AS504,AS505)))</f>
        <v>4</v>
      </c>
      <c r="AT506" s="2102">
        <f>IF(AND($R504=TRUE,$R505=FALSE),AT504,IF(AND($R504=FALSE,$R505=TRUE),AT505,MAX(AT504,AT505)))</f>
        <v>14</v>
      </c>
      <c r="AU506" s="2102">
        <f>IF(AND($U504=TRUE,$U505=FALSE),AU504,IF(AND($U504=FALSE,$U505=TRUE),AU505,MAX(AU504,AU505)))</f>
        <v>8</v>
      </c>
      <c r="AV506" s="2102">
        <f>IF(AND($U504=TRUE,$U505=FALSE),AV504,IF(AND($U504=FALSE,$U505=TRUE),AV505,MAX(AV504,AV505)))</f>
        <v>14</v>
      </c>
    </row>
    <row r="507" spans="2:48" ht="32" customHeight="1" x14ac:dyDescent="0.3">
      <c r="AD507" s="1649"/>
      <c r="AE507" s="1650">
        <f>IF(AND(AD506="V",AD498="V"),AE502-1,AE502)</f>
        <v>2</v>
      </c>
      <c r="AF507" s="1649"/>
      <c r="AG507" s="1650">
        <f>IF(OR(AF498="V",AF501="V",AF506="V"),1,0)</f>
        <v>1</v>
      </c>
      <c r="AH507" s="1649"/>
      <c r="AI507" s="1650">
        <f>IF(AH498="V",1,IF(AH506="V",1,0))</f>
        <v>1</v>
      </c>
      <c r="AK507" s="10">
        <v>1</v>
      </c>
      <c r="AL507" s="10">
        <v>1</v>
      </c>
      <c r="AM507" s="10">
        <v>1</v>
      </c>
      <c r="AN507" s="2101">
        <f>IF($AD506="F",AN502,AN502+AN506)</f>
        <v>26</v>
      </c>
      <c r="AO507" s="2101">
        <f>IF($AF506="F",AO502,AO502+AO506)</f>
        <v>22</v>
      </c>
      <c r="AP507" s="2101">
        <f>IF(AND($AH498="V",$AH506="F"),AP498,IF(AND($AH498="F",$AH506="V"),AP506,IF(AND($AH498="V",$AH506="V"),AP498+AP506,0)))</f>
        <v>8</v>
      </c>
      <c r="AQ507" s="2101">
        <f>IF($AD506="F",AQ502,AQ502+AQ506)</f>
        <v>20</v>
      </c>
      <c r="AR507" s="2101">
        <f t="shared" ref="AR507" si="500">IF($AD506="F",AR502,AR502+AR506)</f>
        <v>50</v>
      </c>
      <c r="AS507" s="2101">
        <f t="shared" ref="AS507" si="501">IF($AF506="F",AS502,AS502+AS506)</f>
        <v>12</v>
      </c>
      <c r="AT507" s="2101">
        <f t="shared" ref="AT507" si="502">IF($AF506="F",AT502,AT502+AT506)</f>
        <v>28</v>
      </c>
      <c r="AU507" s="2101">
        <f t="shared" ref="AU507" si="503">IF(AND($AH498="V",$AH506="F"),AU498,IF(AND($AH498="F",$AH506="V"),AU506,IF(AND($AH498="V",$AH506="V"),AU498+AU506,0)))</f>
        <v>8</v>
      </c>
      <c r="AV507" s="2101">
        <f t="shared" ref="AV507" si="504">IF(AND($AH498="V",$AH506="F"),AV498,IF(AND($AH498="F",$AH506="V"),AV506,IF(AND($AH498="V",$AH506="V"),AV498+AV506,0)))</f>
        <v>14</v>
      </c>
    </row>
    <row r="508" spans="2:48" ht="32" customHeight="1" x14ac:dyDescent="0.3">
      <c r="AD508" s="1668"/>
      <c r="AE508" s="1669"/>
      <c r="AF508" s="1409"/>
      <c r="AG508" s="1409"/>
      <c r="AH508" s="1409"/>
      <c r="AI508" s="1409"/>
      <c r="AK508" s="10"/>
      <c r="AL508" s="10"/>
      <c r="AM508" s="10"/>
    </row>
    <row r="509" spans="2:48" ht="47" customHeight="1" x14ac:dyDescent="0.3">
      <c r="B509" s="2029">
        <v>26</v>
      </c>
      <c r="D509" s="476" t="str">
        <f>'Action-Réaction finale'!F81</f>
        <v>Sérénité et confidence face à la séparation</v>
      </c>
      <c r="E509" s="107"/>
      <c r="F509" s="65"/>
      <c r="G509" s="18"/>
      <c r="H509" s="18"/>
      <c r="I509" s="2255" t="s">
        <v>734</v>
      </c>
      <c r="J509" s="2256"/>
      <c r="K509" s="2256"/>
      <c r="L509" s="2257" t="s">
        <v>1378</v>
      </c>
      <c r="M509" s="2257"/>
      <c r="N509" s="2257"/>
      <c r="O509" s="2258"/>
      <c r="P509" s="2259" t="s">
        <v>733</v>
      </c>
      <c r="Q509" s="2260"/>
      <c r="R509" s="2261"/>
      <c r="S509" s="2262" t="s">
        <v>735</v>
      </c>
      <c r="T509" s="2263"/>
      <c r="U509" s="2264"/>
      <c r="V509" s="15"/>
      <c r="W509" s="15"/>
      <c r="AD509" s="956"/>
      <c r="AE509" s="956"/>
      <c r="AF509" s="956"/>
      <c r="AG509" s="956"/>
      <c r="AH509" s="956"/>
      <c r="AI509" s="957"/>
      <c r="AK509" s="10"/>
      <c r="AL509" s="10"/>
      <c r="AM509" s="10"/>
      <c r="AN509" s="1659" t="s">
        <v>734</v>
      </c>
      <c r="AO509" s="1659" t="s">
        <v>733</v>
      </c>
      <c r="AP509" s="1659" t="s">
        <v>735</v>
      </c>
      <c r="AQ509" s="2254" t="s">
        <v>734</v>
      </c>
      <c r="AR509" s="2254"/>
      <c r="AS509" s="2254" t="s">
        <v>733</v>
      </c>
      <c r="AT509" s="2254"/>
      <c r="AU509" s="2254" t="s">
        <v>735</v>
      </c>
      <c r="AV509" s="2254"/>
    </row>
    <row r="510" spans="2:48" ht="47" customHeight="1" x14ac:dyDescent="0.2">
      <c r="B510" s="2030"/>
      <c r="D510" s="102" t="s">
        <v>998</v>
      </c>
      <c r="E510" s="983" t="s">
        <v>997</v>
      </c>
      <c r="F510" s="32" t="s">
        <v>748</v>
      </c>
      <c r="G510" s="32" t="s">
        <v>749</v>
      </c>
      <c r="H510" s="32" t="s">
        <v>750</v>
      </c>
      <c r="I510" s="1620" t="s">
        <v>306</v>
      </c>
      <c r="J510" s="43" t="s">
        <v>307</v>
      </c>
      <c r="K510" s="43" t="s">
        <v>308</v>
      </c>
      <c r="L510" s="43" t="s">
        <v>413</v>
      </c>
      <c r="M510" s="43" t="s">
        <v>388</v>
      </c>
      <c r="N510" s="43" t="s">
        <v>389</v>
      </c>
      <c r="O510" s="1621" t="s">
        <v>390</v>
      </c>
      <c r="P510" s="1620" t="s">
        <v>306</v>
      </c>
      <c r="Q510" s="43" t="s">
        <v>307</v>
      </c>
      <c r="R510" s="1621" t="s">
        <v>308</v>
      </c>
      <c r="S510" s="1620" t="s">
        <v>306</v>
      </c>
      <c r="T510" s="43" t="s">
        <v>307</v>
      </c>
      <c r="U510" s="1621" t="s">
        <v>308</v>
      </c>
      <c r="V510" s="818"/>
      <c r="W510" s="955" t="s">
        <v>928</v>
      </c>
      <c r="X510" s="1391" t="s">
        <v>734</v>
      </c>
      <c r="Y510" s="955" t="s">
        <v>928</v>
      </c>
      <c r="Z510" s="1395" t="s">
        <v>733</v>
      </c>
      <c r="AA510" s="955"/>
      <c r="AB510" s="1399" t="s">
        <v>735</v>
      </c>
      <c r="AD510" s="970" t="s">
        <v>734</v>
      </c>
      <c r="AE510" s="971" t="s">
        <v>946</v>
      </c>
      <c r="AF510" s="970" t="s">
        <v>733</v>
      </c>
      <c r="AG510" s="971" t="s">
        <v>947</v>
      </c>
      <c r="AH510" s="970" t="s">
        <v>735</v>
      </c>
      <c r="AI510" s="971" t="s">
        <v>948</v>
      </c>
      <c r="AK510" s="10"/>
      <c r="AL510" s="10"/>
      <c r="AM510" s="10"/>
      <c r="AN510" s="10"/>
      <c r="AO510" s="10"/>
      <c r="AP510" s="10"/>
      <c r="AQ510" s="1806" t="s">
        <v>1322</v>
      </c>
      <c r="AR510" s="1806" t="s">
        <v>1323</v>
      </c>
      <c r="AS510" s="1806" t="s">
        <v>1322</v>
      </c>
      <c r="AT510" s="1806" t="s">
        <v>1323</v>
      </c>
      <c r="AU510" s="1806" t="s">
        <v>1322</v>
      </c>
      <c r="AV510" s="1806" t="s">
        <v>1323</v>
      </c>
    </row>
    <row r="511" spans="2:48" ht="39" customHeight="1" x14ac:dyDescent="0.2">
      <c r="B511" s="2030" t="str">
        <f>'Action-Réaction finale'!I81</f>
        <v>G: Parentification</v>
      </c>
      <c r="C511" s="22" t="str">
        <f>'Action-Réaction finale'!G81</f>
        <v>PFA31</v>
      </c>
      <c r="D511" s="1674" t="str">
        <f>Test_Bible!B243</f>
        <v xml:space="preserve">Dans quelle mesure diriez-vous que l'autre parent accepte ou vit bien avec la séparation (de couple ou familiale) ? </v>
      </c>
      <c r="E511" s="299" t="s">
        <v>1292</v>
      </c>
      <c r="F511" s="889">
        <f>Test_Bible!P243</f>
        <v>7</v>
      </c>
      <c r="G511" s="544">
        <f>Test_Bible!D243</f>
        <v>1</v>
      </c>
      <c r="H511" s="790">
        <f>F511*G511</f>
        <v>7</v>
      </c>
      <c r="I511" s="1647">
        <v>11</v>
      </c>
      <c r="J511" s="1648">
        <v>11</v>
      </c>
      <c r="K511" s="45" t="b">
        <f>IF(AND(F511&gt;=I511,F511&lt;=J511),TRUE,FALSE)</f>
        <v>0</v>
      </c>
      <c r="L511" s="45"/>
      <c r="M511" s="45"/>
      <c r="N511" s="45"/>
      <c r="O511" s="1623"/>
      <c r="P511" s="1647">
        <v>11</v>
      </c>
      <c r="Q511" s="1648">
        <v>11</v>
      </c>
      <c r="R511" s="1623" t="b">
        <f>IF(AND(F511&gt;=P511,F511&lt;=Q511),TRUE,FALSE)</f>
        <v>0</v>
      </c>
      <c r="S511" s="1622">
        <v>4</v>
      </c>
      <c r="T511" s="1615">
        <v>10</v>
      </c>
      <c r="U511" s="1623" t="b">
        <f>IF(AND(F511&gt;=S511,F511&lt;=T511),TRUE,FALSE)</f>
        <v>1</v>
      </c>
      <c r="V511" s="931"/>
      <c r="W511" s="1403"/>
      <c r="X511" s="1422">
        <v>11</v>
      </c>
      <c r="Y511" s="1423"/>
      <c r="Z511" s="1424">
        <v>11</v>
      </c>
      <c r="AA511" s="1423"/>
      <c r="AB511" s="1416">
        <v>11</v>
      </c>
      <c r="AD511" s="958"/>
      <c r="AE511" s="959"/>
      <c r="AF511" s="958"/>
      <c r="AG511" s="959"/>
      <c r="AH511" s="958"/>
      <c r="AI511" s="959"/>
      <c r="AK511" s="10"/>
      <c r="AL511" s="10"/>
      <c r="AM511" s="10"/>
      <c r="AN511" s="975">
        <f>IF($K511=TRUE,H511,0)</f>
        <v>0</v>
      </c>
      <c r="AO511" s="975">
        <f>IF($R511=TRUE,H511,0)</f>
        <v>0</v>
      </c>
      <c r="AP511" s="975">
        <f>IF($U511=TRUE,H511,0)</f>
        <v>7</v>
      </c>
      <c r="AQ511" s="1806">
        <f>IF(I511=11,0,G511*I511)</f>
        <v>0</v>
      </c>
      <c r="AR511" s="1806">
        <f>IF(J511=11,0,G511*J511)</f>
        <v>0</v>
      </c>
      <c r="AS511" s="1806">
        <f>IF(P511=11,0,G511*P511)</f>
        <v>0</v>
      </c>
      <c r="AT511" s="1806">
        <f>IF(Q511=11,0,G511*Q511)</f>
        <v>0</v>
      </c>
      <c r="AU511" s="1806">
        <f>IF(S511=11,0,S511*G511)</f>
        <v>4</v>
      </c>
      <c r="AV511" s="1806">
        <f>IF(T511=11,0,T511*G511)</f>
        <v>10</v>
      </c>
    </row>
    <row r="512" spans="2:48" ht="39" customHeight="1" x14ac:dyDescent="0.2">
      <c r="B512" s="2030" t="str">
        <f>'Action-Réaction finale'!I82</f>
        <v>G: Parentification</v>
      </c>
      <c r="C512" s="22" t="str">
        <f>'Action-Réaction finale'!G82</f>
        <v>PFA31a</v>
      </c>
      <c r="D512" s="1674" t="str">
        <f>Test_Bible!B244</f>
        <v>L’autre parent confie à votre enfant sa peine concernant la séparation.</v>
      </c>
      <c r="E512" s="299"/>
      <c r="F512" s="889">
        <f>Test_Bible!P243</f>
        <v>7</v>
      </c>
      <c r="G512" s="544">
        <f>Test_Bible!D243</f>
        <v>1</v>
      </c>
      <c r="H512" s="790">
        <f>F512*G512</f>
        <v>7</v>
      </c>
      <c r="I512" s="1622">
        <v>7</v>
      </c>
      <c r="J512" s="1615">
        <v>10</v>
      </c>
      <c r="K512" s="45" t="b">
        <f>IF(AND(F512&gt;=I512,F512&lt;=J512),TRUE,FALSE)</f>
        <v>1</v>
      </c>
      <c r="L512" s="45"/>
      <c r="M512" s="45"/>
      <c r="N512" s="45"/>
      <c r="O512" s="1623"/>
      <c r="P512" s="1622">
        <v>2</v>
      </c>
      <c r="Q512" s="1615">
        <v>7</v>
      </c>
      <c r="R512" s="1623" t="b">
        <f>IF(AND(F512&gt;=P512,F512&lt;=Q512),TRUE,FALSE)</f>
        <v>1</v>
      </c>
      <c r="S512" s="1622">
        <v>4</v>
      </c>
      <c r="T512" s="1615">
        <v>7</v>
      </c>
      <c r="U512" s="1623" t="b">
        <f>IF(AND(F512&gt;=S512,F512&lt;=T512),TRUE,FALSE)</f>
        <v>1</v>
      </c>
      <c r="V512" s="931"/>
      <c r="W512" s="1406" t="s">
        <v>943</v>
      </c>
      <c r="X512" s="1425">
        <v>11</v>
      </c>
      <c r="Y512" s="1426"/>
      <c r="Z512" s="1427">
        <v>11</v>
      </c>
      <c r="AA512" s="1426"/>
      <c r="AB512" s="1421">
        <v>11</v>
      </c>
      <c r="AD512" s="960"/>
      <c r="AE512" s="961"/>
      <c r="AF512" s="960"/>
      <c r="AG512" s="961"/>
      <c r="AH512" s="960"/>
      <c r="AI512" s="961"/>
      <c r="AK512" s="10"/>
      <c r="AL512" s="10"/>
      <c r="AM512" s="10"/>
      <c r="AN512" s="975">
        <f>IF($K512=TRUE,H512,0)</f>
        <v>7</v>
      </c>
      <c r="AO512" s="975">
        <f>IF($R512=TRUE,H512,0)</f>
        <v>7</v>
      </c>
      <c r="AP512" s="975">
        <f>IF($U512=TRUE,H512,0)</f>
        <v>7</v>
      </c>
      <c r="AQ512" s="1806">
        <f>IF(I512=11,0,G512*I512)</f>
        <v>7</v>
      </c>
      <c r="AR512" s="1806">
        <f>IF(J512=11,0,G512*J512)</f>
        <v>10</v>
      </c>
      <c r="AS512" s="1806">
        <f>IF(P512=11,0,G512*P512)</f>
        <v>2</v>
      </c>
      <c r="AT512" s="1806">
        <f>IF(Q512=11,0,G512*Q512)</f>
        <v>7</v>
      </c>
      <c r="AU512" s="1806">
        <f>IF(S512=11,0,S512*G512)</f>
        <v>4</v>
      </c>
      <c r="AV512" s="1806">
        <f>IF(T512=11,0,T512*G512)</f>
        <v>7</v>
      </c>
    </row>
    <row r="513" spans="1:48" ht="39" customHeight="1" x14ac:dyDescent="0.2">
      <c r="B513" s="2030"/>
      <c r="C513" s="792" t="s">
        <v>745</v>
      </c>
      <c r="D513" s="793" t="str">
        <f>_xlfn.XLOOKUP(H513,H511:H512,D511:D512)</f>
        <v xml:space="preserve">Dans quelle mesure diriez-vous que l'autre parent accepte ou vit bien avec la séparation (de couple ou familiale) ? </v>
      </c>
      <c r="E513" s="794" t="str">
        <f>_xlfn.XLOOKUP(H513,H511:H512,E511:E512)</f>
        <v>ne permet pas les objets de l'autre parent chez lui</v>
      </c>
      <c r="F513" s="795"/>
      <c r="G513" s="795"/>
      <c r="H513" s="795">
        <f>IF(AND(K511=TRUE,K512=FALSE),H511,IF(AND(K511=FALSE,K512=TRUE),H512,MAX(H511,H512)))</f>
        <v>7</v>
      </c>
      <c r="I513" s="1624"/>
      <c r="J513" s="796"/>
      <c r="K513" s="797" t="b">
        <f>IF(AND(K511=FALSE,K512=FALSE),FALSE,TRUE)</f>
        <v>1</v>
      </c>
      <c r="L513" s="45"/>
      <c r="M513" s="45"/>
      <c r="N513" s="45"/>
      <c r="O513" s="1623"/>
      <c r="P513" s="1624"/>
      <c r="Q513" s="796"/>
      <c r="R513" s="1637" t="b">
        <f>IF(AND(R511=FALSE,R512=FALSE),FALSE,TRUE)</f>
        <v>1</v>
      </c>
      <c r="S513" s="1624"/>
      <c r="T513" s="796"/>
      <c r="U513" s="1637" t="b">
        <f>IF(AND(U511=FALSE,U512=FALSE),FALSE,TRUE)</f>
        <v>1</v>
      </c>
      <c r="V513" s="931"/>
      <c r="W513" s="931" t="s">
        <v>943</v>
      </c>
      <c r="X513" s="1392"/>
      <c r="Y513" s="8"/>
      <c r="Z513" s="1397"/>
      <c r="AA513" s="8"/>
      <c r="AB513" s="1400"/>
      <c r="AD513" s="960"/>
      <c r="AE513" s="961"/>
      <c r="AF513" s="960"/>
      <c r="AG513" s="961"/>
      <c r="AH513" s="960"/>
      <c r="AI513" s="961"/>
      <c r="AK513" s="10"/>
      <c r="AL513" s="10"/>
      <c r="AM513" s="10"/>
      <c r="AN513" s="2100">
        <f>IF($K513=TRUE,MAX(AN511:AN512),0)</f>
        <v>7</v>
      </c>
      <c r="AO513" s="2100">
        <f>IF($R513=TRUE,MAX(AO511:AO512),0)</f>
        <v>7</v>
      </c>
      <c r="AP513" s="2100">
        <f>IF($U513=TRUE,MAX(AP511:AP512),0)</f>
        <v>7</v>
      </c>
      <c r="AQ513" s="2099">
        <f>MAX(AQ511:AQ512)</f>
        <v>7</v>
      </c>
      <c r="AR513" s="2099">
        <f t="shared" ref="AR513" si="505">MAX(AR511:AR512)</f>
        <v>10</v>
      </c>
      <c r="AS513" s="2099">
        <f t="shared" ref="AS513" si="506">MAX(AS511:AS512)</f>
        <v>2</v>
      </c>
      <c r="AT513" s="2099">
        <f t="shared" ref="AT513" si="507">MAX(AT511:AT512)</f>
        <v>7</v>
      </c>
      <c r="AU513" s="2099">
        <f t="shared" ref="AU513" si="508">MAX(AU511:AU512)</f>
        <v>4</v>
      </c>
      <c r="AV513" s="2099">
        <f t="shared" ref="AV513" si="509">MAX(AV511:AV512)</f>
        <v>10</v>
      </c>
    </row>
    <row r="514" spans="1:48" ht="39" customHeight="1" x14ac:dyDescent="0.2">
      <c r="A514" s="2277" t="s">
        <v>1856</v>
      </c>
      <c r="B514" s="2030" t="str">
        <f>'Action-Réaction finale'!M81</f>
        <v>Alliance</v>
      </c>
      <c r="C514" s="52" t="str">
        <f>BIBLE!E217</f>
        <v>NC01</v>
      </c>
      <c r="D514" s="26" t="str">
        <f>BIBLE!F217</f>
        <v>Le nouveau ou nouvelle conjoint·e joue un rôle de confident·e auprès de votre enfant.</v>
      </c>
      <c r="E514" s="101"/>
      <c r="F514" s="790">
        <f>Test_Bible!P404</f>
        <v>2</v>
      </c>
      <c r="G514" s="790">
        <f>Test_Bible!D404</f>
        <v>0</v>
      </c>
      <c r="H514" s="790">
        <f>F514*G514</f>
        <v>0</v>
      </c>
      <c r="I514" s="1647">
        <v>11</v>
      </c>
      <c r="J514" s="1648">
        <v>11</v>
      </c>
      <c r="K514" s="45" t="b">
        <f>IF(AND(F514&gt;=I514,F514&lt;=J514),TRUE,FALSE)</f>
        <v>0</v>
      </c>
      <c r="L514" s="45"/>
      <c r="M514" s="45"/>
      <c r="N514" s="45"/>
      <c r="O514" s="1623"/>
      <c r="P514" s="1647">
        <v>11</v>
      </c>
      <c r="Q514" s="1648">
        <v>11</v>
      </c>
      <c r="R514" s="1623" t="b">
        <f>IF(AND(F514&gt;=P514,F514&lt;=Q514),TRUE,FALSE)</f>
        <v>0</v>
      </c>
      <c r="S514" s="1647">
        <v>11</v>
      </c>
      <c r="T514" s="1648">
        <v>11</v>
      </c>
      <c r="U514" s="1623" t="b">
        <f>IF(AND(F514&gt;=S514,F514&lt;=T514),TRUE,FALSE)</f>
        <v>0</v>
      </c>
      <c r="V514" s="931"/>
      <c r="W514" s="1403"/>
      <c r="X514" s="1422">
        <v>11</v>
      </c>
      <c r="Y514" s="1423"/>
      <c r="Z514" s="1424">
        <v>11</v>
      </c>
      <c r="AA514" s="1423"/>
      <c r="AB514" s="1416">
        <v>11</v>
      </c>
      <c r="AD514" s="960"/>
      <c r="AE514" s="961"/>
      <c r="AF514" s="960"/>
      <c r="AG514" s="961"/>
      <c r="AH514" s="960"/>
      <c r="AI514" s="961"/>
      <c r="AK514" s="10"/>
      <c r="AL514" s="10"/>
      <c r="AM514" s="10"/>
      <c r="AN514" s="975">
        <f>IF(K514=TRUE,H514,0)</f>
        <v>0</v>
      </c>
      <c r="AO514" s="975">
        <f>IF(R514=TRUE,H514,0)</f>
        <v>0</v>
      </c>
      <c r="AP514" s="975">
        <f>IF(U514=TRUE,H514,0)</f>
        <v>0</v>
      </c>
      <c r="AQ514" s="1806">
        <f>IF(I514=11,0,G514*I514)</f>
        <v>0</v>
      </c>
      <c r="AR514" s="1806">
        <f>IF(J514=11,0,G514*J514)</f>
        <v>0</v>
      </c>
      <c r="AS514" s="1806">
        <f>IF(P514=11,0,G514*P514)</f>
        <v>0</v>
      </c>
      <c r="AT514" s="1806">
        <f>IF(Q514=11,0,G514*Q514)</f>
        <v>0</v>
      </c>
      <c r="AU514" s="1806">
        <f>IF(S514=11,0,S514*G514)</f>
        <v>0</v>
      </c>
      <c r="AV514" s="1806">
        <f>IF(T514=11,0,T514*G514)</f>
        <v>0</v>
      </c>
    </row>
    <row r="515" spans="1:48" ht="39" customHeight="1" x14ac:dyDescent="0.2">
      <c r="A515" s="2277"/>
      <c r="B515" s="2030" t="str">
        <f>'Action-Réaction finale'!M82</f>
        <v>Alliance</v>
      </c>
      <c r="C515" s="52" t="str">
        <f>BIBLE!E218</f>
        <v>NC01a</v>
      </c>
      <c r="D515" s="26" t="str">
        <f>BIBLE!F218</f>
        <v>Dans quelle mesure cette relation de confident·e vous apparaît être saine ?</v>
      </c>
      <c r="E515" s="62"/>
      <c r="F515" s="790">
        <f>Test_Bible!P405</f>
        <v>0</v>
      </c>
      <c r="G515" s="790">
        <f>Test_Bible!D405</f>
        <v>2</v>
      </c>
      <c r="H515" s="35">
        <f>F515*G515</f>
        <v>0</v>
      </c>
      <c r="I515" s="1622">
        <v>7</v>
      </c>
      <c r="J515" s="1615">
        <v>10</v>
      </c>
      <c r="K515" s="45" t="b">
        <f>IF(AND(F515&gt;=I515,F515&lt;=J515),TRUE,FALSE)</f>
        <v>0</v>
      </c>
      <c r="L515" s="45"/>
      <c r="M515" s="45"/>
      <c r="N515" s="45"/>
      <c r="O515" s="1623"/>
      <c r="P515" s="1622">
        <v>2</v>
      </c>
      <c r="Q515" s="1615">
        <v>7</v>
      </c>
      <c r="R515" s="1623" t="b">
        <f>IF(AND(F515&gt;=P515,F515&lt;=Q515),TRUE,FALSE)</f>
        <v>0</v>
      </c>
      <c r="S515" s="1647">
        <v>11</v>
      </c>
      <c r="T515" s="1648">
        <v>11</v>
      </c>
      <c r="U515" s="1623" t="b">
        <f>IF(AND(F515&gt;=S515,F515&lt;=T515),TRUE,FALSE)</f>
        <v>0</v>
      </c>
      <c r="V515" s="931"/>
      <c r="W515" s="1406" t="s">
        <v>943</v>
      </c>
      <c r="X515" s="1425">
        <v>11</v>
      </c>
      <c r="Y515" s="1426"/>
      <c r="Z515" s="1427">
        <v>11</v>
      </c>
      <c r="AA515" s="1426"/>
      <c r="AB515" s="1421">
        <v>11</v>
      </c>
      <c r="AD515" s="960"/>
      <c r="AE515" s="961"/>
      <c r="AF515" s="960"/>
      <c r="AG515" s="961"/>
      <c r="AH515" s="960"/>
      <c r="AI515" s="961"/>
      <c r="AK515" s="10"/>
      <c r="AL515" s="10"/>
      <c r="AM515" s="10"/>
      <c r="AN515" s="975">
        <f>IF(K515=TRUE,H515,0)</f>
        <v>0</v>
      </c>
      <c r="AO515" s="975">
        <f>IF(R515=TRUE,H515,0)</f>
        <v>0</v>
      </c>
      <c r="AP515" s="975">
        <f>IF(U515=TRUE,H515,0)</f>
        <v>0</v>
      </c>
      <c r="AQ515" s="1806">
        <f>IF(I515=11,0,G515*I515)</f>
        <v>14</v>
      </c>
      <c r="AR515" s="1806">
        <f>IF(J515=11,0,G515*J515)</f>
        <v>20</v>
      </c>
      <c r="AS515" s="1806">
        <f>IF(P515=11,0,G515*P515)</f>
        <v>4</v>
      </c>
      <c r="AT515" s="1806">
        <f>IF(Q515=11,0,G515*Q515)</f>
        <v>14</v>
      </c>
      <c r="AU515" s="1806">
        <f>IF(S515=11,0,S515*G515)</f>
        <v>0</v>
      </c>
      <c r="AV515" s="1806">
        <f>IF(T515=11,0,T515*G515)</f>
        <v>0</v>
      </c>
    </row>
    <row r="516" spans="1:48" ht="39" customHeight="1" thickBot="1" x14ac:dyDescent="0.25">
      <c r="B516" s="2030"/>
      <c r="C516" s="798" t="s">
        <v>746</v>
      </c>
      <c r="D516" s="799" t="str">
        <f>_xlfn.XLOOKUP(H516,H514:H515,D514:D515)</f>
        <v>Le nouveau ou nouvelle conjoint·e joue un rôle de confident·e auprès de votre enfant.</v>
      </c>
      <c r="E516" s="800">
        <f>_xlfn.XLOOKUP(H516,H514:H515,E514:E515)</f>
        <v>0</v>
      </c>
      <c r="F516" s="801"/>
      <c r="G516" s="801"/>
      <c r="H516" s="795">
        <f>IF(AND(K514=TRUE,K515=FALSE),H514,IF(AND(K514=FALSE,K515=TRUE),H515,MAX(H514,H515)))</f>
        <v>0</v>
      </c>
      <c r="I516" s="1625"/>
      <c r="J516" s="802"/>
      <c r="K516" s="803" t="b">
        <f>IF(AND(K514=FALSE,K515=FALSE),FALSE,TRUE)</f>
        <v>0</v>
      </c>
      <c r="L516" s="45"/>
      <c r="M516" s="45"/>
      <c r="N516" s="45"/>
      <c r="O516" s="1623"/>
      <c r="P516" s="1625"/>
      <c r="Q516" s="802"/>
      <c r="R516" s="1638" t="b">
        <f>IF(AND(R514=FALSE,R515=FALSE),FALSE,TRUE)</f>
        <v>0</v>
      </c>
      <c r="S516" s="1625"/>
      <c r="T516" s="802"/>
      <c r="U516" s="1638" t="b">
        <f>IF(AND(U514=FALSE,U515=FALSE),FALSE,TRUE)</f>
        <v>0</v>
      </c>
      <c r="V516" s="931"/>
      <c r="W516" s="931"/>
      <c r="X516" s="1392"/>
      <c r="Y516" s="8"/>
      <c r="Z516" s="1397"/>
      <c r="AA516" s="8"/>
      <c r="AB516" s="1400"/>
      <c r="AD516" s="960"/>
      <c r="AE516" s="961"/>
      <c r="AF516" s="960"/>
      <c r="AG516" s="961"/>
      <c r="AH516" s="960"/>
      <c r="AI516" s="961"/>
      <c r="AK516" s="10"/>
      <c r="AL516" s="10"/>
      <c r="AM516" s="10"/>
      <c r="AN516" s="2100">
        <f>IF($K516=TRUE,MAX(AN514:AN515),0)</f>
        <v>0</v>
      </c>
      <c r="AO516" s="2100">
        <f>IF($R516=TRUE,MAX(AO514:AO515),0)</f>
        <v>0</v>
      </c>
      <c r="AP516" s="2100">
        <f>IF($U516=TRUE,MAX(AP514:AP515),0)</f>
        <v>0</v>
      </c>
      <c r="AQ516" s="2099">
        <f>MAX(AQ514:AQ515)</f>
        <v>14</v>
      </c>
      <c r="AR516" s="2099">
        <f t="shared" ref="AR516" si="510">MAX(AR514:AR515)</f>
        <v>20</v>
      </c>
      <c r="AS516" s="2099">
        <f t="shared" ref="AS516" si="511">MAX(AS514:AS515)</f>
        <v>4</v>
      </c>
      <c r="AT516" s="2099">
        <f t="shared" ref="AT516" si="512">MAX(AT514:AT515)</f>
        <v>14</v>
      </c>
      <c r="AU516" s="2099">
        <f t="shared" ref="AU516" si="513">MAX(AU514:AU515)</f>
        <v>0</v>
      </c>
      <c r="AV516" s="2099">
        <f t="shared" ref="AV516" si="514">MAX(AV514:AV515)</f>
        <v>0</v>
      </c>
    </row>
    <row r="517" spans="1:48" ht="39" customHeight="1" thickBot="1" x14ac:dyDescent="0.25">
      <c r="B517" s="2030"/>
      <c r="C517" s="804" t="s">
        <v>754</v>
      </c>
      <c r="D517" s="805"/>
      <c r="E517" s="805" t="str">
        <f>IF(H517=H513,E513,E516)</f>
        <v>ne permet pas les objets de l'autre parent chez lui</v>
      </c>
      <c r="F517" s="806"/>
      <c r="G517" s="806"/>
      <c r="H517" s="806">
        <f>IF(AND(K513=TRUE,K516=FALSE),H513,IF(AND(K513=FALSE,K516=TRUE),H516,IF(AND(K513=TRUE,K516=TRUE),H513+H516,MAX(H513,H516))))</f>
        <v>7</v>
      </c>
      <c r="I517" s="1626"/>
      <c r="J517" s="807"/>
      <c r="K517" s="808" t="b">
        <f>IF(AND(K513=FALSE,K516=FALSE),FALSE,TRUE)</f>
        <v>1</v>
      </c>
      <c r="L517" s="1610"/>
      <c r="M517" s="1610"/>
      <c r="N517" s="1610"/>
      <c r="O517" s="1627"/>
      <c r="P517" s="1626"/>
      <c r="Q517" s="807"/>
      <c r="R517" s="808" t="b">
        <f>IF(AND(R513=FALSE,R516=FALSE),FALSE,TRUE)</f>
        <v>1</v>
      </c>
      <c r="S517" s="1626"/>
      <c r="T517" s="807"/>
      <c r="U517" s="808" t="b">
        <f>IF(AND(U513=FALSE,U516=FALSE),FALSE,TRUE)</f>
        <v>1</v>
      </c>
      <c r="V517" s="931"/>
      <c r="W517" s="931" t="s">
        <v>942</v>
      </c>
      <c r="X517" s="1392"/>
      <c r="Y517" s="8"/>
      <c r="Z517" s="1397"/>
      <c r="AA517" s="8"/>
      <c r="AB517" s="1400"/>
      <c r="AD517" s="960" t="str">
        <f>IF(K517=TRUE,"V","F")</f>
        <v>V</v>
      </c>
      <c r="AE517" s="961"/>
      <c r="AF517" s="960" t="str">
        <f>IF(R517=TRUE,"V","F")</f>
        <v>V</v>
      </c>
      <c r="AG517" s="961"/>
      <c r="AH517" s="960" t="str">
        <f>IF(U517=TRUE,"V","F")</f>
        <v>V</v>
      </c>
      <c r="AI517" s="961"/>
      <c r="AJ517" t="str">
        <f>IF(OR(AD517="V",AF517="V"),IF(H516&gt;H513,"Le NC contribue plus que le coparent","Le coparent joue un plus grand rôle que le NC"),"pas de contexte significatif de la part du coparent et NC")</f>
        <v>Le coparent joue un plus grand rôle que le NC</v>
      </c>
      <c r="AK517" s="10"/>
      <c r="AL517" s="10"/>
      <c r="AM517" s="10"/>
      <c r="AN517" s="631">
        <f>IF(AND($K513=TRUE,$K516=FALSE),AN513,IF(AND($K513=FALSE,$K516=TRUE),AN516,IF(AND($K513=TRUE,$K516=TRUE),AN513+AN516,0)))</f>
        <v>7</v>
      </c>
      <c r="AO517" s="631">
        <f>IF(AND($R513=TRUE,$R516=FALSE),AO513,IF(AND($R513=FALSE,$R516=TRUE),AO516,IF(AND($R513=TRUE,$R516=TRUE),AO513+AO516,0)))</f>
        <v>7</v>
      </c>
      <c r="AP517" s="631">
        <f>IF(AND($U513=TRUE,$U516=FALSE),AP513,IF(AND($U513=FALSE,$U516=TRUE),AP516,IF(AND($U513=TRUE,$U516=TRUE),AP513+AP516,0)))</f>
        <v>7</v>
      </c>
      <c r="AQ517" s="631">
        <f>IF(AND($K513=TRUE,$K516=FALSE),AQ513,IF(AND($K513=FALSE,$K516=TRUE),AQ516,IF(AND($K513=TRUE,$K516=TRUE),AQ513+AQ516,MAX(AQ513,AQ516))))</f>
        <v>7</v>
      </c>
      <c r="AR517" s="631">
        <f>IF(AND($K513=TRUE,$K516=FALSE),AR513,IF(AND($K513=FALSE,$K516=TRUE),AR516,IF(AND($K513=TRUE,$K516=TRUE),AR513+AR516,MAX(AR513,AR516))))</f>
        <v>10</v>
      </c>
      <c r="AS517" s="631">
        <f t="shared" ref="AS517" si="515">IF(AND($R513=TRUE,$R516=FALSE),AS513,IF(AND($R513=FALSE,$R516=TRUE),AS516,IF(AND($R513=TRUE,$R516=TRUE),AS513+AS516,MAX(AS513,AS516))))</f>
        <v>2</v>
      </c>
      <c r="AT517" s="631">
        <f t="shared" ref="AT517" si="516">IF(AND($R513=TRUE,$R516=FALSE),AT513,IF(AND($R513=FALSE,$R516=TRUE),AT516,IF(AND($R513=TRUE,$R516=TRUE),AT513+AT516,MAX(AT513,AT516))))</f>
        <v>7</v>
      </c>
      <c r="AU517" s="631">
        <f t="shared" ref="AU517" si="517">IF(AND($U513=TRUE,$U516=FALSE),AU513,IF(AND($U513=FALSE,$U516=TRUE),AU516,IF(AND($U513=TRUE,$U516=TRUE),AU513+AU516,MAX(AU513,AU516))))</f>
        <v>4</v>
      </c>
      <c r="AV517" s="631">
        <f t="shared" ref="AV517" si="518">IF(AND($U513=TRUE,$U516=FALSE),AV513,IF(AND($U513=FALSE,$U516=TRUE),AV516,IF(AND($U513=TRUE,$U516=TRUE),AV513+AV516,MAX(AV513,AV516))))</f>
        <v>10</v>
      </c>
    </row>
    <row r="518" spans="1:48" ht="42" customHeight="1" x14ac:dyDescent="0.2">
      <c r="B518" s="2030" t="str">
        <f>'Action-Réaction finale'!Q81</f>
        <v>C: Chantage affectif, loyauté, manipulation</v>
      </c>
      <c r="C518" s="313" t="str">
        <f>Test_Bible!A282</f>
        <v>E09</v>
      </c>
      <c r="D518" s="26" t="str">
        <f>Test_Bible!B282</f>
        <v/>
      </c>
      <c r="E518" s="101" t="s">
        <v>1291</v>
      </c>
      <c r="F518" s="790">
        <f>Test_Bible!P282</f>
        <v>0</v>
      </c>
      <c r="G518" s="789">
        <f>Test_Bible!D284</f>
        <v>2</v>
      </c>
      <c r="H518" s="790">
        <f>F518*G518</f>
        <v>0</v>
      </c>
      <c r="I518" s="1622">
        <v>7</v>
      </c>
      <c r="J518" s="1615">
        <f>$J$18</f>
        <v>10</v>
      </c>
      <c r="K518" s="45" t="b">
        <f>IF(AND(F518&gt;=I518,F518&lt;=J518),TRUE,FALSE)</f>
        <v>0</v>
      </c>
      <c r="L518" s="45"/>
      <c r="M518" s="45"/>
      <c r="N518" s="45"/>
      <c r="O518" s="1623"/>
      <c r="P518" s="1622">
        <v>2</v>
      </c>
      <c r="Q518" s="1615">
        <v>7</v>
      </c>
      <c r="R518" s="1623" t="b">
        <f>IF(AND(F518&gt;=P518,F518&lt;=Q518),TRUE,FALSE)</f>
        <v>0</v>
      </c>
      <c r="S518" s="1622"/>
      <c r="T518" s="1615"/>
      <c r="U518" s="1623"/>
      <c r="V518" s="1593"/>
      <c r="W518" s="1403"/>
      <c r="X518" s="1422">
        <v>11</v>
      </c>
      <c r="Y518" s="1423"/>
      <c r="Z518" s="1424">
        <v>11</v>
      </c>
      <c r="AA518" s="1423"/>
      <c r="AB518" s="1416">
        <v>11</v>
      </c>
      <c r="AD518" s="960" t="s">
        <v>945</v>
      </c>
      <c r="AE518" s="961"/>
      <c r="AF518" s="960"/>
      <c r="AG518" s="961"/>
      <c r="AH518" s="960"/>
      <c r="AI518" s="961"/>
      <c r="AK518" s="10"/>
      <c r="AL518" s="10"/>
      <c r="AM518" s="10"/>
      <c r="AN518" s="975">
        <f>IF($K518=TRUE,H518,0)</f>
        <v>0</v>
      </c>
      <c r="AO518" s="975">
        <f>IF($R518=TRUE,H518,0)</f>
        <v>0</v>
      </c>
      <c r="AP518" s="975"/>
      <c r="AQ518" s="1806">
        <f>IF(I518=11,0,G518*I518)</f>
        <v>14</v>
      </c>
      <c r="AR518" s="1806">
        <f>IF(J518=11,0,G518*J518)</f>
        <v>20</v>
      </c>
      <c r="AS518" s="1806">
        <f>IF(P518=11,0,G518*P518)</f>
        <v>4</v>
      </c>
      <c r="AT518" s="1806">
        <f>IF(Q518=11,0,G518*Q518)</f>
        <v>14</v>
      </c>
      <c r="AU518" s="1806"/>
      <c r="AV518" s="1806"/>
    </row>
    <row r="519" spans="1:48" ht="42" customHeight="1" x14ac:dyDescent="0.2">
      <c r="B519" s="2030" t="str">
        <f>'Action-Réaction finale'!Q82</f>
        <v>G: Parentification</v>
      </c>
      <c r="C519" s="313" t="str">
        <f>Test_Bible!A307</f>
        <v>E23</v>
      </c>
      <c r="D519" s="26" t="str">
        <f>Test_Bible!B307</f>
        <v>Votre enfant se sent responsable du bonheur de l’autre parent ou sent le besoin de le protéger.</v>
      </c>
      <c r="E519" s="101"/>
      <c r="F519" s="790">
        <f>Test_Bible!P307</f>
        <v>2</v>
      </c>
      <c r="G519" s="789">
        <f>Test_Bible!D307</f>
        <v>1</v>
      </c>
      <c r="H519" s="790">
        <f>F519*G519</f>
        <v>2</v>
      </c>
      <c r="I519" s="1647">
        <v>11</v>
      </c>
      <c r="J519" s="1648">
        <v>11</v>
      </c>
      <c r="K519" s="45" t="b">
        <f t="shared" ref="K519:K520" si="519">IF(AND(F519&gt;=I519,F519&lt;=J519),TRUE,FALSE)</f>
        <v>0</v>
      </c>
      <c r="L519" s="45"/>
      <c r="M519" s="45"/>
      <c r="N519" s="45"/>
      <c r="O519" s="1623"/>
      <c r="P519" s="1622">
        <v>2</v>
      </c>
      <c r="Q519" s="1615">
        <v>10</v>
      </c>
      <c r="R519" s="1623" t="b">
        <f t="shared" ref="R519:R520" si="520">IF(AND(F519&gt;=P519,F519&lt;=Q519),TRUE,FALSE)</f>
        <v>1</v>
      </c>
      <c r="S519" s="1622"/>
      <c r="T519" s="1615"/>
      <c r="U519" s="1623"/>
      <c r="V519" s="1593"/>
      <c r="W519" s="1410"/>
      <c r="X519" s="1435"/>
      <c r="Y519" s="1431"/>
      <c r="Z519" s="1430"/>
      <c r="AA519" s="1431"/>
      <c r="AB519" s="1432"/>
      <c r="AD519" s="960"/>
      <c r="AE519" s="961"/>
      <c r="AF519" s="960"/>
      <c r="AG519" s="961"/>
      <c r="AH519" s="960"/>
      <c r="AI519" s="961"/>
      <c r="AK519" s="10"/>
      <c r="AL519" s="10"/>
      <c r="AM519" s="10"/>
      <c r="AN519" s="975">
        <f>IF($K519=TRUE,H519,0)</f>
        <v>0</v>
      </c>
      <c r="AO519" s="975">
        <f>IF($R519=TRUE,H519,0)</f>
        <v>2</v>
      </c>
      <c r="AP519" s="975"/>
      <c r="AQ519" s="1806">
        <f>IF(I519=11,0,G519*I519)</f>
        <v>0</v>
      </c>
      <c r="AR519" s="1806">
        <f>IF(J519=11,0,G519*J519)</f>
        <v>0</v>
      </c>
      <c r="AS519" s="1806">
        <f>IF(P519=11,0,G519*P519)</f>
        <v>2</v>
      </c>
      <c r="AT519" s="1806">
        <f>IF(Q519=11,0,G519*Q519)</f>
        <v>10</v>
      </c>
      <c r="AU519" s="1806"/>
      <c r="AV519" s="1806"/>
    </row>
    <row r="520" spans="1:48" ht="39" customHeight="1" thickBot="1" x14ac:dyDescent="0.25">
      <c r="B520" s="2030" t="str">
        <f>'Action-Réaction finale'!Q83</f>
        <v>G: Parentification</v>
      </c>
      <c r="C520" s="313" t="str">
        <f>Test_Bible!A309</f>
        <v>E25</v>
      </c>
      <c r="D520" s="26" t="str">
        <f>Test_Bible!B309</f>
        <v>Dans quelle mesure diriez-vous que votre enfant sent le besoin de protéger l’autre parent ou de défendre ses intérêts ?</v>
      </c>
      <c r="E520" s="101"/>
      <c r="F520" s="790">
        <f>Test_Bible!P309</f>
        <v>7</v>
      </c>
      <c r="G520" s="789">
        <f>Test_Bible!D309</f>
        <v>2</v>
      </c>
      <c r="H520" s="790">
        <f>F520*G520</f>
        <v>14</v>
      </c>
      <c r="I520" s="1622">
        <v>7</v>
      </c>
      <c r="J520" s="1615">
        <f t="shared" ref="J520" si="521">$J$18</f>
        <v>10</v>
      </c>
      <c r="K520" s="45" t="b">
        <f t="shared" si="519"/>
        <v>1</v>
      </c>
      <c r="L520" s="45"/>
      <c r="M520" s="45"/>
      <c r="N520" s="45"/>
      <c r="O520" s="1623"/>
      <c r="P520" s="1622">
        <v>2</v>
      </c>
      <c r="Q520" s="1615">
        <v>7</v>
      </c>
      <c r="R520" s="1623" t="b">
        <f t="shared" si="520"/>
        <v>1</v>
      </c>
      <c r="S520" s="1647"/>
      <c r="T520" s="1648"/>
      <c r="U520" s="1623"/>
      <c r="V520" s="931"/>
      <c r="W520" s="1406" t="s">
        <v>943</v>
      </c>
      <c r="X520" s="1425">
        <v>11</v>
      </c>
      <c r="Y520" s="1426"/>
      <c r="Z520" s="1427">
        <v>11</v>
      </c>
      <c r="AA520" s="1426"/>
      <c r="AB520" s="1421">
        <v>11</v>
      </c>
      <c r="AD520" s="960"/>
      <c r="AE520" s="961"/>
      <c r="AF520" s="960"/>
      <c r="AG520" s="961"/>
      <c r="AH520" s="960"/>
      <c r="AI520" s="961"/>
      <c r="AK520" s="10"/>
      <c r="AL520" s="10"/>
      <c r="AM520" s="10"/>
      <c r="AN520" s="975">
        <f>IF($K520=TRUE,H520,0)</f>
        <v>14</v>
      </c>
      <c r="AO520" s="975">
        <f>IF($R520=TRUE,H520,0)</f>
        <v>14</v>
      </c>
      <c r="AP520" s="975"/>
      <c r="AQ520" s="1806">
        <f>IF(I520=11,0,G520*I520)</f>
        <v>14</v>
      </c>
      <c r="AR520" s="1806">
        <f>IF(J520=11,0,G520*J520)</f>
        <v>20</v>
      </c>
      <c r="AS520" s="1806">
        <f>IF(P520=11,0,G520*P520)</f>
        <v>4</v>
      </c>
      <c r="AT520" s="1806">
        <f>IF(Q520=11,0,G520*Q520)</f>
        <v>14</v>
      </c>
      <c r="AU520" s="1806"/>
      <c r="AV520" s="1806"/>
    </row>
    <row r="521" spans="1:48" ht="39" customHeight="1" thickBot="1" x14ac:dyDescent="0.25">
      <c r="B521" s="2030"/>
      <c r="C521" s="809" t="s">
        <v>747</v>
      </c>
      <c r="D521" s="810" t="str">
        <f>_xlfn.XLOOKUP(H521,H518:H520,D518:D520)</f>
        <v>Dans quelle mesure diriez-vous que votre enfant sent le besoin de protéger l’autre parent ou de défendre ses intérêts ?</v>
      </c>
      <c r="E521" s="810">
        <f>_xlfn.XLOOKUP(H521,H518:H520,E518:E520)</f>
        <v>0</v>
      </c>
      <c r="F521" s="811"/>
      <c r="G521" s="811"/>
      <c r="H521" s="811">
        <f>IF(AND(K518=TRUE,K519=FALSE,K520=FALSE),H518,IF(AND(K518=FALSE,K519=TRUE,K520=FALSE),H519,IF(AND(K518=FALSE,K519=FALSE,K520=TRUE),H520,MAX(H518:H520))))</f>
        <v>14</v>
      </c>
      <c r="I521" s="1628"/>
      <c r="J521" s="812"/>
      <c r="K521" s="813" t="b">
        <f>IF(AND(K518=FALSE,K519=FALSE,K520=FALSE),FALSE,TRUE)</f>
        <v>1</v>
      </c>
      <c r="L521" s="1611"/>
      <c r="M521" s="1611"/>
      <c r="N521" s="1611"/>
      <c r="O521" s="1629"/>
      <c r="P521" s="1628"/>
      <c r="Q521" s="812"/>
      <c r="R521" s="813" t="b">
        <f>IF(AND(R518=FALSE,R519=FALSE,R520=FALSE),FALSE,TRUE)</f>
        <v>1</v>
      </c>
      <c r="S521" s="1628"/>
      <c r="T521" s="812"/>
      <c r="U521" s="813"/>
      <c r="V521" s="931"/>
      <c r="W521" s="931"/>
      <c r="X521" s="1394"/>
      <c r="Z521" s="1398"/>
      <c r="AB521" s="1402"/>
      <c r="AD521" s="960" t="str">
        <f>IF(K521=TRUE,"V","F")</f>
        <v>V</v>
      </c>
      <c r="AE521" s="961"/>
      <c r="AF521" s="960" t="str">
        <f>IF(R521=TRUE,"V","F")</f>
        <v>V</v>
      </c>
      <c r="AG521" s="961"/>
      <c r="AH521" s="960"/>
      <c r="AI521" s="961"/>
      <c r="AK521" s="10"/>
      <c r="AL521" s="10"/>
      <c r="AM521" s="10"/>
      <c r="AN521" s="2102">
        <f>IF(AND($K519=TRUE,$K520=FALSE),AN519,IF(AND($K519=FALSE,$K520=TRUE),AN520,IF(AND($K519=TRUE,$K520=TRUE),MAX(AN519,AN520),0)))</f>
        <v>14</v>
      </c>
      <c r="AO521" s="2102">
        <f>IF(AND($R519=TRUE,$R520=FALSE),AO519,IF(AND($R519=FALSE,$R520=TRUE),AO520,IF(AND($R519=TRUE,$R520=TRUE),MAX(AO519,AO520),0)))</f>
        <v>14</v>
      </c>
      <c r="AP521" s="2102"/>
      <c r="AQ521" s="2102">
        <f>IF(AND($K519=TRUE,$K520=FALSE),AQ519,IF(AND($K519=FALSE,$K520=TRUE),AQ520,IF(AND($K519=TRUE,$K520=TRUE),MAX(AQ519,AQ520),0)))</f>
        <v>14</v>
      </c>
      <c r="AR521" s="2102">
        <f>IF(AND($K519=TRUE,$K520=FALSE),AR519,IF(AND($K519=FALSE,$K520=TRUE),AR520,IF(AND($K519=TRUE,$K520=TRUE),MAX(AR519,AR520),0)))</f>
        <v>20</v>
      </c>
      <c r="AS521" s="2102">
        <f t="shared" ref="AS521" si="522">IF(AND($R519=TRUE,$R520=FALSE),AS519,IF(AND($R519=FALSE,$R520=TRUE),AS520,IF(AND($R519=TRUE,$R520=TRUE),MAX(AS519,AS520),0)))</f>
        <v>4</v>
      </c>
      <c r="AT521" s="2102">
        <f t="shared" ref="AT521" si="523">IF(AND($R519=TRUE,$R520=FALSE),AT519,IF(AND($R519=FALSE,$R520=TRUE),AT520,IF(AND($R519=TRUE,$R520=TRUE),MAX(AT519,AT520),0)))</f>
        <v>14</v>
      </c>
      <c r="AU521" s="2102"/>
      <c r="AV521" s="2102"/>
    </row>
    <row r="522" spans="1:48" ht="39" customHeight="1" x14ac:dyDescent="0.2">
      <c r="B522" s="2030"/>
      <c r="D522" s="421" t="s">
        <v>310</v>
      </c>
      <c r="E522" s="785"/>
      <c r="F522" s="474" t="s">
        <v>398</v>
      </c>
      <c r="G522" s="47"/>
      <c r="H522" s="47">
        <f>IF(AND(K517=TRUE,K521=FALSE),H517,IF(AND(K517=FALSE,K521=TRUE),H521,IF(AND(K517=TRUE,K521=TRUE),H517+H521,MAX(H517,H521))))</f>
        <v>21</v>
      </c>
      <c r="I522" s="1630"/>
      <c r="J522" s="475"/>
      <c r="K522" s="1613"/>
      <c r="L522" s="1614">
        <f>IF(AND(K521=TRUE,K517=TRUE),E521,"")</f>
        <v>0</v>
      </c>
      <c r="M522" s="1614" t="str">
        <f>IF(AND(K517=TRUE,K521=FALSE),"Bien que le parent "&amp;E517&amp;" l'enfant ne semble pas s'ingérer","")</f>
        <v/>
      </c>
      <c r="N522" s="1614" t="str">
        <f>IF(AND(K517=FALSE,K521=TRUE),E521&amp;" sans signe de la participation du parent favorisé et|ou nouveau conjoint.e","")</f>
        <v/>
      </c>
      <c r="O522" s="1631" t="str">
        <f>IF(AND(K517=FALSE,K521=FALSE),"aucun comportement significatif de cette nature","")</f>
        <v/>
      </c>
      <c r="P522" s="1630"/>
      <c r="Q522" s="475"/>
      <c r="R522" s="1639"/>
      <c r="S522" s="1630"/>
      <c r="T522" s="475"/>
      <c r="U522" s="1639"/>
      <c r="V522" s="931"/>
      <c r="W522" s="931"/>
      <c r="X522" s="1394"/>
      <c r="Z522" s="1398"/>
      <c r="AB522" s="1402"/>
      <c r="AD522" s="962"/>
      <c r="AE522" s="963">
        <f>IF(AND(AD517="V",AD521="V"),2,IF(OR(AD517="V",AD521="V"),1,0))</f>
        <v>2</v>
      </c>
      <c r="AF522" s="962"/>
      <c r="AG522" s="963">
        <f>IF(OR(AF517="V",AF521="V"),1,0)</f>
        <v>1</v>
      </c>
      <c r="AH522" s="962"/>
      <c r="AI522" s="963"/>
      <c r="AK522" s="10"/>
      <c r="AL522" s="10"/>
      <c r="AM522" s="10"/>
      <c r="AN522" s="2097">
        <f>IF(AND($AD517="V",$AD521="F"),AN517,IF(AND($AD517="F",$AD521="V"),AN521,IF(AND($AD517="V",$AD521="V"),AN517+AN521,0)))</f>
        <v>21</v>
      </c>
      <c r="AO522" s="2097">
        <f>IF(AND($AF517="V",$AF521="F"),AO517,IF(AND($AF517="F",$AF521="V"),AO521,IF(AND($AF517="V",$AF521="V"),AO517+AO521,0)))</f>
        <v>21</v>
      </c>
      <c r="AP522" s="2097"/>
      <c r="AQ522" s="2097">
        <f>IF(AND($AD517="V",$AD521="F"),AQ518,IF(AND($AD517="F",$AD521="V"),AQ521,IF(AND($AD517="V",$AD521="V"),AQ518+AQ521,0)))</f>
        <v>28</v>
      </c>
      <c r="AR522" s="2097">
        <f>IF(AND($AD517="V",$AD521="F"),AR518,IF(AND($AD517="F",$AD521="V"),AR521,IF(AND($AD517="V",$AD521="V"),AR518+AR521,0)))</f>
        <v>40</v>
      </c>
      <c r="AS522" s="2097">
        <f>IF(AND($AF517="V",$AF521="F"),AS518,IF(AND($AF517="F",$AF521="V"),AS521,IF(AND($AF517="V",$AF521="V"),AS518+AS521,0)))</f>
        <v>8</v>
      </c>
      <c r="AT522" s="2097">
        <f>IF(AND($AF517="V",$AF521="F"),AT518,IF(AND($AF517="F",$AF521="V"),AT521,IF(AND($AF517="V",$AF521="V"),AT518+AT521,0)))</f>
        <v>28</v>
      </c>
      <c r="AU522" s="2097"/>
      <c r="AV522" s="2097"/>
    </row>
    <row r="523" spans="1:48" ht="39" customHeight="1" x14ac:dyDescent="0.2">
      <c r="B523" s="2030"/>
      <c r="C523" t="s">
        <v>243</v>
      </c>
      <c r="I523" s="146"/>
      <c r="L523" s="46"/>
      <c r="M523" s="46"/>
      <c r="N523" s="46"/>
      <c r="O523" s="1652"/>
      <c r="P523" s="146"/>
      <c r="R523" s="326"/>
      <c r="S523" s="146"/>
      <c r="U523" s="326"/>
      <c r="V523" s="170"/>
      <c r="W523" s="933"/>
      <c r="X523" s="1394"/>
      <c r="Z523" s="1398"/>
      <c r="AB523" s="1402"/>
      <c r="AD523" s="960"/>
      <c r="AE523" s="961"/>
      <c r="AF523" s="960"/>
      <c r="AG523" s="961"/>
      <c r="AH523" s="960"/>
      <c r="AI523" s="961"/>
      <c r="AK523" s="10"/>
      <c r="AL523" s="10"/>
      <c r="AM523" s="10"/>
      <c r="AN523" s="975"/>
      <c r="AO523" s="975"/>
      <c r="AP523" s="975"/>
      <c r="AQ523" s="1806"/>
      <c r="AR523" s="1806"/>
      <c r="AS523" s="1806"/>
      <c r="AT523" s="1806"/>
      <c r="AU523" s="1806"/>
      <c r="AV523" s="1806"/>
    </row>
    <row r="524" spans="1:48" ht="39" customHeight="1" x14ac:dyDescent="0.2">
      <c r="B524" s="2030" t="str">
        <f>'Action-Réaction finale'!U81</f>
        <v>G: Parentification</v>
      </c>
      <c r="C524" s="964" t="str">
        <f>'Action-Réaction finale'!S81</f>
        <v>PCR16</v>
      </c>
      <c r="D524" s="965" t="str">
        <f>Test_Bible!B154</f>
        <v xml:space="preserve">Dans quelle mesure acceptez-vous ou êtes-vous serein·e avec la séparation (couple et famille) ? </v>
      </c>
      <c r="E524" s="965"/>
      <c r="F524" s="973">
        <f>Test_Bible!P154</f>
        <v>1</v>
      </c>
      <c r="G524" s="973">
        <f>Test_Bible!D154</f>
        <v>1</v>
      </c>
      <c r="H524" s="973">
        <f>F524*G524</f>
        <v>1</v>
      </c>
      <c r="I524" s="1647">
        <v>11</v>
      </c>
      <c r="J524" s="1648">
        <v>11</v>
      </c>
      <c r="K524" s="45" t="b">
        <f>IF(AND(F524&gt;=I524,F524&lt;=J524),TRUE,FALSE)</f>
        <v>0</v>
      </c>
      <c r="L524" s="32"/>
      <c r="M524" s="32"/>
      <c r="N524" s="32"/>
      <c r="O524" s="1632"/>
      <c r="P524" s="1622">
        <v>2</v>
      </c>
      <c r="Q524" s="1615">
        <v>7</v>
      </c>
      <c r="R524" s="1623" t="b">
        <f>IF(AND(F524&gt;=P524,F524&lt;=Q524),TRUE,FALSE)</f>
        <v>0</v>
      </c>
      <c r="S524" s="1622">
        <v>4</v>
      </c>
      <c r="T524" s="1615">
        <v>10</v>
      </c>
      <c r="U524" s="1623" t="b">
        <f>IF(AND(F524&gt;=S524,F524&lt;=T524),TRUE,FALSE)</f>
        <v>0</v>
      </c>
      <c r="V524" s="46"/>
      <c r="AD524" s="960"/>
      <c r="AE524" s="961"/>
      <c r="AF524" s="960"/>
      <c r="AG524" s="961"/>
      <c r="AH524" s="960"/>
      <c r="AI524" s="961"/>
      <c r="AK524" s="10"/>
      <c r="AL524" s="10"/>
      <c r="AM524" s="10"/>
      <c r="AN524" s="975">
        <f>IF($K524=TRUE,H524,0)</f>
        <v>0</v>
      </c>
      <c r="AO524" s="975">
        <f>IF($R524=TRUE,H524,0)</f>
        <v>0</v>
      </c>
      <c r="AP524" s="975">
        <f>IF($U524=TRUE,H524,0)</f>
        <v>0</v>
      </c>
      <c r="AQ524" s="1806">
        <f>IF(I524=11,0,G524*I524)</f>
        <v>0</v>
      </c>
      <c r="AR524" s="1806">
        <f>IF(J524=11,0,G524*J524)</f>
        <v>0</v>
      </c>
      <c r="AS524" s="1806">
        <f>IF(P524=11,0,G524*P524)</f>
        <v>2</v>
      </c>
      <c r="AT524" s="1806">
        <f>IF(Q524=11,0,G524*Q524)</f>
        <v>7</v>
      </c>
      <c r="AU524" s="1806">
        <f>IF(S524=11,0,S524*G524)</f>
        <v>4</v>
      </c>
      <c r="AV524" s="1806">
        <f>IF(T524=11,0,T524*G524)</f>
        <v>10</v>
      </c>
    </row>
    <row r="525" spans="1:48" ht="39" customHeight="1" thickBot="1" x14ac:dyDescent="0.25">
      <c r="B525" s="2030" t="str">
        <f>'Action-Réaction finale'!U82</f>
        <v>G: Parentification</v>
      </c>
      <c r="C525" s="22" t="str">
        <f>'Action-Réaction finale'!S82</f>
        <v>PCR16a</v>
      </c>
      <c r="D525" s="299" t="str">
        <f>Test_Bible!B155</f>
        <v xml:space="preserve"> </v>
      </c>
      <c r="E525" s="299"/>
      <c r="F525" s="1673">
        <f>Test_Bible!P155</f>
        <v>0</v>
      </c>
      <c r="G525" s="1673">
        <f>Test_Bible!D155</f>
        <v>2</v>
      </c>
      <c r="H525" s="973">
        <f>F525*G525</f>
        <v>0</v>
      </c>
      <c r="I525" s="1622">
        <v>4</v>
      </c>
      <c r="J525" s="1615">
        <v>10</v>
      </c>
      <c r="K525" s="45" t="b">
        <f>IF(AND(F525&gt;=I525,F525&lt;=J525),TRUE,FALSE)</f>
        <v>0</v>
      </c>
      <c r="L525" s="32"/>
      <c r="M525" s="32"/>
      <c r="N525" s="32"/>
      <c r="O525" s="1632"/>
      <c r="P525" s="1622">
        <v>2</v>
      </c>
      <c r="Q525" s="1615">
        <v>7</v>
      </c>
      <c r="R525" s="1623" t="b">
        <f>IF(AND(F525&gt;=P525,F525&lt;=Q525),TRUE,FALSE)</f>
        <v>0</v>
      </c>
      <c r="S525" s="1622">
        <v>4</v>
      </c>
      <c r="T525" s="1615">
        <v>10</v>
      </c>
      <c r="U525" s="1623" t="b">
        <f>IF(AND(F525&gt;=S525,F525&lt;=T525),TRUE,FALSE)</f>
        <v>0</v>
      </c>
      <c r="V525" s="46"/>
      <c r="W525" s="1428"/>
      <c r="X525" s="1422">
        <v>11</v>
      </c>
      <c r="Y525" s="1423"/>
      <c r="Z525" s="1424">
        <v>11</v>
      </c>
      <c r="AA525" s="1423"/>
      <c r="AB525" s="1416">
        <v>11</v>
      </c>
      <c r="AD525" s="960"/>
      <c r="AE525" s="961"/>
      <c r="AF525" s="960"/>
      <c r="AG525" s="961"/>
      <c r="AH525" s="960"/>
      <c r="AI525" s="961"/>
      <c r="AK525" s="10"/>
      <c r="AL525" s="10"/>
      <c r="AM525" s="10"/>
      <c r="AN525" s="975">
        <f>IF($K525=TRUE,H525,0)</f>
        <v>0</v>
      </c>
      <c r="AO525" s="975">
        <f>IF($R525=TRUE,H525,0)</f>
        <v>0</v>
      </c>
      <c r="AP525" s="975">
        <f>IF($U525=TRUE,H525,0)</f>
        <v>0</v>
      </c>
      <c r="AQ525" s="1806">
        <f>IF(I525=11,0,G525*I525)</f>
        <v>8</v>
      </c>
      <c r="AR525" s="1806">
        <f>IF(J525=11,0,G525*J525)</f>
        <v>20</v>
      </c>
      <c r="AS525" s="1806">
        <f>IF(P525=11,0,G525*P525)</f>
        <v>4</v>
      </c>
      <c r="AT525" s="1806">
        <f>IF(Q525=11,0,G525*Q525)</f>
        <v>14</v>
      </c>
      <c r="AU525" s="1806">
        <f>IF(S525=11,0,S525*G525)</f>
        <v>8</v>
      </c>
      <c r="AV525" s="1806">
        <f>IF(T525=11,0,T525*G525)</f>
        <v>20</v>
      </c>
    </row>
    <row r="526" spans="1:48" ht="47" customHeight="1" thickBot="1" x14ac:dyDescent="0.35">
      <c r="H526" s="47">
        <f>IF(AND(K524=TRUE,K525=FALSE),H524,IF(AND(K524=FALSE,K525=TRUE),H525,MAX(H524,H525)))</f>
        <v>1</v>
      </c>
      <c r="I526" s="1644"/>
      <c r="J526" s="1645"/>
      <c r="K526" s="1651" t="b">
        <f>IF(AND(K524=FALSE,K525=FALSE),FALSE,TRUE)</f>
        <v>0</v>
      </c>
      <c r="L526" s="1633"/>
      <c r="M526" s="1634"/>
      <c r="N526" s="1634"/>
      <c r="O526" s="1635"/>
      <c r="P526" s="1644"/>
      <c r="Q526" s="1645"/>
      <c r="R526" s="1651" t="b">
        <f>IF(AND(R524=FALSE,R525=FALSE),FALSE,TRUE)</f>
        <v>0</v>
      </c>
      <c r="S526" s="1656"/>
      <c r="T526" s="1657"/>
      <c r="U526" s="1658" t="b">
        <f>IF(AND(U524=FALSE,U525=FALSE),FALSE,TRUE)</f>
        <v>0</v>
      </c>
      <c r="W526" s="1429"/>
      <c r="X526" s="1425">
        <v>11</v>
      </c>
      <c r="Y526" s="1426"/>
      <c r="Z526" s="1427">
        <v>11</v>
      </c>
      <c r="AA526" s="1426"/>
      <c r="AB526" s="1421">
        <v>11</v>
      </c>
      <c r="AD526" s="1564" t="str">
        <f>IF(K526=TRUE,"V","F")</f>
        <v>F</v>
      </c>
      <c r="AE526" s="1565"/>
      <c r="AF526" s="1564" t="str">
        <f>IF(R526=TRUE,"V","F")</f>
        <v>F</v>
      </c>
      <c r="AG526" s="1565"/>
      <c r="AH526" s="1564" t="str">
        <f>IF(U526=TRUE,"V","F")</f>
        <v>F</v>
      </c>
      <c r="AI526" s="1565"/>
      <c r="AK526" s="10"/>
      <c r="AL526" s="10"/>
      <c r="AM526" s="10"/>
      <c r="AN526" s="2102">
        <f>IF(AND($K524=TRUE,$K525=FALSE),AN524,IF(AND($K524=FALSE,$K525=TRUE),AN525,MAX(AN524,AN525)))</f>
        <v>0</v>
      </c>
      <c r="AO526" s="2102">
        <f>IF(AND($R524=TRUE,$R525=FALSE),AO524,IF(AND($R524=FALSE,$R525=TRUE),AO525,MAX(AO524,AO525)))</f>
        <v>0</v>
      </c>
      <c r="AP526" s="2102">
        <f>IF(AND($U524=TRUE,$U525=FALSE),AP524,IF(AND($U524=FALSE,$U525=TRUE),AP525,MAX(AP524,AP525)))</f>
        <v>0</v>
      </c>
      <c r="AQ526" s="2102">
        <f>IF(AND($K524=TRUE,$K525=FALSE),AQ524,IF(AND($K524=FALSE,$K525=TRUE),AQ525,MAX(AQ524,AQ525)))</f>
        <v>8</v>
      </c>
      <c r="AR526" s="2102">
        <f>IF(AND($K524=TRUE,$K525=FALSE),AR524,IF(AND($K524=FALSE,$K525=TRUE),AR525,MAX(AR524,AR525)))</f>
        <v>20</v>
      </c>
      <c r="AS526" s="2102">
        <f>IF(AND($R524=TRUE,$R525=FALSE),AS524,IF(AND($R524=FALSE,$R525=TRUE),AS525,MAX(AS524,AS525)))</f>
        <v>4</v>
      </c>
      <c r="AT526" s="2102">
        <f>IF(AND($R524=TRUE,$R525=FALSE),AT524,IF(AND($R524=FALSE,$R525=TRUE),AT525,MAX(AT524,AT525)))</f>
        <v>14</v>
      </c>
      <c r="AU526" s="2102">
        <f>IF(AND($U524=TRUE,$U525=FALSE),AU524,IF(AND($U524=FALSE,$U525=TRUE),AU525,MAX(AU524,AU525)))</f>
        <v>8</v>
      </c>
      <c r="AV526" s="2102">
        <f>IF(AND($U524=TRUE,$U525=FALSE),AV524,IF(AND($U524=FALSE,$U525=TRUE),AV525,MAX(AV524,AV525)))</f>
        <v>20</v>
      </c>
    </row>
    <row r="527" spans="1:48" ht="47" customHeight="1" x14ac:dyDescent="0.3">
      <c r="AD527" s="1649"/>
      <c r="AE527" s="1650">
        <f>IF(AND(AD526="V",AD517="V"),AE522-1,AE522)</f>
        <v>2</v>
      </c>
      <c r="AF527" s="1649"/>
      <c r="AG527" s="1650">
        <f>IF(OR(AF517="V",AF521="V",AF526="V"),1,0)</f>
        <v>1</v>
      </c>
      <c r="AH527" s="1649"/>
      <c r="AI527" s="1650">
        <f>IF(AH517="V",1,IF(AH526="V",1,0))</f>
        <v>1</v>
      </c>
      <c r="AK527" s="10">
        <v>1</v>
      </c>
      <c r="AL527" s="10">
        <v>1</v>
      </c>
      <c r="AM527" s="10">
        <v>1</v>
      </c>
      <c r="AN527" s="2101">
        <f>IF($AD526="F",AN522,AN522+AN526)</f>
        <v>21</v>
      </c>
      <c r="AO527" s="2101">
        <f>IF($AF526="F",AO522,AO522+AO526)</f>
        <v>21</v>
      </c>
      <c r="AP527" s="2101">
        <f>IF(AND($AH518="V",$AH526="F"),AP518,IF(AND($AH518="F",$AH526="V"),AP526,IF(AND($AH518="V",$AH526="V"),AP518+AP526,0)))</f>
        <v>0</v>
      </c>
      <c r="AQ527" s="2101">
        <f>IF($AD526="F",AQ522,AQ522+AQ526)</f>
        <v>28</v>
      </c>
      <c r="AR527" s="2101">
        <f t="shared" ref="AR527" si="524">IF($AD526="F",AR522,AR522+AR526)</f>
        <v>40</v>
      </c>
      <c r="AS527" s="2101">
        <f t="shared" ref="AS527" si="525">IF($AF526="F",AS522,AS522+AS526)</f>
        <v>8</v>
      </c>
      <c r="AT527" s="2101">
        <f t="shared" ref="AT527" si="526">IF($AF526="F",AT522,AT522+AT526)</f>
        <v>28</v>
      </c>
      <c r="AU527" s="2101">
        <f>IF(AND($AH517="V",$AH526="F"),AU517,IF(AND($AH517="F",$AH526="V"),AU526,IF(AND($AH517="V",$AH526="V"),AU517+AU526,0)))</f>
        <v>4</v>
      </c>
      <c r="AV527" s="2101">
        <f>IF(AND($AH517="V",$AH526="F"),AV517,IF(AND($AH517="F",$AH526="V"),AV526,IF(AND($AH517="V",$AH526="V"),AV517+AV526,0)))</f>
        <v>10</v>
      </c>
    </row>
    <row r="528" spans="1:48" ht="47" customHeight="1" x14ac:dyDescent="0.3">
      <c r="AD528" s="1668"/>
      <c r="AE528" s="1669"/>
      <c r="AF528" s="1409"/>
      <c r="AG528" s="1409"/>
      <c r="AH528" s="1409"/>
      <c r="AI528" s="1409"/>
      <c r="AK528" s="10"/>
      <c r="AL528" s="10"/>
      <c r="AM528" s="10"/>
    </row>
    <row r="529" spans="2:48" ht="32" customHeight="1" x14ac:dyDescent="0.3">
      <c r="AD529" s="1668"/>
      <c r="AE529" s="1669"/>
      <c r="AF529" s="1409"/>
      <c r="AG529" s="1409"/>
      <c r="AH529" s="1409"/>
      <c r="AI529" s="1409"/>
      <c r="AK529" s="10"/>
      <c r="AL529" s="10"/>
      <c r="AM529" s="10"/>
    </row>
    <row r="530" spans="2:48" ht="32" customHeight="1" x14ac:dyDescent="0.3">
      <c r="AD530" s="1668"/>
      <c r="AE530" s="1669"/>
      <c r="AF530" s="1409"/>
      <c r="AG530" s="1409"/>
      <c r="AH530" s="1409"/>
      <c r="AI530" s="1409"/>
      <c r="AK530" s="10"/>
      <c r="AL530" s="10"/>
      <c r="AM530" s="10"/>
    </row>
    <row r="531" spans="2:48" ht="32" customHeight="1" x14ac:dyDescent="0.3">
      <c r="AD531" s="1668"/>
      <c r="AE531" s="1669"/>
      <c r="AF531" s="1409"/>
      <c r="AG531" s="1409"/>
      <c r="AH531" s="1409"/>
      <c r="AI531" s="1409"/>
      <c r="AK531" s="10"/>
      <c r="AL531" s="10"/>
      <c r="AM531" s="10"/>
    </row>
    <row r="532" spans="2:48" ht="32" customHeight="1" x14ac:dyDescent="0.3">
      <c r="AK532" s="10"/>
      <c r="AL532" s="10"/>
      <c r="AM532" s="10"/>
    </row>
    <row r="533" spans="2:48" ht="32" customHeight="1" x14ac:dyDescent="0.3">
      <c r="B533" s="974"/>
      <c r="C533" s="10"/>
      <c r="D533" s="10"/>
      <c r="E533" s="10"/>
      <c r="F533" s="10"/>
      <c r="G533" s="10"/>
      <c r="H533" s="10"/>
      <c r="I533" s="10"/>
      <c r="J533" s="10"/>
      <c r="K533" s="10"/>
      <c r="L533" s="10"/>
      <c r="M533" s="10"/>
      <c r="N533" s="10"/>
      <c r="O533" s="10"/>
      <c r="P533" s="10"/>
      <c r="Q533" s="10"/>
      <c r="R533" s="10"/>
      <c r="S533" s="10"/>
      <c r="T533" s="10"/>
      <c r="U533" s="10"/>
      <c r="W533" s="10"/>
      <c r="X533" s="10"/>
      <c r="Y533" s="10"/>
      <c r="Z533" s="10"/>
      <c r="AA533" s="10"/>
      <c r="AB533" s="10"/>
      <c r="AC533" s="10"/>
      <c r="AD533" s="10"/>
      <c r="AE533" s="10"/>
      <c r="AF533" s="10"/>
      <c r="AG533" s="10"/>
      <c r="AH533" s="10"/>
      <c r="AI533" s="10"/>
      <c r="AK533" s="10"/>
      <c r="AL533" s="10"/>
      <c r="AM533" s="10"/>
    </row>
    <row r="534" spans="2:48" ht="32" customHeight="1" x14ac:dyDescent="0.35">
      <c r="C534" s="467" t="s">
        <v>1251</v>
      </c>
      <c r="AK534" s="10"/>
      <c r="AL534" s="10"/>
      <c r="AM534" s="10"/>
    </row>
    <row r="535" spans="2:48" ht="32" customHeight="1" x14ac:dyDescent="0.3">
      <c r="E535" s="108" t="s">
        <v>305</v>
      </c>
      <c r="F535" s="2265" t="s">
        <v>260</v>
      </c>
      <c r="G535" s="2265"/>
      <c r="H535" s="2265"/>
      <c r="I535" s="2265"/>
      <c r="J535" s="2265"/>
      <c r="K535" s="783"/>
      <c r="L535" s="2266"/>
      <c r="M535" s="2266"/>
      <c r="N535" s="2266"/>
      <c r="O535" s="783"/>
      <c r="P535" s="783"/>
      <c r="Q535" s="783"/>
      <c r="R535" s="783"/>
      <c r="S535" s="783"/>
      <c r="T535" s="783"/>
      <c r="U535" s="783"/>
      <c r="V535" s="96"/>
      <c r="W535" s="96"/>
      <c r="AK535" s="10"/>
      <c r="AL535" s="10"/>
      <c r="AM535" s="10"/>
    </row>
    <row r="536" spans="2:48" ht="32" customHeight="1" x14ac:dyDescent="0.3">
      <c r="B536" s="2029">
        <v>1</v>
      </c>
      <c r="D536" s="476" t="str">
        <f>'[1]Cpts miroirs des parents'!$B$9</f>
        <v>Interrogatoires au retour de garde</v>
      </c>
      <c r="E536" s="107"/>
      <c r="F536" s="65"/>
      <c r="G536" s="18"/>
      <c r="H536" s="18"/>
      <c r="I536" s="2255" t="s">
        <v>734</v>
      </c>
      <c r="J536" s="2256"/>
      <c r="K536" s="2256"/>
      <c r="L536" s="2257" t="s">
        <v>1378</v>
      </c>
      <c r="M536" s="2257"/>
      <c r="N536" s="2257"/>
      <c r="O536" s="2258"/>
      <c r="P536" s="2259" t="s">
        <v>733</v>
      </c>
      <c r="Q536" s="2260"/>
      <c r="R536" s="2261"/>
      <c r="S536" s="2262" t="s">
        <v>735</v>
      </c>
      <c r="T536" s="2263"/>
      <c r="U536" s="2264"/>
      <c r="V536" s="15"/>
      <c r="W536" s="15"/>
      <c r="AD536" s="956"/>
      <c r="AE536" s="956"/>
      <c r="AF536" s="956"/>
      <c r="AG536" s="956"/>
      <c r="AH536" s="956"/>
      <c r="AI536" s="957"/>
      <c r="AK536" s="10"/>
      <c r="AL536" s="10"/>
      <c r="AM536" s="10"/>
      <c r="AN536" s="1659" t="s">
        <v>734</v>
      </c>
      <c r="AO536" s="1659" t="s">
        <v>733</v>
      </c>
      <c r="AP536" s="1659" t="s">
        <v>735</v>
      </c>
      <c r="AQ536" s="2254" t="s">
        <v>734</v>
      </c>
      <c r="AR536" s="2254"/>
      <c r="AS536" s="2254" t="s">
        <v>733</v>
      </c>
      <c r="AT536" s="2254"/>
      <c r="AU536" s="2254" t="s">
        <v>735</v>
      </c>
      <c r="AV536" s="2254"/>
    </row>
    <row r="537" spans="2:48" ht="32" customHeight="1" x14ac:dyDescent="0.2">
      <c r="B537" s="2030"/>
      <c r="D537" s="102" t="s">
        <v>998</v>
      </c>
      <c r="E537" s="983"/>
      <c r="F537" s="32" t="s">
        <v>748</v>
      </c>
      <c r="G537" s="32" t="s">
        <v>749</v>
      </c>
      <c r="H537" s="32" t="s">
        <v>750</v>
      </c>
      <c r="I537" s="1620" t="s">
        <v>306</v>
      </c>
      <c r="J537" s="43" t="s">
        <v>307</v>
      </c>
      <c r="K537" s="43" t="s">
        <v>308</v>
      </c>
      <c r="L537" s="43" t="s">
        <v>413</v>
      </c>
      <c r="M537" s="43" t="s">
        <v>388</v>
      </c>
      <c r="N537" s="43" t="s">
        <v>389</v>
      </c>
      <c r="O537" s="1621" t="s">
        <v>390</v>
      </c>
      <c r="P537" s="1620" t="s">
        <v>306</v>
      </c>
      <c r="Q537" s="43" t="s">
        <v>307</v>
      </c>
      <c r="R537" s="1621" t="s">
        <v>308</v>
      </c>
      <c r="S537" s="1620" t="s">
        <v>306</v>
      </c>
      <c r="T537" s="43" t="s">
        <v>307</v>
      </c>
      <c r="U537" s="1621" t="s">
        <v>308</v>
      </c>
      <c r="V537" s="818"/>
      <c r="W537" s="955" t="s">
        <v>928</v>
      </c>
      <c r="X537" s="1391" t="s">
        <v>734</v>
      </c>
      <c r="Y537" s="955" t="s">
        <v>928</v>
      </c>
      <c r="Z537" s="1395" t="s">
        <v>733</v>
      </c>
      <c r="AA537" s="955"/>
      <c r="AB537" s="1399" t="s">
        <v>735</v>
      </c>
      <c r="AD537" s="970" t="s">
        <v>734</v>
      </c>
      <c r="AE537" s="971" t="s">
        <v>946</v>
      </c>
      <c r="AF537" s="970" t="s">
        <v>733</v>
      </c>
      <c r="AG537" s="971" t="s">
        <v>947</v>
      </c>
      <c r="AH537" s="970" t="s">
        <v>735</v>
      </c>
      <c r="AI537" s="971" t="s">
        <v>948</v>
      </c>
      <c r="AK537" s="10"/>
      <c r="AL537" s="10"/>
      <c r="AM537" s="10"/>
      <c r="AN537" s="10"/>
      <c r="AO537" s="10"/>
      <c r="AP537" s="10"/>
      <c r="AQ537" s="1806" t="s">
        <v>1322</v>
      </c>
      <c r="AR537" s="1806" t="s">
        <v>1323</v>
      </c>
      <c r="AS537" s="1806" t="s">
        <v>1322</v>
      </c>
      <c r="AT537" s="1806" t="s">
        <v>1323</v>
      </c>
      <c r="AU537" s="1806" t="s">
        <v>1322</v>
      </c>
      <c r="AV537" s="1806" t="s">
        <v>1323</v>
      </c>
    </row>
    <row r="538" spans="2:48" ht="54" customHeight="1" x14ac:dyDescent="0.2">
      <c r="B538" s="2030" t="str">
        <f>'Cpts miroirs des parents'!E9</f>
        <v>C: Chantage affectif, loyauté, manipulation</v>
      </c>
      <c r="C538" s="414" t="str">
        <f>BIBLE!E99</f>
        <v>PFA12</v>
      </c>
      <c r="D538" s="26" t="str">
        <f>BIBLE!F99</f>
        <v>L'autre parent questionne votre enfant à son retour de garde afin de connaître la routine (repas, dodo, activités, etc.) chez vous.</v>
      </c>
      <c r="E538" s="101"/>
      <c r="F538" s="790">
        <f>Test_Bible!P185</f>
        <v>2</v>
      </c>
      <c r="G538" s="789">
        <f>Test_Bible!D185</f>
        <v>1</v>
      </c>
      <c r="H538" s="790">
        <f>F538*G538</f>
        <v>2</v>
      </c>
      <c r="I538" s="1647">
        <v>11</v>
      </c>
      <c r="J538" s="1648">
        <v>11</v>
      </c>
      <c r="K538" s="45" t="b">
        <f>IF(AND(F538&gt;=I538,F538&lt;=J538),TRUE,FALSE)</f>
        <v>0</v>
      </c>
      <c r="L538" s="45"/>
      <c r="M538" s="45"/>
      <c r="N538" s="45"/>
      <c r="O538" s="1623"/>
      <c r="P538" s="1622">
        <v>4</v>
      </c>
      <c r="Q538" s="1615">
        <v>10</v>
      </c>
      <c r="R538" s="1623" t="b">
        <f>IF(AND(F538&gt;=P538,F538&lt;=Q538),TRUE,FALSE)</f>
        <v>0</v>
      </c>
      <c r="S538" s="1622">
        <v>4</v>
      </c>
      <c r="T538" s="1615">
        <v>10</v>
      </c>
      <c r="U538" s="1623" t="b">
        <f>IF(AND(F538&gt;=S538,F538&lt;=T538),TRUE,FALSE)</f>
        <v>0</v>
      </c>
      <c r="V538" s="1593"/>
      <c r="W538" s="1403"/>
      <c r="X538" s="1436">
        <v>11</v>
      </c>
      <c r="Y538" s="1405"/>
      <c r="Z538" s="1446">
        <v>11</v>
      </c>
      <c r="AA538" s="1405"/>
      <c r="AB538" s="1415">
        <v>4</v>
      </c>
      <c r="AD538" s="958"/>
      <c r="AE538" s="959"/>
      <c r="AF538" s="958"/>
      <c r="AG538" s="959"/>
      <c r="AH538" s="958"/>
      <c r="AI538" s="959"/>
      <c r="AK538" s="10"/>
      <c r="AL538" s="10"/>
      <c r="AM538" s="10"/>
      <c r="AN538" s="975">
        <f>IF($K538=TRUE,H538,0)</f>
        <v>0</v>
      </c>
      <c r="AO538" s="975">
        <f>IF($R538=TRUE,H538,0)</f>
        <v>0</v>
      </c>
      <c r="AP538" s="975">
        <f>IF($U538=TRUE,H538,0)</f>
        <v>0</v>
      </c>
      <c r="AQ538" s="1806">
        <f>IF(I538=11,0,G538*I538)</f>
        <v>0</v>
      </c>
      <c r="AR538" s="1806">
        <f>IF(J538=11,0,G538*J538)</f>
        <v>0</v>
      </c>
      <c r="AS538" s="1806">
        <f>IF(P538=11,0,G538*P538)</f>
        <v>4</v>
      </c>
      <c r="AT538" s="1806">
        <f>IF(Q538=11,0,G538*Q538)</f>
        <v>10</v>
      </c>
      <c r="AU538" s="1806">
        <f>IF(S538=11,0,S538*G538)</f>
        <v>4</v>
      </c>
      <c r="AV538" s="1806">
        <f>IF(T538=11,0,T538*G538)</f>
        <v>10</v>
      </c>
    </row>
    <row r="539" spans="2:48" ht="55" customHeight="1" x14ac:dyDescent="0.2">
      <c r="B539" s="2033"/>
      <c r="C539" s="414"/>
      <c r="D539" s="863" t="str">
        <f>BIBLE!F94</f>
        <v>Arrive-t-il que l'autre parent vous accable de reproches par courriel ou texto au retour des enfants (après votre tour de garde) ?</v>
      </c>
      <c r="E539" s="101"/>
      <c r="F539" s="790"/>
      <c r="G539" s="789"/>
      <c r="H539" s="790">
        <f>F539*G539</f>
        <v>0</v>
      </c>
      <c r="I539" s="1647"/>
      <c r="J539" s="1648"/>
      <c r="K539" s="45"/>
      <c r="L539" s="45"/>
      <c r="M539" s="45"/>
      <c r="N539" s="45"/>
      <c r="O539" s="1623"/>
      <c r="P539" s="1647"/>
      <c r="Q539" s="1648"/>
      <c r="R539" s="1623"/>
      <c r="S539" s="1622"/>
      <c r="T539" s="1615"/>
      <c r="U539" s="1623"/>
      <c r="V539" s="931"/>
      <c r="W539" s="1406" t="s">
        <v>943</v>
      </c>
      <c r="X539" s="1437">
        <v>11</v>
      </c>
      <c r="Y539" s="1412"/>
      <c r="Z539" s="1440">
        <v>11</v>
      </c>
      <c r="AA539" s="1441"/>
      <c r="AB539" s="1442">
        <v>11</v>
      </c>
      <c r="AD539" s="960"/>
      <c r="AE539" s="961"/>
      <c r="AF539" s="960"/>
      <c r="AG539" s="961"/>
      <c r="AH539" s="960"/>
      <c r="AI539" s="961"/>
      <c r="AK539" s="10"/>
      <c r="AL539" s="10"/>
      <c r="AM539" s="10"/>
      <c r="AN539" s="975">
        <f>IF($K539=TRUE,H539,0)</f>
        <v>0</v>
      </c>
      <c r="AO539" s="975">
        <f>IF($R539=TRUE,H539,0)</f>
        <v>0</v>
      </c>
      <c r="AP539" s="975">
        <f>IF($U539=TRUE,H539,0)</f>
        <v>0</v>
      </c>
      <c r="AQ539" s="1806">
        <f>IF(I539=11,0,G539*I539)</f>
        <v>0</v>
      </c>
      <c r="AR539" s="1806">
        <f>IF(J539=11,0,G539*J539)</f>
        <v>0</v>
      </c>
      <c r="AS539" s="1806">
        <f>IF(P539=11,0,G539*P539)</f>
        <v>0</v>
      </c>
      <c r="AT539" s="1806">
        <f>IF(Q539=11,0,G539*Q539)</f>
        <v>0</v>
      </c>
      <c r="AU539" s="1806">
        <f>IF(S539=11,0,S539*G539)</f>
        <v>0</v>
      </c>
      <c r="AV539" s="1806">
        <f>IF(T539=11,0,T539*G539)</f>
        <v>0</v>
      </c>
    </row>
    <row r="540" spans="2:48" ht="32" customHeight="1" x14ac:dyDescent="0.2">
      <c r="B540" s="2030"/>
      <c r="C540" s="792" t="s">
        <v>745</v>
      </c>
      <c r="D540" s="793" t="str">
        <f>_xlfn.XLOOKUP(H540,H538:H539,D538:D539)</f>
        <v>L'autre parent questionne votre enfant à son retour de garde afin de connaître la routine (repas, dodo, activités, etc.) chez vous.</v>
      </c>
      <c r="E540" s="794"/>
      <c r="F540" s="795"/>
      <c r="G540" s="795"/>
      <c r="H540" s="795">
        <f>IF(AND(K538=TRUE,K539=FALSE),H538,IF(AND(K538=FALSE,K539=TRUE),H539,MAX(H538,H539)))</f>
        <v>2</v>
      </c>
      <c r="I540" s="1624"/>
      <c r="J540" s="796"/>
      <c r="K540" s="797" t="b">
        <f>IF(AND(K538=FALSE,K539=FALSE),FALSE,TRUE)</f>
        <v>0</v>
      </c>
      <c r="L540" s="45"/>
      <c r="M540" s="45"/>
      <c r="N540" s="45"/>
      <c r="O540" s="1623"/>
      <c r="P540" s="1624"/>
      <c r="Q540" s="796"/>
      <c r="R540" s="1637" t="b">
        <f>IF(AND(R538=FALSE,R539=FALSE),FALSE,TRUE)</f>
        <v>0</v>
      </c>
      <c r="S540" s="1624"/>
      <c r="T540" s="796"/>
      <c r="U540" s="1637" t="b">
        <f>IF(AND(U538=FALSE,U539=FALSE),FALSE,TRUE)</f>
        <v>0</v>
      </c>
      <c r="V540" s="931"/>
      <c r="W540" s="931" t="s">
        <v>943</v>
      </c>
      <c r="X540" s="1438"/>
      <c r="Y540" s="8"/>
      <c r="Z540" s="1443"/>
      <c r="AA540" s="1444"/>
      <c r="AB540" s="1445"/>
      <c r="AD540" s="960"/>
      <c r="AE540" s="961"/>
      <c r="AF540" s="960"/>
      <c r="AG540" s="961"/>
      <c r="AH540" s="960"/>
      <c r="AI540" s="961"/>
      <c r="AK540" s="10"/>
      <c r="AL540" s="10"/>
      <c r="AM540" s="10"/>
      <c r="AN540" s="2100">
        <f>IF($K540=TRUE,MAX(AN538:AN539),0)</f>
        <v>0</v>
      </c>
      <c r="AO540" s="2100">
        <f>IF($R540=TRUE,MAX(AO538:AO539),0)</f>
        <v>0</v>
      </c>
      <c r="AP540" s="2100">
        <f>IF($U540=TRUE,MAX(AP538:AP539),0)</f>
        <v>0</v>
      </c>
      <c r="AQ540" s="2099">
        <f>MAX(AQ538:AQ539)</f>
        <v>0</v>
      </c>
      <c r="AR540" s="2099">
        <f t="shared" ref="AR540" si="527">MAX(AR538:AR539)</f>
        <v>0</v>
      </c>
      <c r="AS540" s="2099">
        <f t="shared" ref="AS540" si="528">MAX(AS538:AS539)</f>
        <v>4</v>
      </c>
      <c r="AT540" s="2099">
        <f t="shared" ref="AT540" si="529">MAX(AT538:AT539)</f>
        <v>10</v>
      </c>
      <c r="AU540" s="2099">
        <f t="shared" ref="AU540" si="530">MAX(AU538:AU539)</f>
        <v>4</v>
      </c>
      <c r="AV540" s="2099">
        <f t="shared" ref="AV540" si="531">MAX(AV538:AV539)</f>
        <v>10</v>
      </c>
    </row>
    <row r="541" spans="2:48" ht="32" customHeight="1" x14ac:dyDescent="0.2">
      <c r="B541" s="2030"/>
      <c r="C541" s="52"/>
      <c r="D541" s="26"/>
      <c r="E541" s="101"/>
      <c r="F541" s="790"/>
      <c r="G541" s="789"/>
      <c r="H541" s="790">
        <f>F541*G541</f>
        <v>0</v>
      </c>
      <c r="I541" s="1647">
        <v>11</v>
      </c>
      <c r="J541" s="1648">
        <v>11</v>
      </c>
      <c r="K541" s="45" t="b">
        <f>IF(AND(F541&gt;=I541,F541&lt;=J541),TRUE,FALSE)</f>
        <v>0</v>
      </c>
      <c r="L541" s="45"/>
      <c r="M541" s="45"/>
      <c r="N541" s="45"/>
      <c r="O541" s="1623"/>
      <c r="P541" s="1647">
        <v>11</v>
      </c>
      <c r="Q541" s="1648">
        <v>11</v>
      </c>
      <c r="R541" s="1623" t="b">
        <f>IF(AND(F541&gt;=P541,F541&lt;=Q541),TRUE,FALSE)</f>
        <v>0</v>
      </c>
      <c r="S541" s="1647">
        <v>11</v>
      </c>
      <c r="T541" s="1648">
        <v>11</v>
      </c>
      <c r="U541" s="1623" t="b">
        <f>IF(AND(F541&gt;=S541,F541&lt;=T541),TRUE,FALSE)</f>
        <v>0</v>
      </c>
      <c r="V541" s="931"/>
      <c r="W541" s="1403"/>
      <c r="X541" s="1436">
        <v>11</v>
      </c>
      <c r="Y541" s="1405"/>
      <c r="Z541" s="1446">
        <v>11</v>
      </c>
      <c r="AA541" s="1447"/>
      <c r="AB541" s="1448">
        <v>11</v>
      </c>
      <c r="AD541" s="960"/>
      <c r="AE541" s="961"/>
      <c r="AF541" s="960"/>
      <c r="AG541" s="961"/>
      <c r="AH541" s="960"/>
      <c r="AI541" s="961"/>
      <c r="AK541" s="10"/>
      <c r="AL541" s="10"/>
      <c r="AM541" s="10"/>
      <c r="AN541" s="975">
        <f>IF(K541=TRUE,H541,0)</f>
        <v>0</v>
      </c>
      <c r="AO541" s="975">
        <f>IF(R541=TRUE,H541,0)</f>
        <v>0</v>
      </c>
      <c r="AP541" s="975">
        <f>IF(U541=TRUE,H541,0)</f>
        <v>0</v>
      </c>
      <c r="AQ541" s="1806">
        <f>IF(I541=11,0,G541*I541)</f>
        <v>0</v>
      </c>
      <c r="AR541" s="1806">
        <f>IF(J541=11,0,G541*J541)</f>
        <v>0</v>
      </c>
      <c r="AS541" s="1806">
        <f>IF(P541=11,0,G541*P541)</f>
        <v>0</v>
      </c>
      <c r="AT541" s="1806">
        <f>IF(Q541=11,0,G541*Q541)</f>
        <v>0</v>
      </c>
      <c r="AU541" s="1806">
        <f>IF(S541=11,0,S541*G541)</f>
        <v>0</v>
      </c>
      <c r="AV541" s="1806">
        <f>IF(T541=11,0,T541*G541)</f>
        <v>0</v>
      </c>
    </row>
    <row r="542" spans="2:48" ht="32" customHeight="1" x14ac:dyDescent="0.2">
      <c r="B542" s="2030"/>
      <c r="C542" s="52"/>
      <c r="D542" s="26"/>
      <c r="E542" s="62"/>
      <c r="F542" s="35"/>
      <c r="G542" s="35"/>
      <c r="H542" s="35">
        <f>F542*G542</f>
        <v>0</v>
      </c>
      <c r="I542" s="1647">
        <v>11</v>
      </c>
      <c r="J542" s="1648">
        <v>11</v>
      </c>
      <c r="K542" s="45" t="b">
        <f>IF(AND(F542&gt;=I542,F542&lt;=J542),TRUE,FALSE)</f>
        <v>0</v>
      </c>
      <c r="L542" s="45"/>
      <c r="M542" s="45"/>
      <c r="N542" s="45"/>
      <c r="O542" s="1623"/>
      <c r="P542" s="1647">
        <v>11</v>
      </c>
      <c r="Q542" s="1648">
        <v>11</v>
      </c>
      <c r="R542" s="1623" t="b">
        <f>IF(AND(F542&gt;=P542,F542&lt;=Q542),TRUE,FALSE)</f>
        <v>0</v>
      </c>
      <c r="S542" s="1647">
        <v>11</v>
      </c>
      <c r="T542" s="1648">
        <v>11</v>
      </c>
      <c r="U542" s="1623" t="b">
        <f>IF(AND(F542&gt;=S542,F542&lt;=T542),TRUE,FALSE)</f>
        <v>0</v>
      </c>
      <c r="V542" s="931"/>
      <c r="W542" s="1406" t="s">
        <v>943</v>
      </c>
      <c r="X542" s="1437">
        <v>11</v>
      </c>
      <c r="Y542" s="1412"/>
      <c r="Z542" s="1440">
        <v>11</v>
      </c>
      <c r="AA542" s="1441"/>
      <c r="AB542" s="1442">
        <v>11</v>
      </c>
      <c r="AD542" s="960"/>
      <c r="AE542" s="961"/>
      <c r="AF542" s="960"/>
      <c r="AG542" s="961"/>
      <c r="AH542" s="960"/>
      <c r="AI542" s="961"/>
      <c r="AK542" s="10"/>
      <c r="AL542" s="10"/>
      <c r="AM542" s="10"/>
      <c r="AN542" s="975">
        <f>IF(K542=TRUE,H542,0)</f>
        <v>0</v>
      </c>
      <c r="AO542" s="975">
        <f>IF(R542=TRUE,H542,0)</f>
        <v>0</v>
      </c>
      <c r="AP542" s="975">
        <f>IF(U542=TRUE,H542,0)</f>
        <v>0</v>
      </c>
      <c r="AQ542" s="1806">
        <f>IF(I542=11,0,G542*I542)</f>
        <v>0</v>
      </c>
      <c r="AR542" s="1806">
        <f>IF(J542=11,0,G542*J542)</f>
        <v>0</v>
      </c>
      <c r="AS542" s="1806">
        <f>IF(P542=11,0,G542*P542)</f>
        <v>0</v>
      </c>
      <c r="AT542" s="1806">
        <f>IF(Q542=11,0,G542*Q542)</f>
        <v>0</v>
      </c>
      <c r="AU542" s="1806">
        <f>IF(S542=11,0,S542*G542)</f>
        <v>0</v>
      </c>
      <c r="AV542" s="1806">
        <f>IF(T542=11,0,T542*G542)</f>
        <v>0</v>
      </c>
    </row>
    <row r="543" spans="2:48" ht="32" customHeight="1" thickBot="1" x14ac:dyDescent="0.25">
      <c r="B543" s="2030"/>
      <c r="C543" s="798" t="s">
        <v>746</v>
      </c>
      <c r="D543" s="799">
        <f>_xlfn.XLOOKUP(H543,H541:H542,D541:D542)</f>
        <v>0</v>
      </c>
      <c r="E543" s="800"/>
      <c r="F543" s="801"/>
      <c r="G543" s="801"/>
      <c r="H543" s="795">
        <f>IF(AND(K541=TRUE,K542=FALSE),H541,IF(AND(K541=FALSE,K542=TRUE),H542,MAX(H541,H542)))</f>
        <v>0</v>
      </c>
      <c r="I543" s="1625"/>
      <c r="J543" s="802"/>
      <c r="K543" s="803" t="b">
        <f>IF(AND(K541=FALSE,K542=FALSE),FALSE,TRUE)</f>
        <v>0</v>
      </c>
      <c r="L543" s="45"/>
      <c r="M543" s="45"/>
      <c r="N543" s="45"/>
      <c r="O543" s="1623"/>
      <c r="P543" s="1625"/>
      <c r="Q543" s="802"/>
      <c r="R543" s="1638" t="b">
        <f>IF(AND(R541=FALSE,R542=FALSE),FALSE,TRUE)</f>
        <v>0</v>
      </c>
      <c r="S543" s="1625"/>
      <c r="T543" s="802"/>
      <c r="U543" s="1638" t="b">
        <f>IF(AND(U541=FALSE,U542=FALSE),FALSE,TRUE)</f>
        <v>0</v>
      </c>
      <c r="V543" s="931"/>
      <c r="W543" s="931"/>
      <c r="X543" s="1438"/>
      <c r="Y543" s="8"/>
      <c r="Z543" s="1443"/>
      <c r="AA543" s="1444"/>
      <c r="AB543" s="1445"/>
      <c r="AD543" s="960"/>
      <c r="AE543" s="961"/>
      <c r="AF543" s="960"/>
      <c r="AG543" s="961"/>
      <c r="AH543" s="960"/>
      <c r="AI543" s="961"/>
      <c r="AK543" s="10"/>
      <c r="AL543" s="10"/>
      <c r="AM543" s="10"/>
      <c r="AN543" s="2100">
        <f>IF($K543=TRUE,MAX(AN541:AN542),0)</f>
        <v>0</v>
      </c>
      <c r="AO543" s="2100">
        <f>IF($R543=TRUE,MAX(AO541:AO542),0)</f>
        <v>0</v>
      </c>
      <c r="AP543" s="2100">
        <f>IF($U543=TRUE,MAX(AP541:AP542),0)</f>
        <v>0</v>
      </c>
      <c r="AQ543" s="2099">
        <f>MAX(AQ541:AQ542)</f>
        <v>0</v>
      </c>
      <c r="AR543" s="2099">
        <f t="shared" ref="AR543" si="532">MAX(AR541:AR542)</f>
        <v>0</v>
      </c>
      <c r="AS543" s="2099">
        <f t="shared" ref="AS543" si="533">MAX(AS541:AS542)</f>
        <v>0</v>
      </c>
      <c r="AT543" s="2099">
        <f t="shared" ref="AT543" si="534">MAX(AT541:AT542)</f>
        <v>0</v>
      </c>
      <c r="AU543" s="2099">
        <f t="shared" ref="AU543" si="535">MAX(AU541:AU542)</f>
        <v>0</v>
      </c>
      <c r="AV543" s="2099">
        <f t="shared" ref="AV543" si="536">MAX(AV541:AV542)</f>
        <v>0</v>
      </c>
    </row>
    <row r="544" spans="2:48" ht="32" customHeight="1" thickBot="1" x14ac:dyDescent="0.25">
      <c r="B544" s="2030"/>
      <c r="C544" s="804" t="s">
        <v>754</v>
      </c>
      <c r="D544" s="805"/>
      <c r="E544" s="805"/>
      <c r="F544" s="806"/>
      <c r="G544" s="806"/>
      <c r="H544" s="806">
        <f>IF(AND(K540=TRUE,K543=FALSE),H540,IF(AND(K540=FALSE,K543=TRUE),H543,IF(AND(K540=TRUE,K543=TRUE),H540+H543,MAX(H540,H543))))</f>
        <v>2</v>
      </c>
      <c r="I544" s="1626"/>
      <c r="J544" s="807"/>
      <c r="K544" s="808" t="b">
        <f>IF(AND(K540=FALSE,K543=FALSE),FALSE,TRUE)</f>
        <v>0</v>
      </c>
      <c r="L544" s="1610"/>
      <c r="M544" s="1610"/>
      <c r="N544" s="1610"/>
      <c r="O544" s="1627"/>
      <c r="P544" s="1626"/>
      <c r="Q544" s="807"/>
      <c r="R544" s="808" t="b">
        <f>IF(AND(R540=FALSE,R543=FALSE),FALSE,TRUE)</f>
        <v>0</v>
      </c>
      <c r="S544" s="1626"/>
      <c r="T544" s="807"/>
      <c r="U544" s="808" t="b">
        <f>IF(AND(U540=FALSE,U543=FALSE),FALSE,TRUE)</f>
        <v>0</v>
      </c>
      <c r="V544" s="931"/>
      <c r="W544" s="931" t="s">
        <v>942</v>
      </c>
      <c r="X544" s="1438"/>
      <c r="Y544" s="8"/>
      <c r="Z544" s="1443"/>
      <c r="AA544" s="1444"/>
      <c r="AB544" s="1445"/>
      <c r="AD544" s="960" t="str">
        <f>IF(K544=TRUE,"V","F")</f>
        <v>F</v>
      </c>
      <c r="AE544" s="961"/>
      <c r="AF544" s="960" t="str">
        <f>IF(R544=TRUE,"V","F")</f>
        <v>F</v>
      </c>
      <c r="AG544" s="961"/>
      <c r="AH544" s="960" t="str">
        <f>IF(U544=TRUE,"V","F")</f>
        <v>F</v>
      </c>
      <c r="AI544" s="961"/>
      <c r="AK544" s="10"/>
      <c r="AL544" s="10"/>
      <c r="AM544" s="10"/>
      <c r="AN544" s="631">
        <f>IF(AND($K540=TRUE,$K543=FALSE),AN540,IF(AND($K540=FALSE,$K543=TRUE),AN543,IF(AND($K540=TRUE,$K543=TRUE),AN540+AN543,0)))</f>
        <v>0</v>
      </c>
      <c r="AO544" s="631">
        <f>IF(AND($R540=TRUE,$R543=FALSE),AO540,IF(AND($R540=FALSE,$R543=TRUE),AO543,IF(AND($R540=TRUE,$R543=TRUE),AO540+AO543,0)))</f>
        <v>0</v>
      </c>
      <c r="AP544" s="631">
        <f>IF(AND($U540=TRUE,$U543=FALSE),AP540,IF(AND($U540=FALSE,$U543=TRUE),AP543,IF(AND($U540=TRUE,$U543=TRUE),AP540+AP543,0)))</f>
        <v>0</v>
      </c>
      <c r="AQ544" s="631">
        <f>IF(AND($K540=TRUE,$K543=FALSE),AQ540,IF(AND($K540=FALSE,$K543=TRUE),AQ543,IF(AND($K540=TRUE,$K543=TRUE),AQ540+AQ543,MAX(AQ540,AQ543))))</f>
        <v>0</v>
      </c>
      <c r="AR544" s="631">
        <f>IF(AND($K540=TRUE,$K543=FALSE),AR540,IF(AND($K540=FALSE,$K543=TRUE),AR543,IF(AND($K540=TRUE,$K543=TRUE),AR540+AR543,MAX(AR540,AR543))))</f>
        <v>0</v>
      </c>
      <c r="AS544" s="631">
        <f t="shared" ref="AS544" si="537">IF(AND($R540=TRUE,$R543=FALSE),AS540,IF(AND($R540=FALSE,$R543=TRUE),AS543,IF(AND($R540=TRUE,$R543=TRUE),AS540+AS543,MAX(AS540,AS543))))</f>
        <v>4</v>
      </c>
      <c r="AT544" s="631">
        <f t="shared" ref="AT544" si="538">IF(AND($R540=TRUE,$R543=FALSE),AT540,IF(AND($R540=FALSE,$R543=TRUE),AT543,IF(AND($R540=TRUE,$R543=TRUE),AT540+AT543,MAX(AT540,AT543))))</f>
        <v>10</v>
      </c>
      <c r="AU544" s="631">
        <f t="shared" ref="AU544" si="539">IF(AND($U540=TRUE,$U543=FALSE),AU540,IF(AND($U540=FALSE,$U543=TRUE),AU543,IF(AND($U540=TRUE,$U543=TRUE),AU540+AU543,MAX(AU540,AU543))))</f>
        <v>4</v>
      </c>
      <c r="AV544" s="631">
        <f t="shared" ref="AV544" si="540">IF(AND($U540=TRUE,$U543=FALSE),AV540,IF(AND($U540=FALSE,$U543=TRUE),AV543,IF(AND($U540=TRUE,$U543=TRUE),AV540+AV543,MAX(AV540,AV543))))</f>
        <v>10</v>
      </c>
    </row>
    <row r="545" spans="1:48" ht="32" customHeight="1" x14ac:dyDescent="0.2">
      <c r="B545" s="2030"/>
      <c r="C545" s="313">
        <f>'Action-Réaction finale'!O510</f>
        <v>0</v>
      </c>
      <c r="D545" s="26">
        <f>Test_Bible!B803</f>
        <v>0</v>
      </c>
      <c r="E545" s="62"/>
      <c r="F545" s="790">
        <f>Test_Bible!P803</f>
        <v>0</v>
      </c>
      <c r="G545" s="789">
        <f>Test_Bible!D803</f>
        <v>0</v>
      </c>
      <c r="H545" s="790">
        <f>F545*G545</f>
        <v>0</v>
      </c>
      <c r="I545" s="1647">
        <v>11</v>
      </c>
      <c r="J545" s="1648">
        <v>11</v>
      </c>
      <c r="K545" s="45" t="b">
        <f>IF(AND(F545&gt;=I545,F545&lt;=J545),TRUE,FALSE)</f>
        <v>0</v>
      </c>
      <c r="L545" s="45"/>
      <c r="M545" s="45"/>
      <c r="N545" s="45"/>
      <c r="O545" s="1623"/>
      <c r="P545" s="1647">
        <v>11</v>
      </c>
      <c r="Q545" s="1648">
        <v>11</v>
      </c>
      <c r="R545" s="1623" t="b">
        <f>IF(AND(F545&gt;=P545,F545&lt;=Q545),TRUE,FALSE)</f>
        <v>0</v>
      </c>
      <c r="S545" s="1622"/>
      <c r="T545" s="1615"/>
      <c r="U545" s="1623"/>
      <c r="V545" s="931"/>
      <c r="W545" s="1403"/>
      <c r="X545" s="1436">
        <v>11</v>
      </c>
      <c r="Y545" s="1405"/>
      <c r="Z545" s="1446">
        <v>11</v>
      </c>
      <c r="AA545" s="1447"/>
      <c r="AB545" s="1448">
        <v>11</v>
      </c>
      <c r="AD545" s="960" t="s">
        <v>945</v>
      </c>
      <c r="AE545" s="961"/>
      <c r="AF545" s="960"/>
      <c r="AG545" s="961"/>
      <c r="AH545" s="960"/>
      <c r="AI545" s="961"/>
      <c r="AK545" s="10"/>
      <c r="AL545" s="10"/>
      <c r="AM545" s="10"/>
      <c r="AN545" s="975">
        <f>IF($K545=TRUE,H545,0)</f>
        <v>0</v>
      </c>
      <c r="AO545" s="975">
        <f>IF($R545=TRUE,H545,0)</f>
        <v>0</v>
      </c>
      <c r="AP545" s="975"/>
      <c r="AQ545" s="1806">
        <f>IF(I545=11,0,G545*I545)</f>
        <v>0</v>
      </c>
      <c r="AR545" s="1806">
        <f>IF(J545=11,0,G545*J545)</f>
        <v>0</v>
      </c>
      <c r="AS545" s="1806">
        <f>IF(P545=11,0,G545*P545)</f>
        <v>0</v>
      </c>
      <c r="AT545" s="1806">
        <f>IF(Q545=11,0,G545*Q545)</f>
        <v>0</v>
      </c>
      <c r="AU545" s="1806"/>
      <c r="AV545" s="1806"/>
    </row>
    <row r="546" spans="1:48" ht="32" customHeight="1" thickBot="1" x14ac:dyDescent="0.25">
      <c r="B546" s="2030"/>
      <c r="C546" s="313">
        <f>'Action-Réaction finale'!O511</f>
        <v>0</v>
      </c>
      <c r="D546" s="767">
        <f>Test_Bible!B804</f>
        <v>0</v>
      </c>
      <c r="E546" s="62"/>
      <c r="F546" s="790">
        <f>Test_Bible!P804</f>
        <v>0</v>
      </c>
      <c r="G546" s="789">
        <f>Test_Bible!D804</f>
        <v>0</v>
      </c>
      <c r="H546" s="790">
        <f>F546*G546</f>
        <v>0</v>
      </c>
      <c r="I546" s="1647">
        <v>11</v>
      </c>
      <c r="J546" s="1648">
        <v>11</v>
      </c>
      <c r="K546" s="45" t="b">
        <f>IF(AND(F546&gt;=I546,F546&lt;=J546),TRUE,FALSE)</f>
        <v>0</v>
      </c>
      <c r="L546" s="45"/>
      <c r="M546" s="45"/>
      <c r="N546" s="45"/>
      <c r="O546" s="1623"/>
      <c r="P546" s="1647">
        <v>11</v>
      </c>
      <c r="Q546" s="1648">
        <v>11</v>
      </c>
      <c r="R546" s="1623" t="b">
        <f>IF(AND(F546&gt;=P546,F546&lt;=Q546),TRUE,FALSE)</f>
        <v>0</v>
      </c>
      <c r="S546" s="1647"/>
      <c r="T546" s="1648"/>
      <c r="U546" s="1623"/>
      <c r="V546" s="931"/>
      <c r="W546" s="1406" t="s">
        <v>943</v>
      </c>
      <c r="X546" s="1437">
        <v>11</v>
      </c>
      <c r="Y546" s="1412"/>
      <c r="Z546" s="1440">
        <v>11</v>
      </c>
      <c r="AA546" s="1441"/>
      <c r="AB546" s="1442">
        <v>11</v>
      </c>
      <c r="AD546" s="960"/>
      <c r="AE546" s="961"/>
      <c r="AF546" s="960"/>
      <c r="AG546" s="961"/>
      <c r="AH546" s="960"/>
      <c r="AI546" s="961"/>
      <c r="AK546" s="10"/>
      <c r="AL546" s="10"/>
      <c r="AM546" s="10"/>
      <c r="AN546" s="975">
        <f>IF($K546=TRUE,H546,0)</f>
        <v>0</v>
      </c>
      <c r="AO546" s="975">
        <f>IF($R546=TRUE,H546,0)</f>
        <v>0</v>
      </c>
      <c r="AP546" s="975"/>
      <c r="AQ546" s="1806">
        <f>IF(I546=11,0,G546*I546)</f>
        <v>0</v>
      </c>
      <c r="AR546" s="1806">
        <f>IF(J546=11,0,G546*J546)</f>
        <v>0</v>
      </c>
      <c r="AS546" s="1806">
        <f>IF(P546=11,0,G546*P546)</f>
        <v>0</v>
      </c>
      <c r="AT546" s="1806">
        <f>IF(Q546=11,0,G546*Q546)</f>
        <v>0</v>
      </c>
      <c r="AU546" s="1806"/>
      <c r="AV546" s="1806"/>
    </row>
    <row r="547" spans="1:48" ht="32" customHeight="1" thickBot="1" x14ac:dyDescent="0.25">
      <c r="B547" s="2030"/>
      <c r="C547" s="809" t="s">
        <v>747</v>
      </c>
      <c r="D547" s="810">
        <f>_xlfn.XLOOKUP(H547,H545:H546,D545:D546)</f>
        <v>0</v>
      </c>
      <c r="E547" s="810"/>
      <c r="F547" s="811"/>
      <c r="G547" s="811"/>
      <c r="H547" s="811">
        <f>IF(AND(K545=TRUE,K546=FALSE),H545,IF(AND(K545=FALSE,K546=TRUE),H546,MAX(H545,H546)))</f>
        <v>0</v>
      </c>
      <c r="I547" s="1628"/>
      <c r="J547" s="812"/>
      <c r="K547" s="813" t="b">
        <f>IF(AND(K545=FALSE,K546=FALSE),FALSE,TRUE)</f>
        <v>0</v>
      </c>
      <c r="L547" s="1611"/>
      <c r="M547" s="1611"/>
      <c r="N547" s="1611"/>
      <c r="O547" s="1629"/>
      <c r="P547" s="1628"/>
      <c r="Q547" s="812"/>
      <c r="R547" s="813" t="b">
        <f>IF(AND(R545=FALSE,R546=FALSE),FALSE,TRUE)</f>
        <v>0</v>
      </c>
      <c r="S547" s="1628"/>
      <c r="T547" s="812"/>
      <c r="U547" s="813"/>
      <c r="V547" s="931"/>
      <c r="W547" s="931"/>
      <c r="X547" s="1439"/>
      <c r="Z547" s="1398"/>
      <c r="AB547" s="1402"/>
      <c r="AD547" s="960" t="str">
        <f>IF(K547=TRUE,"V","F")</f>
        <v>F</v>
      </c>
      <c r="AE547" s="961"/>
      <c r="AF547" s="960" t="str">
        <f>IF(R547=TRUE,"V","F")</f>
        <v>F</v>
      </c>
      <c r="AG547" s="961"/>
      <c r="AH547" s="960"/>
      <c r="AI547" s="961"/>
      <c r="AK547" s="10"/>
      <c r="AL547" s="10"/>
      <c r="AM547" s="10"/>
      <c r="AN547" s="2102">
        <f>IF(AND($K545=TRUE,$K546=FALSE),AN545,IF(AND($K545=FALSE,$K546=TRUE),AN546,IF(AND($K545=TRUE,$K546=TRUE),MAX(AN545,AN546),0)))</f>
        <v>0</v>
      </c>
      <c r="AO547" s="2102">
        <f>IF(AND($R545=TRUE,$R546=FALSE),AO545,IF(AND($R545=FALSE,$R546=TRUE),AO546,IF(AND($R545=TRUE,$R546=TRUE),MAX(AO545,AO546),0)))</f>
        <v>0</v>
      </c>
      <c r="AP547" s="2102"/>
      <c r="AQ547" s="2102">
        <f>IF(AND($K545=TRUE,$K546=FALSE),AQ545,IF(AND($K545=FALSE,$K546=TRUE),AQ546,IF(AND($K545=TRUE,$K546=TRUE),MAX(AQ545,AQ546),0)))</f>
        <v>0</v>
      </c>
      <c r="AR547" s="2102">
        <f>IF(AND($K545=TRUE,$K546=FALSE),AR545,IF(AND($K545=FALSE,$K546=TRUE),AR546,IF(AND($K545=TRUE,$K546=TRUE),MAX(AR545,AR546),0)))</f>
        <v>0</v>
      </c>
      <c r="AS547" s="2102">
        <f t="shared" ref="AS547" si="541">IF(AND($R545=TRUE,$R546=FALSE),AS545,IF(AND($R545=FALSE,$R546=TRUE),AS546,IF(AND($R545=TRUE,$R546=TRUE),MAX(AS545,AS546),0)))</f>
        <v>0</v>
      </c>
      <c r="AT547" s="2102">
        <f t="shared" ref="AT547" si="542">IF(AND($R545=TRUE,$R546=FALSE),AT545,IF(AND($R545=FALSE,$R546=TRUE),AT546,IF(AND($R545=TRUE,$R546=TRUE),MAX(AT545,AT546),0)))</f>
        <v>0</v>
      </c>
      <c r="AU547" s="2102"/>
      <c r="AV547" s="2102"/>
    </row>
    <row r="548" spans="1:48" ht="32" customHeight="1" x14ac:dyDescent="0.2">
      <c r="B548" s="2030"/>
      <c r="D548" s="421" t="s">
        <v>310</v>
      </c>
      <c r="E548" s="785"/>
      <c r="F548" s="474" t="s">
        <v>398</v>
      </c>
      <c r="G548" s="47"/>
      <c r="H548" s="47">
        <f>IF(AND(K544=TRUE,K547=FALSE),H544,IF(AND(K544=FALSE,K547=TRUE),H547,IF(AND(K544=TRUE,K547=TRUE),H544+H547,MAX(H544,H547))))</f>
        <v>2</v>
      </c>
      <c r="I548" s="1630"/>
      <c r="J548" s="475"/>
      <c r="K548" s="1613"/>
      <c r="L548" s="1614" t="str">
        <f>IF(AND(K547=TRUE,K544=TRUE),E547,"")</f>
        <v/>
      </c>
      <c r="M548" s="1614" t="str">
        <f>IF(AND(K544=TRUE,K547=FALSE),"Bien que le parent "&amp;E544&amp;" l'enfant ne semble pas s'ingérer","")</f>
        <v/>
      </c>
      <c r="N548" s="1614" t="str">
        <f>IF(AND(K544=FALSE,K547=TRUE),E547&amp;" sans signe de la participation du parent favorisé et|ou nouveau conjoint.e","")</f>
        <v/>
      </c>
      <c r="O548" s="1631" t="str">
        <f>IF(AND(K544=FALSE,K547=FALSE),"aucun comportement significatif de cette nature","")</f>
        <v>aucun comportement significatif de cette nature</v>
      </c>
      <c r="P548" s="1630"/>
      <c r="Q548" s="475"/>
      <c r="R548" s="1639"/>
      <c r="S548" s="1630"/>
      <c r="T548" s="475"/>
      <c r="U548" s="1639"/>
      <c r="V548" s="170"/>
      <c r="W548" s="170"/>
      <c r="X548" s="1439"/>
      <c r="Z548" s="1398"/>
      <c r="AB548" s="1402"/>
      <c r="AD548" s="962"/>
      <c r="AE548" s="963">
        <f>IF(AND(AD544="V",AD547="V"),2,IF(OR(AD544="V",AD547="V"),1,0))</f>
        <v>0</v>
      </c>
      <c r="AF548" s="962"/>
      <c r="AG548" s="963">
        <f>IF(OR(AF544="V",AF547="V"),1,0)</f>
        <v>0</v>
      </c>
      <c r="AH548" s="962"/>
      <c r="AI548" s="963"/>
      <c r="AK548" s="10"/>
      <c r="AL548" s="10"/>
      <c r="AM548" s="10"/>
      <c r="AN548" s="2097">
        <f>IF(AND($AD544="V",$AD547="F"),AN544,IF(AND($AD544="F",$AD547="V"),AN547,IF(AND($AD544="V",$AD547="V"),AN544+AN547,0)))</f>
        <v>0</v>
      </c>
      <c r="AO548" s="2097">
        <f>IF(AND($AF544="V",$AF547="F"),AO544,IF(AND($AF544="F",$AF547="V"),AO547,IF(AND($AF544="V",$AF547="V"),AO544+AO547,0)))</f>
        <v>0</v>
      </c>
      <c r="AP548" s="2097"/>
      <c r="AQ548" s="2097">
        <f>IF(AND($AD544="V",$AD547="F"),AQ544,IF(AND($AD544="F",$AD547="V"),AQ547,IF(AND($AD544="V",$AD547="V"),AQ544+AQ547,0)))</f>
        <v>0</v>
      </c>
      <c r="AR548" s="2097">
        <f>IF(AND($AD544="V",$AD547="F"),AR544,IF(AND($AD544="F",$AD547="V"),AR547,IF(AND($AD544="V",$AD547="V"),AR544+AR547,0)))</f>
        <v>0</v>
      </c>
      <c r="AS548" s="2097">
        <f>IF(AND($AF544="V",$AF547="F"),AS544,IF(AND($AF544="F",$AF547="V"),AS547,IF(AND($AF544="V",$AF547="V"),AS544+AS547,0)))</f>
        <v>0</v>
      </c>
      <c r="AT548" s="2097">
        <f>IF(AND($AF544="V",$AF547="F"),AT544,IF(AND($AF544="F",$AF547="V"),AT547,IF(AND($AF544="V",$AF547="V"),AT544+AT547,0)))</f>
        <v>0</v>
      </c>
      <c r="AU548" s="2097"/>
      <c r="AV548" s="2097"/>
    </row>
    <row r="549" spans="1:48" ht="32" customHeight="1" x14ac:dyDescent="0.2">
      <c r="B549" s="2030"/>
      <c r="C549" t="s">
        <v>243</v>
      </c>
      <c r="I549" s="146"/>
      <c r="L549" s="46"/>
      <c r="M549" s="46"/>
      <c r="N549" s="46"/>
      <c r="O549" s="1652"/>
      <c r="P549" s="146"/>
      <c r="R549" s="326"/>
      <c r="S549" s="146"/>
      <c r="U549" s="326"/>
      <c r="V549" s="46"/>
      <c r="X549" s="1439"/>
      <c r="Z549" s="1398"/>
      <c r="AB549" s="1402"/>
      <c r="AD549" s="960"/>
      <c r="AE549" s="961"/>
      <c r="AF549" s="960"/>
      <c r="AG549" s="961"/>
      <c r="AH549" s="960"/>
      <c r="AI549" s="961"/>
      <c r="AK549" s="10"/>
      <c r="AL549" s="10"/>
      <c r="AM549" s="10"/>
      <c r="AN549" s="975"/>
      <c r="AO549" s="975"/>
      <c r="AP549" s="975"/>
      <c r="AQ549" s="1806"/>
      <c r="AR549" s="1806"/>
      <c r="AS549" s="1806"/>
      <c r="AT549" s="1806"/>
      <c r="AU549" s="1806"/>
      <c r="AV549" s="1806"/>
    </row>
    <row r="550" spans="1:48" ht="32" customHeight="1" x14ac:dyDescent="0.2">
      <c r="B550" s="2030" t="str">
        <f>'Cpts miroirs des parents'!I9</f>
        <v>C: Chantage affectif, loyauté, manipulation</v>
      </c>
      <c r="C550" s="964" t="str">
        <f>BIBLE!E57</f>
        <v>PCR04</v>
      </c>
      <c r="D550" s="984" t="str">
        <f>BIBLE!F57</f>
        <v>Vous questionnez votre enfant à son retour de garde afin de connaître la routine (repas, dodo, activités, etc.) chez l'autre parent.</v>
      </c>
      <c r="E550" s="965"/>
      <c r="F550" s="973">
        <f>Test_Bible!P125</f>
        <v>1</v>
      </c>
      <c r="G550" s="973">
        <f>Test_Bible!D125</f>
        <v>2</v>
      </c>
      <c r="H550" s="973">
        <f>F550*G550</f>
        <v>2</v>
      </c>
      <c r="I550" s="1647">
        <v>11</v>
      </c>
      <c r="J550" s="1648">
        <v>11</v>
      </c>
      <c r="K550" s="45" t="b">
        <f>IF(AND(F550&gt;=I550,F550&lt;=J550),TRUE,FALSE)</f>
        <v>0</v>
      </c>
      <c r="L550" s="32"/>
      <c r="M550" s="32"/>
      <c r="N550" s="32"/>
      <c r="O550" s="1632"/>
      <c r="P550" s="1622">
        <v>4</v>
      </c>
      <c r="Q550" s="1615">
        <v>10</v>
      </c>
      <c r="R550" s="1623" t="b">
        <f>IF(AND(F550&gt;=P550,F550&lt;=Q550),TRUE,FALSE)</f>
        <v>0</v>
      </c>
      <c r="S550" s="1622">
        <v>7</v>
      </c>
      <c r="T550" s="1615">
        <v>10</v>
      </c>
      <c r="U550" s="1623" t="b">
        <f>IF(AND(F550&gt;=S550,F550&lt;=T550),TRUE,FALSE)</f>
        <v>0</v>
      </c>
      <c r="V550" s="1593"/>
      <c r="W550" s="1433"/>
      <c r="X550" s="1436">
        <v>11</v>
      </c>
      <c r="Y550" s="1405"/>
      <c r="Z550" s="1446">
        <v>11</v>
      </c>
      <c r="AA550" s="1405"/>
      <c r="AB550" s="1415">
        <v>4</v>
      </c>
      <c r="AD550" s="960"/>
      <c r="AE550" s="961"/>
      <c r="AF550" s="960"/>
      <c r="AG550" s="961"/>
      <c r="AH550" s="960"/>
      <c r="AI550" s="961"/>
      <c r="AK550" s="10"/>
      <c r="AL550" s="10"/>
      <c r="AM550" s="10"/>
      <c r="AN550" s="975">
        <f>IF($K550=TRUE,H550,0)</f>
        <v>0</v>
      </c>
      <c r="AO550" s="975">
        <f>IF($R550=TRUE,H550,0)</f>
        <v>0</v>
      </c>
      <c r="AP550" s="975">
        <f>IF($U550=TRUE,H550,0)</f>
        <v>0</v>
      </c>
      <c r="AQ550" s="1806">
        <f>IF(I550=11,0,G550*I550)</f>
        <v>0</v>
      </c>
      <c r="AR550" s="1806">
        <f>IF(J550=11,0,G550*J550)</f>
        <v>0</v>
      </c>
      <c r="AS550" s="1806">
        <f>IF(P550=11,0,G550*P550)</f>
        <v>8</v>
      </c>
      <c r="AT550" s="1806">
        <f>IF(Q550=11,0,G550*Q550)</f>
        <v>20</v>
      </c>
      <c r="AU550" s="1806">
        <f>IF(S550=11,0,S550*G550)</f>
        <v>14</v>
      </c>
      <c r="AV550" s="1806">
        <f>IF(T550=11,0,T550*G550)</f>
        <v>20</v>
      </c>
    </row>
    <row r="551" spans="1:48" ht="65" customHeight="1" thickBot="1" x14ac:dyDescent="0.25">
      <c r="A551" s="2045" t="s">
        <v>1910</v>
      </c>
      <c r="B551" s="2030" t="str">
        <f>'Cpts miroirs des parents'!I10</f>
        <v>D: Dénigrement</v>
      </c>
      <c r="C551" s="964" t="str">
        <f>BIBLE!E58</f>
        <v>PCR06</v>
      </c>
      <c r="D551" s="984" t="str">
        <f>BIBLE!F58</f>
        <v xml:space="preserve">Vous faites un retour sur les interventions de l'autre parent (nutrition, hygiène, logistique, etc.) au retour des enfants, par courriel ou message texte. </v>
      </c>
      <c r="E551" s="965"/>
      <c r="F551" s="973">
        <f>Test_Bible!P126</f>
        <v>4</v>
      </c>
      <c r="G551" s="973">
        <f>Test_Bible!D126</f>
        <v>2</v>
      </c>
      <c r="H551" s="973">
        <f>F551*G551</f>
        <v>8</v>
      </c>
      <c r="I551" s="1622">
        <v>4</v>
      </c>
      <c r="J551" s="1615">
        <v>10</v>
      </c>
      <c r="K551" s="45" t="b">
        <f>IF(AND(F551&gt;=I551,F551&lt;=J551),TRUE,FALSE)</f>
        <v>1</v>
      </c>
      <c r="L551" s="32"/>
      <c r="M551" s="32"/>
      <c r="N551" s="32"/>
      <c r="O551" s="1632"/>
      <c r="P551" s="1647">
        <v>11</v>
      </c>
      <c r="Q551" s="1648">
        <v>11</v>
      </c>
      <c r="R551" s="1623" t="b">
        <f>IF(AND(F551&gt;=P551,F551&lt;=Q551),TRUE,FALSE)</f>
        <v>0</v>
      </c>
      <c r="S551" s="1622">
        <v>4</v>
      </c>
      <c r="T551" s="1615">
        <v>10</v>
      </c>
      <c r="U551" s="1623" t="b">
        <f>IF(AND(F551&gt;=S551,F551&lt;=T551),TRUE,FALSE)</f>
        <v>1</v>
      </c>
      <c r="W551" s="1434"/>
      <c r="X551" s="1437">
        <v>11</v>
      </c>
      <c r="Y551" s="1412"/>
      <c r="Z551" s="1440">
        <v>11</v>
      </c>
      <c r="AA551" s="1412"/>
      <c r="AB551" s="1442">
        <v>11</v>
      </c>
      <c r="AD551" s="960"/>
      <c r="AE551" s="961"/>
      <c r="AF551" s="960"/>
      <c r="AG551" s="961"/>
      <c r="AH551" s="960"/>
      <c r="AI551" s="961"/>
      <c r="AK551" s="10"/>
      <c r="AL551" s="10"/>
      <c r="AM551" s="10"/>
      <c r="AN551" s="975">
        <f>IF($K551=TRUE,H551,0)</f>
        <v>8</v>
      </c>
      <c r="AO551" s="975">
        <f>IF($R551=TRUE,H551,0)</f>
        <v>0</v>
      </c>
      <c r="AP551" s="975">
        <f>IF($U551=TRUE,H551,0)</f>
        <v>8</v>
      </c>
      <c r="AQ551" s="1806">
        <f>IF(I551=11,0,G551*I551)</f>
        <v>8</v>
      </c>
      <c r="AR551" s="1806">
        <f>IF(J551=11,0,G551*J551)</f>
        <v>20</v>
      </c>
      <c r="AS551" s="1806">
        <f>IF(P551=11,0,G551*P551)</f>
        <v>0</v>
      </c>
      <c r="AT551" s="1806">
        <f>IF(Q551=11,0,G551*Q551)</f>
        <v>0</v>
      </c>
      <c r="AU551" s="1806">
        <f>IF(S551=11,0,S551*G551)</f>
        <v>8</v>
      </c>
      <c r="AV551" s="1806">
        <f>IF(T551=11,0,T551*G551)</f>
        <v>20</v>
      </c>
    </row>
    <row r="552" spans="1:48" ht="32" customHeight="1" thickBot="1" x14ac:dyDescent="0.35">
      <c r="B552" s="2030"/>
      <c r="E552" s="814"/>
      <c r="F552" s="96"/>
      <c r="G552" s="96"/>
      <c r="H552" s="47">
        <f>IF(AND(K550=TRUE,K551=FALSE),H550,IF(AND(K550=FALSE,K551=TRUE),H551,MAX(H550,H551)))</f>
        <v>8</v>
      </c>
      <c r="I552" s="1644"/>
      <c r="J552" s="1645"/>
      <c r="K552" s="1651" t="b">
        <f>IF(AND(K550=FALSE,K551=FALSE),FALSE,TRUE)</f>
        <v>1</v>
      </c>
      <c r="L552" s="1633"/>
      <c r="M552" s="1634"/>
      <c r="N552" s="1634"/>
      <c r="O552" s="1635"/>
      <c r="P552" s="1644"/>
      <c r="Q552" s="1645"/>
      <c r="R552" s="1651" t="b">
        <f>IF(AND(R550=FALSE,R551=FALSE),FALSE,TRUE)</f>
        <v>0</v>
      </c>
      <c r="S552" s="1656"/>
      <c r="T552" s="1657"/>
      <c r="U552" s="1658" t="b">
        <f>IF(AND(U550=FALSE,U551=FALSE),FALSE,TRUE)</f>
        <v>1</v>
      </c>
      <c r="V552" s="96"/>
      <c r="AD552" s="1564" t="str">
        <f>IF(K552=TRUE,"V","F")</f>
        <v>V</v>
      </c>
      <c r="AE552" s="1565"/>
      <c r="AF552" s="1564" t="str">
        <f>IF(R552=TRUE,"V","F")</f>
        <v>F</v>
      </c>
      <c r="AG552" s="1565"/>
      <c r="AH552" s="1564" t="str">
        <f>IF(U552=TRUE,"V","F")</f>
        <v>V</v>
      </c>
      <c r="AI552" s="1565"/>
      <c r="AK552" s="10"/>
      <c r="AL552" s="10"/>
      <c r="AM552" s="10"/>
      <c r="AN552" s="2102">
        <f>IF(AND($K550=TRUE,$K551=FALSE),AN550,IF(AND($K550=FALSE,$K551=TRUE),AN551,MAX(AN550,AN551)))</f>
        <v>8</v>
      </c>
      <c r="AO552" s="2102">
        <f>IF(AND($R550=TRUE,$R551=FALSE),AO550,IF(AND($R550=FALSE,$R551=TRUE),AO551,MAX(AO550,AO551)))</f>
        <v>0</v>
      </c>
      <c r="AP552" s="2102">
        <f>IF(AND($U550=TRUE,$U551=FALSE),AP550,IF(AND($U550=FALSE,$U551=TRUE),AP551,MAX(AP550,AP551)))</f>
        <v>8</v>
      </c>
      <c r="AQ552" s="2102">
        <f>IF(AND($K550=TRUE,$K551=FALSE),AQ550,IF(AND($K550=FALSE,$K551=TRUE),AQ551,MAX(AQ550,AQ551)))</f>
        <v>8</v>
      </c>
      <c r="AR552" s="2102">
        <f>IF(AND($K550=TRUE,$K551=FALSE),AR550,IF(AND($K550=FALSE,$K551=TRUE),AR551,MAX(AR550,AR551)))</f>
        <v>20</v>
      </c>
      <c r="AS552" s="2102">
        <f>IF(AND($R550=TRUE,$R551=FALSE),AS550,IF(AND($R550=FALSE,$R551=TRUE),AS551,MAX(AS550,AS551)))</f>
        <v>8</v>
      </c>
      <c r="AT552" s="2102">
        <f>IF(AND($R550=TRUE,$R551=FALSE),AT550,IF(AND($R550=FALSE,$R551=TRUE),AT551,MAX(AT550,AT551)))</f>
        <v>20</v>
      </c>
      <c r="AU552" s="2102">
        <f>IF(AND($U550=TRUE,$U551=FALSE),AU550,IF(AND($U550=FALSE,$U551=TRUE),AU551,MAX(AU550,AU551)))</f>
        <v>8</v>
      </c>
      <c r="AV552" s="2102">
        <f>IF(AND($U550=TRUE,$U551=FALSE),AV550,IF(AND($U550=FALSE,$U551=TRUE),AV551,MAX(AV550,AV551)))</f>
        <v>20</v>
      </c>
    </row>
    <row r="553" spans="1:48" ht="32" customHeight="1" x14ac:dyDescent="0.25">
      <c r="B553" s="2030"/>
      <c r="AD553" s="1649"/>
      <c r="AE553" s="1650">
        <f>IF(AND(AD552="V",AD544="V"),AE548-1,AE548)</f>
        <v>0</v>
      </c>
      <c r="AF553" s="1649"/>
      <c r="AG553" s="1650">
        <f>IF(OR(AF544="V",AF547="V",AF552="V"),1,0)</f>
        <v>0</v>
      </c>
      <c r="AH553" s="1649"/>
      <c r="AI553" s="1650">
        <f>IF(AH544="V",1,IF(AH552="V",1,0))</f>
        <v>1</v>
      </c>
      <c r="AK553" s="10"/>
      <c r="AL553" s="10">
        <v>1</v>
      </c>
      <c r="AM553" s="10">
        <v>1</v>
      </c>
      <c r="AN553" s="2101">
        <f>IF($AD552="F",AN548,AN548+AN552)</f>
        <v>8</v>
      </c>
      <c r="AO553" s="2101">
        <f>IF($AF552="F",AO548,AO548+AO552)</f>
        <v>0</v>
      </c>
      <c r="AP553" s="2101">
        <f>IF(AND($AH544="V",$AH552="F"),AP544,IF(AND($AH544="F",$AH552="V"),AP552,IF(AND($AH544="V",$AH552="V"),AP544+AP552,0)))</f>
        <v>8</v>
      </c>
      <c r="AQ553" s="2101">
        <f>IF($AD552="F",AQ548,AQ548+AQ552)</f>
        <v>8</v>
      </c>
      <c r="AR553" s="2101">
        <f t="shared" ref="AR553" si="543">IF($AD552="F",AR548,AR548+AR552)</f>
        <v>20</v>
      </c>
      <c r="AS553" s="2101">
        <f t="shared" ref="AS553" si="544">IF($AF552="F",AS548,AS548+AS552)</f>
        <v>0</v>
      </c>
      <c r="AT553" s="2101">
        <f t="shared" ref="AT553" si="545">IF($AF552="F",AT548,AT548+AT552)</f>
        <v>0</v>
      </c>
      <c r="AU553" s="2101">
        <f t="shared" ref="AU553" si="546">IF(AND($AH544="V",$AH552="F"),AU544,IF(AND($AH544="F",$AH552="V"),AU552,IF(AND($AH544="V",$AH552="V"),AU544+AU552,0)))</f>
        <v>8</v>
      </c>
      <c r="AV553" s="2101">
        <f t="shared" ref="AV553" si="547">IF(AND($AH544="V",$AH552="F"),AV544,IF(AND($AH544="F",$AH552="V"),AV552,IF(AND($AH544="V",$AH552="V"),AV544+AV552,0)))</f>
        <v>20</v>
      </c>
    </row>
    <row r="554" spans="1:48" ht="32" customHeight="1" x14ac:dyDescent="0.3">
      <c r="AD554" s="1668"/>
      <c r="AE554" s="1669"/>
      <c r="AF554" s="1409"/>
      <c r="AK554" s="10"/>
      <c r="AL554" s="10"/>
      <c r="AM554" s="10"/>
    </row>
    <row r="555" spans="1:48" ht="32" customHeight="1" x14ac:dyDescent="0.3">
      <c r="E555" s="108" t="s">
        <v>305</v>
      </c>
      <c r="F555" s="2265" t="s">
        <v>260</v>
      </c>
      <c r="G555" s="2265"/>
      <c r="H555" s="2265"/>
      <c r="I555" s="2265"/>
      <c r="J555" s="2265"/>
      <c r="K555" s="783"/>
      <c r="L555" s="2266"/>
      <c r="M555" s="2266"/>
      <c r="N555" s="2266"/>
      <c r="O555" s="783"/>
      <c r="P555" s="783"/>
      <c r="Q555" s="783"/>
      <c r="R555" s="783"/>
      <c r="S555" s="783"/>
      <c r="T555" s="783"/>
      <c r="U555" s="783"/>
      <c r="V555" s="96"/>
      <c r="W555" s="96"/>
      <c r="AK555" s="10"/>
      <c r="AL555" s="10"/>
      <c r="AM555" s="10"/>
    </row>
    <row r="556" spans="1:48" ht="32" customHeight="1" x14ac:dyDescent="0.3">
      <c r="B556" s="2029">
        <v>2</v>
      </c>
      <c r="D556" s="476" t="str">
        <f>'[1]Cpts miroirs des parents'!$B$11</f>
        <v>Exigences de coparentalité</v>
      </c>
      <c r="E556" s="107"/>
      <c r="F556" s="65"/>
      <c r="G556" s="18"/>
      <c r="H556" s="18"/>
      <c r="I556" s="2255" t="s">
        <v>734</v>
      </c>
      <c r="J556" s="2256"/>
      <c r="K556" s="2256"/>
      <c r="L556" s="2257" t="s">
        <v>1378</v>
      </c>
      <c r="M556" s="2257"/>
      <c r="N556" s="2257"/>
      <c r="O556" s="2258"/>
      <c r="P556" s="2259" t="s">
        <v>733</v>
      </c>
      <c r="Q556" s="2260"/>
      <c r="R556" s="2261"/>
      <c r="S556" s="2262" t="s">
        <v>735</v>
      </c>
      <c r="T556" s="2263"/>
      <c r="U556" s="2264"/>
      <c r="V556" s="15"/>
      <c r="W556" s="15"/>
      <c r="AD556" s="956"/>
      <c r="AE556" s="956"/>
      <c r="AF556" s="956"/>
      <c r="AG556" s="956"/>
      <c r="AH556" s="956"/>
      <c r="AI556" s="957"/>
      <c r="AK556" s="10"/>
      <c r="AL556" s="10"/>
      <c r="AM556" s="10"/>
      <c r="AN556" s="1659" t="s">
        <v>734</v>
      </c>
      <c r="AO556" s="1659" t="s">
        <v>733</v>
      </c>
      <c r="AP556" s="1659" t="s">
        <v>735</v>
      </c>
      <c r="AQ556" s="2254" t="s">
        <v>734</v>
      </c>
      <c r="AR556" s="2254"/>
      <c r="AS556" s="2254" t="s">
        <v>733</v>
      </c>
      <c r="AT556" s="2254"/>
      <c r="AU556" s="2254" t="s">
        <v>735</v>
      </c>
      <c r="AV556" s="2254"/>
    </row>
    <row r="557" spans="1:48" ht="32" customHeight="1" x14ac:dyDescent="0.2">
      <c r="B557" s="2030"/>
      <c r="D557" s="102" t="s">
        <v>998</v>
      </c>
      <c r="E557" s="983"/>
      <c r="F557" s="32" t="s">
        <v>748</v>
      </c>
      <c r="G557" s="32" t="s">
        <v>749</v>
      </c>
      <c r="H557" s="32" t="s">
        <v>750</v>
      </c>
      <c r="I557" s="1620" t="s">
        <v>306</v>
      </c>
      <c r="J557" s="43" t="s">
        <v>307</v>
      </c>
      <c r="K557" s="43" t="s">
        <v>308</v>
      </c>
      <c r="L557" s="43" t="s">
        <v>413</v>
      </c>
      <c r="M557" s="43" t="s">
        <v>388</v>
      </c>
      <c r="N557" s="43" t="s">
        <v>389</v>
      </c>
      <c r="O557" s="1621" t="s">
        <v>390</v>
      </c>
      <c r="P557" s="1620" t="s">
        <v>306</v>
      </c>
      <c r="Q557" s="43" t="s">
        <v>307</v>
      </c>
      <c r="R557" s="1621" t="s">
        <v>308</v>
      </c>
      <c r="S557" s="1620" t="s">
        <v>306</v>
      </c>
      <c r="T557" s="43" t="s">
        <v>307</v>
      </c>
      <c r="U557" s="1621" t="s">
        <v>308</v>
      </c>
      <c r="V557" s="818"/>
      <c r="W557" s="955" t="s">
        <v>928</v>
      </c>
      <c r="X557" s="1391" t="s">
        <v>734</v>
      </c>
      <c r="Y557" s="955" t="s">
        <v>928</v>
      </c>
      <c r="Z557" s="1395" t="s">
        <v>733</v>
      </c>
      <c r="AA557" s="955"/>
      <c r="AB557" s="1399" t="s">
        <v>735</v>
      </c>
      <c r="AD557" s="970" t="s">
        <v>734</v>
      </c>
      <c r="AE557" s="971" t="s">
        <v>946</v>
      </c>
      <c r="AF557" s="970" t="s">
        <v>733</v>
      </c>
      <c r="AG557" s="971" t="s">
        <v>947</v>
      </c>
      <c r="AH557" s="970" t="s">
        <v>735</v>
      </c>
      <c r="AI557" s="971" t="s">
        <v>948</v>
      </c>
      <c r="AK557" s="10"/>
      <c r="AL557" s="10"/>
      <c r="AM557" s="10"/>
      <c r="AN557" s="10"/>
      <c r="AO557" s="10"/>
      <c r="AP557" s="10"/>
      <c r="AQ557" s="1806" t="s">
        <v>1322</v>
      </c>
      <c r="AR557" s="1806" t="s">
        <v>1323</v>
      </c>
      <c r="AS557" s="1806" t="s">
        <v>1322</v>
      </c>
      <c r="AT557" s="1806" t="s">
        <v>1323</v>
      </c>
      <c r="AU557" s="1806" t="s">
        <v>1322</v>
      </c>
      <c r="AV557" s="1806" t="s">
        <v>1323</v>
      </c>
    </row>
    <row r="558" spans="1:48" ht="51" x14ac:dyDescent="0.2">
      <c r="B558" s="2030" t="str">
        <f>'Cpts miroirs des parents'!E12</f>
        <v>F: Interférence lien affectif ou symbolique</v>
      </c>
      <c r="C558" s="414" t="str">
        <f>BIBLE!E121</f>
        <v>PFA22</v>
      </c>
      <c r="D558" s="26" t="str">
        <f>Test_Bible!B207</f>
        <v>Dans quelle mesure diriez-vous que l'autre parent accepte ou vit bien avec les exigences de la coparentalité (logistique horaire, transport, vacances, etc.) ?</v>
      </c>
      <c r="E558" s="101"/>
      <c r="F558" s="790">
        <f>Test_Bible!P207</f>
        <v>2</v>
      </c>
      <c r="G558" s="789">
        <f>Test_Bible!D207</f>
        <v>1</v>
      </c>
      <c r="H558" s="790">
        <f>F558*G558</f>
        <v>2</v>
      </c>
      <c r="I558" s="1647">
        <v>11</v>
      </c>
      <c r="J558" s="1648">
        <v>11</v>
      </c>
      <c r="K558" s="45" t="b">
        <f>IF(AND(F558&gt;=I558,F558&lt;=J558),TRUE,FALSE)</f>
        <v>0</v>
      </c>
      <c r="L558" s="45"/>
      <c r="M558" s="45"/>
      <c r="N558" s="45"/>
      <c r="O558" s="1623"/>
      <c r="P558" s="1647">
        <v>11</v>
      </c>
      <c r="Q558" s="1648">
        <v>11</v>
      </c>
      <c r="R558" s="1623" t="b">
        <f>IF(AND(F558&gt;=P558,F558&lt;=Q558),TRUE,FALSE)</f>
        <v>0</v>
      </c>
      <c r="S558" s="1622">
        <v>7</v>
      </c>
      <c r="T558" s="1615">
        <v>10</v>
      </c>
      <c r="U558" s="1623" t="b">
        <f>IF(AND(F558&gt;=S558,F558&lt;=T558),TRUE,FALSE)</f>
        <v>0</v>
      </c>
      <c r="V558" s="1593"/>
      <c r="W558" s="1403"/>
      <c r="X558" s="1436">
        <v>11</v>
      </c>
      <c r="Y558" s="1447"/>
      <c r="Z558" s="1446">
        <v>11</v>
      </c>
      <c r="AA558" s="1405"/>
      <c r="AB558" s="1415">
        <v>4</v>
      </c>
      <c r="AD558" s="958"/>
      <c r="AE558" s="959"/>
      <c r="AF558" s="958"/>
      <c r="AG558" s="959"/>
      <c r="AH558" s="958"/>
      <c r="AI558" s="959"/>
      <c r="AK558" s="10"/>
      <c r="AL558" s="10"/>
      <c r="AM558" s="10"/>
      <c r="AN558" s="975">
        <f>IF($K558=TRUE,H558,0)</f>
        <v>0</v>
      </c>
      <c r="AO558" s="975">
        <f>IF($R558=TRUE,H558,0)</f>
        <v>0</v>
      </c>
      <c r="AP558" s="975">
        <f>IF($U558=TRUE,H558,0)</f>
        <v>0</v>
      </c>
      <c r="AQ558" s="1806">
        <f>IF(I558=11,0,G558*I558)</f>
        <v>0</v>
      </c>
      <c r="AR558" s="1806">
        <f>IF(J558=11,0,G558*J558)</f>
        <v>0</v>
      </c>
      <c r="AS558" s="1806">
        <f>IF(P558=11,0,G558*P558)</f>
        <v>0</v>
      </c>
      <c r="AT558" s="1806">
        <f>IF(Q558=11,0,G558*Q558)</f>
        <v>0</v>
      </c>
      <c r="AU558" s="1806">
        <f>IF(S558=11,0,S558*G558)</f>
        <v>7</v>
      </c>
      <c r="AV558" s="1806">
        <f>IF(T558=11,0,T558*G558)</f>
        <v>10</v>
      </c>
    </row>
    <row r="559" spans="1:48" ht="32" customHeight="1" x14ac:dyDescent="0.2">
      <c r="B559" s="2030"/>
      <c r="C559" s="414"/>
      <c r="D559" s="26"/>
      <c r="E559" s="101"/>
      <c r="F559" s="790"/>
      <c r="G559" s="789"/>
      <c r="H559" s="790">
        <f>F559*G559</f>
        <v>0</v>
      </c>
      <c r="I559" s="1647">
        <v>11</v>
      </c>
      <c r="J559" s="1648">
        <v>11</v>
      </c>
      <c r="K559" s="45" t="b">
        <f>IF(AND(F559&gt;=I559,F559&lt;=J559),TRUE,FALSE)</f>
        <v>0</v>
      </c>
      <c r="L559" s="45"/>
      <c r="M559" s="45"/>
      <c r="N559" s="45"/>
      <c r="O559" s="1623"/>
      <c r="P559" s="1647">
        <v>11</v>
      </c>
      <c r="Q559" s="1648">
        <v>11</v>
      </c>
      <c r="R559" s="1623" t="b">
        <f>IF(AND(F559&gt;=P559,F559&lt;=Q559),TRUE,FALSE)</f>
        <v>0</v>
      </c>
      <c r="S559" s="1647">
        <v>11</v>
      </c>
      <c r="T559" s="1648">
        <v>11</v>
      </c>
      <c r="U559" s="1623" t="b">
        <f>IF(AND(F559&gt;=S559,F559&lt;=T559),TRUE,FALSE)</f>
        <v>0</v>
      </c>
      <c r="V559" s="931"/>
      <c r="W559" s="1406" t="s">
        <v>943</v>
      </c>
      <c r="X559" s="1437">
        <v>11</v>
      </c>
      <c r="Y559" s="1441"/>
      <c r="Z559" s="1440">
        <v>11</v>
      </c>
      <c r="AA559" s="1412"/>
      <c r="AB559" s="1442">
        <v>11</v>
      </c>
      <c r="AD559" s="960"/>
      <c r="AE559" s="961"/>
      <c r="AF559" s="960"/>
      <c r="AG559" s="961"/>
      <c r="AH559" s="960"/>
      <c r="AI559" s="961"/>
      <c r="AK559" s="10"/>
      <c r="AL559" s="10"/>
      <c r="AM559" s="10"/>
      <c r="AN559" s="975">
        <f>IF($K559=TRUE,H559,0)</f>
        <v>0</v>
      </c>
      <c r="AO559" s="975">
        <f>IF($R559=TRUE,H559,0)</f>
        <v>0</v>
      </c>
      <c r="AP559" s="975">
        <f>IF($U559=TRUE,H559,0)</f>
        <v>0</v>
      </c>
      <c r="AQ559" s="1806">
        <f>IF(I559=11,0,G559*I559)</f>
        <v>0</v>
      </c>
      <c r="AR559" s="1806">
        <f>IF(J559=11,0,G559*J559)</f>
        <v>0</v>
      </c>
      <c r="AS559" s="1806">
        <f>IF(P559=11,0,G559*P559)</f>
        <v>0</v>
      </c>
      <c r="AT559" s="1806">
        <f>IF(Q559=11,0,G559*Q559)</f>
        <v>0</v>
      </c>
      <c r="AU559" s="1806">
        <f>IF(S559=11,0,S559*G559)</f>
        <v>0</v>
      </c>
      <c r="AV559" s="1806">
        <f>IF(T559=11,0,T559*G559)</f>
        <v>0</v>
      </c>
    </row>
    <row r="560" spans="1:48" ht="51" x14ac:dyDescent="0.2">
      <c r="B560" s="2030"/>
      <c r="C560" s="792" t="s">
        <v>745</v>
      </c>
      <c r="D560" s="793" t="str">
        <f>_xlfn.XLOOKUP(H560,H558:H559,D558:D559)</f>
        <v>Dans quelle mesure diriez-vous que l'autre parent accepte ou vit bien avec les exigences de la coparentalité (logistique horaire, transport, vacances, etc.) ?</v>
      </c>
      <c r="E560" s="794"/>
      <c r="F560" s="795"/>
      <c r="G560" s="795"/>
      <c r="H560" s="795">
        <f>IF(AND(K558=TRUE,K559=FALSE),H558,IF(AND(K558=FALSE,K559=TRUE),H559,MAX(H558,H559)))</f>
        <v>2</v>
      </c>
      <c r="I560" s="1624"/>
      <c r="J560" s="796"/>
      <c r="K560" s="797" t="b">
        <f>IF(AND(K558=FALSE,K559=FALSE),FALSE,TRUE)</f>
        <v>0</v>
      </c>
      <c r="L560" s="45"/>
      <c r="M560" s="45"/>
      <c r="N560" s="45"/>
      <c r="O560" s="1623"/>
      <c r="P560" s="1624"/>
      <c r="Q560" s="796"/>
      <c r="R560" s="1637" t="b">
        <f>IF(AND(R558=FALSE,R559=FALSE),FALSE,TRUE)</f>
        <v>0</v>
      </c>
      <c r="S560" s="1624"/>
      <c r="T560" s="796"/>
      <c r="U560" s="1637" t="b">
        <f>IF(AND(U558=FALSE,U559=FALSE),FALSE,TRUE)</f>
        <v>0</v>
      </c>
      <c r="V560" s="931"/>
      <c r="W560" s="931" t="s">
        <v>943</v>
      </c>
      <c r="X560" s="1438"/>
      <c r="Y560" s="1444"/>
      <c r="Z560" s="1443"/>
      <c r="AA560" s="8"/>
      <c r="AB560" s="1400"/>
      <c r="AD560" s="960"/>
      <c r="AE560" s="961"/>
      <c r="AF560" s="960"/>
      <c r="AG560" s="961"/>
      <c r="AH560" s="960"/>
      <c r="AI560" s="961"/>
      <c r="AK560" s="10"/>
      <c r="AL560" s="10"/>
      <c r="AM560" s="10"/>
      <c r="AN560" s="2100">
        <f>IF($K560=TRUE,MAX(AN558:AN559),0)</f>
        <v>0</v>
      </c>
      <c r="AO560" s="2100">
        <f>IF($R560=TRUE,MAX(AO558:AO559),0)</f>
        <v>0</v>
      </c>
      <c r="AP560" s="2100">
        <f>IF($U560=TRUE,MAX(AP558:AP559),0)</f>
        <v>0</v>
      </c>
      <c r="AQ560" s="2099">
        <f>MAX(AQ558:AQ559)</f>
        <v>0</v>
      </c>
      <c r="AR560" s="2099">
        <f t="shared" ref="AR560" si="548">MAX(AR558:AR559)</f>
        <v>0</v>
      </c>
      <c r="AS560" s="2099">
        <f t="shared" ref="AS560" si="549">MAX(AS558:AS559)</f>
        <v>0</v>
      </c>
      <c r="AT560" s="2099">
        <f t="shared" ref="AT560" si="550">MAX(AT558:AT559)</f>
        <v>0</v>
      </c>
      <c r="AU560" s="2099">
        <f t="shared" ref="AU560" si="551">MAX(AU558:AU559)</f>
        <v>7</v>
      </c>
      <c r="AV560" s="2099">
        <f t="shared" ref="AV560" si="552">MAX(AV558:AV559)</f>
        <v>10</v>
      </c>
    </row>
    <row r="561" spans="2:48" ht="32" customHeight="1" x14ac:dyDescent="0.2">
      <c r="B561" s="2030"/>
      <c r="C561" s="52"/>
      <c r="D561" s="26"/>
      <c r="E561" s="101"/>
      <c r="F561" s="790"/>
      <c r="G561" s="789"/>
      <c r="H561" s="790">
        <f>F561*G561</f>
        <v>0</v>
      </c>
      <c r="I561" s="1647">
        <v>11</v>
      </c>
      <c r="J561" s="1648">
        <v>11</v>
      </c>
      <c r="K561" s="45" t="b">
        <f>IF(AND(F561&gt;=I561,F561&lt;=J561),TRUE,FALSE)</f>
        <v>0</v>
      </c>
      <c r="L561" s="45"/>
      <c r="M561" s="45"/>
      <c r="N561" s="45"/>
      <c r="O561" s="1623"/>
      <c r="P561" s="1647">
        <v>11</v>
      </c>
      <c r="Q561" s="1648">
        <v>11</v>
      </c>
      <c r="R561" s="1623" t="b">
        <f>IF(AND(F561&gt;=P561,F561&lt;=Q561),TRUE,FALSE)</f>
        <v>0</v>
      </c>
      <c r="S561" s="1647">
        <v>11</v>
      </c>
      <c r="T561" s="1648">
        <v>11</v>
      </c>
      <c r="U561" s="1623" t="b">
        <f>IF(AND(F561&gt;=S561,F561&lt;=T561),TRUE,FALSE)</f>
        <v>0</v>
      </c>
      <c r="V561" s="931"/>
      <c r="W561" s="1403"/>
      <c r="X561" s="1436">
        <v>11</v>
      </c>
      <c r="Y561" s="1447"/>
      <c r="Z561" s="1446">
        <v>11</v>
      </c>
      <c r="AA561" s="1405"/>
      <c r="AB561" s="1448">
        <v>11</v>
      </c>
      <c r="AD561" s="960"/>
      <c r="AE561" s="961"/>
      <c r="AF561" s="960"/>
      <c r="AG561" s="961"/>
      <c r="AH561" s="960"/>
      <c r="AI561" s="961"/>
      <c r="AK561" s="10"/>
      <c r="AL561" s="10"/>
      <c r="AM561" s="10"/>
      <c r="AN561" s="975">
        <f>IF(K561=TRUE,H561,0)</f>
        <v>0</v>
      </c>
      <c r="AO561" s="975">
        <f>IF(R561=TRUE,H561,0)</f>
        <v>0</v>
      </c>
      <c r="AP561" s="975">
        <f>IF(U561=TRUE,H561,0)</f>
        <v>0</v>
      </c>
      <c r="AQ561" s="1806">
        <f>IF(I561=11,0,G561*I561)</f>
        <v>0</v>
      </c>
      <c r="AR561" s="1806">
        <f>IF(J561=11,0,G561*J561)</f>
        <v>0</v>
      </c>
      <c r="AS561" s="1806">
        <f>IF(P561=11,0,G561*P561)</f>
        <v>0</v>
      </c>
      <c r="AT561" s="1806">
        <f>IF(Q561=11,0,G561*Q561)</f>
        <v>0</v>
      </c>
      <c r="AU561" s="1806">
        <f>IF(S561=11,0,S561*G561)</f>
        <v>0</v>
      </c>
      <c r="AV561" s="1806">
        <f>IF(T561=11,0,T561*G561)</f>
        <v>0</v>
      </c>
    </row>
    <row r="562" spans="2:48" ht="32" customHeight="1" x14ac:dyDescent="0.2">
      <c r="B562" s="2030"/>
      <c r="C562" s="52"/>
      <c r="D562" s="26"/>
      <c r="E562" s="62"/>
      <c r="F562" s="35"/>
      <c r="G562" s="35"/>
      <c r="H562" s="35">
        <f>F562*G562</f>
        <v>0</v>
      </c>
      <c r="I562" s="1647">
        <v>11</v>
      </c>
      <c r="J562" s="1648">
        <v>11</v>
      </c>
      <c r="K562" s="45" t="b">
        <f>IF(AND(F562&gt;=I562,F562&lt;=J562),TRUE,FALSE)</f>
        <v>0</v>
      </c>
      <c r="L562" s="45"/>
      <c r="M562" s="45"/>
      <c r="N562" s="45"/>
      <c r="O562" s="1623"/>
      <c r="P562" s="1647">
        <v>11</v>
      </c>
      <c r="Q562" s="1648">
        <v>11</v>
      </c>
      <c r="R562" s="1623" t="b">
        <f>IF(AND(F562&gt;=P562,F562&lt;=Q562),TRUE,FALSE)</f>
        <v>0</v>
      </c>
      <c r="S562" s="1647">
        <v>11</v>
      </c>
      <c r="T562" s="1648">
        <v>11</v>
      </c>
      <c r="U562" s="1623" t="b">
        <f>IF(AND(F562&gt;=S562,F562&lt;=T562),TRUE,FALSE)</f>
        <v>0</v>
      </c>
      <c r="V562" s="931"/>
      <c r="W562" s="1406" t="s">
        <v>943</v>
      </c>
      <c r="X562" s="1437">
        <v>11</v>
      </c>
      <c r="Y562" s="1441"/>
      <c r="Z562" s="1440">
        <v>11</v>
      </c>
      <c r="AA562" s="1412"/>
      <c r="AB562" s="1442">
        <v>11</v>
      </c>
      <c r="AD562" s="960"/>
      <c r="AE562" s="961"/>
      <c r="AF562" s="960"/>
      <c r="AG562" s="961"/>
      <c r="AH562" s="960"/>
      <c r="AI562" s="961"/>
      <c r="AK562" s="10"/>
      <c r="AL562" s="10"/>
      <c r="AM562" s="10"/>
      <c r="AN562" s="975">
        <f>IF(K562=TRUE,H562,0)</f>
        <v>0</v>
      </c>
      <c r="AO562" s="975">
        <f>IF(R562=TRUE,H562,0)</f>
        <v>0</v>
      </c>
      <c r="AP562" s="975">
        <f>IF(U562=TRUE,H562,0)</f>
        <v>0</v>
      </c>
      <c r="AQ562" s="1806">
        <f>IF(I562=11,0,G562*I562)</f>
        <v>0</v>
      </c>
      <c r="AR562" s="1806">
        <f>IF(J562=11,0,G562*J562)</f>
        <v>0</v>
      </c>
      <c r="AS562" s="1806">
        <f>IF(P562=11,0,G562*P562)</f>
        <v>0</v>
      </c>
      <c r="AT562" s="1806">
        <f>IF(Q562=11,0,G562*Q562)</f>
        <v>0</v>
      </c>
      <c r="AU562" s="1806">
        <f>IF(S562=11,0,S562*G562)</f>
        <v>0</v>
      </c>
      <c r="AV562" s="1806">
        <f>IF(T562=11,0,T562*G562)</f>
        <v>0</v>
      </c>
    </row>
    <row r="563" spans="2:48" ht="32" customHeight="1" thickBot="1" x14ac:dyDescent="0.25">
      <c r="B563" s="2030"/>
      <c r="C563" s="798" t="s">
        <v>746</v>
      </c>
      <c r="D563" s="799">
        <f>_xlfn.XLOOKUP(H563,H561:H562,D561:D562)</f>
        <v>0</v>
      </c>
      <c r="E563" s="800"/>
      <c r="F563" s="801"/>
      <c r="G563" s="801"/>
      <c r="H563" s="795">
        <f>IF(AND(K561=TRUE,K562=FALSE),H561,IF(AND(K561=FALSE,K562=TRUE),H562,MAX(H561,H562)))</f>
        <v>0</v>
      </c>
      <c r="I563" s="1625"/>
      <c r="J563" s="802"/>
      <c r="K563" s="803" t="b">
        <f>IF(AND(K561=FALSE,K562=FALSE),FALSE,TRUE)</f>
        <v>0</v>
      </c>
      <c r="L563" s="45"/>
      <c r="M563" s="45"/>
      <c r="N563" s="45"/>
      <c r="O563" s="1623"/>
      <c r="P563" s="1625"/>
      <c r="Q563" s="802"/>
      <c r="R563" s="1638" t="b">
        <f>IF(AND(R561=FALSE,R562=FALSE),FALSE,TRUE)</f>
        <v>0</v>
      </c>
      <c r="S563" s="1625"/>
      <c r="T563" s="802"/>
      <c r="U563" s="1638" t="b">
        <f>IF(AND(U561=FALSE,U562=FALSE),FALSE,TRUE)</f>
        <v>0</v>
      </c>
      <c r="V563" s="931"/>
      <c r="W563" s="931"/>
      <c r="X563" s="1438"/>
      <c r="Y563" s="1444"/>
      <c r="Z563" s="1443"/>
      <c r="AA563" s="8"/>
      <c r="AB563" s="1445"/>
      <c r="AD563" s="960"/>
      <c r="AE563" s="961"/>
      <c r="AF563" s="960"/>
      <c r="AG563" s="961"/>
      <c r="AH563" s="960"/>
      <c r="AI563" s="961"/>
      <c r="AK563" s="10"/>
      <c r="AL563" s="10"/>
      <c r="AM563" s="10"/>
      <c r="AN563" s="2100">
        <f>IF($K563=TRUE,MAX(AN561:AN562),0)</f>
        <v>0</v>
      </c>
      <c r="AO563" s="2100">
        <f>IF($R563=TRUE,MAX(AO561:AO562),0)</f>
        <v>0</v>
      </c>
      <c r="AP563" s="2100">
        <f>IF($U563=TRUE,MAX(AP561:AP562),0)</f>
        <v>0</v>
      </c>
      <c r="AQ563" s="2099">
        <f>MAX(AQ561:AQ562)</f>
        <v>0</v>
      </c>
      <c r="AR563" s="2099">
        <f t="shared" ref="AR563" si="553">MAX(AR561:AR562)</f>
        <v>0</v>
      </c>
      <c r="AS563" s="2099">
        <f t="shared" ref="AS563" si="554">MAX(AS561:AS562)</f>
        <v>0</v>
      </c>
      <c r="AT563" s="2099">
        <f t="shared" ref="AT563" si="555">MAX(AT561:AT562)</f>
        <v>0</v>
      </c>
      <c r="AU563" s="2099">
        <f t="shared" ref="AU563" si="556">MAX(AU561:AU562)</f>
        <v>0</v>
      </c>
      <c r="AV563" s="2099">
        <f t="shared" ref="AV563" si="557">MAX(AV561:AV562)</f>
        <v>0</v>
      </c>
    </row>
    <row r="564" spans="2:48" ht="32" customHeight="1" thickBot="1" x14ac:dyDescent="0.25">
      <c r="B564" s="2030"/>
      <c r="C564" s="804" t="s">
        <v>754</v>
      </c>
      <c r="D564" s="805"/>
      <c r="E564" s="805"/>
      <c r="F564" s="806"/>
      <c r="G564" s="806"/>
      <c r="H564" s="806">
        <f>IF(AND(K560=TRUE,K563=FALSE),H560,IF(AND(K560=FALSE,K563=TRUE),H563,IF(AND(K560=TRUE,K563=TRUE),H560+H563,MAX(H560,H563))))</f>
        <v>2</v>
      </c>
      <c r="I564" s="1626"/>
      <c r="J564" s="807"/>
      <c r="K564" s="808" t="b">
        <f>IF(AND(K560=FALSE,K563=FALSE),FALSE,TRUE)</f>
        <v>0</v>
      </c>
      <c r="L564" s="1610"/>
      <c r="M564" s="1610"/>
      <c r="N564" s="1610"/>
      <c r="O564" s="1627"/>
      <c r="P564" s="1626"/>
      <c r="Q564" s="807"/>
      <c r="R564" s="808" t="b">
        <f>IF(AND(R560=FALSE,R563=FALSE),FALSE,TRUE)</f>
        <v>0</v>
      </c>
      <c r="S564" s="1626"/>
      <c r="T564" s="807"/>
      <c r="U564" s="808" t="b">
        <f>IF(AND(U560=FALSE,U563=FALSE),FALSE,TRUE)</f>
        <v>0</v>
      </c>
      <c r="V564" s="931"/>
      <c r="W564" s="931" t="s">
        <v>942</v>
      </c>
      <c r="X564" s="1438"/>
      <c r="Y564" s="1444"/>
      <c r="Z564" s="1443"/>
      <c r="AA564" s="8"/>
      <c r="AB564" s="1445"/>
      <c r="AD564" s="960" t="str">
        <f>IF(K564=TRUE,"V","F")</f>
        <v>F</v>
      </c>
      <c r="AE564" s="961"/>
      <c r="AF564" s="960" t="str">
        <f>IF(R564=TRUE,"V","F")</f>
        <v>F</v>
      </c>
      <c r="AG564" s="961"/>
      <c r="AH564" s="960" t="str">
        <f>IF(U564=TRUE,"V","F")</f>
        <v>F</v>
      </c>
      <c r="AI564" s="961"/>
      <c r="AK564" s="10"/>
      <c r="AL564" s="10"/>
      <c r="AM564" s="10"/>
      <c r="AN564" s="631">
        <f>IF(AND($K560=TRUE,$K563=FALSE),AN560,IF(AND($K560=FALSE,$K563=TRUE),AN563,IF(AND($K560=TRUE,$K563=TRUE),AN560+AN563,0)))</f>
        <v>0</v>
      </c>
      <c r="AO564" s="631">
        <f>IF(AND($R560=TRUE,$R563=FALSE),AO560,IF(AND($R560=FALSE,$R563=TRUE),AO563,IF(AND($R560=TRUE,$R563=TRUE),AO560+AO563,0)))</f>
        <v>0</v>
      </c>
      <c r="AP564" s="631">
        <f>IF(AND($U560=TRUE,$U563=FALSE),AP560,IF(AND($U560=FALSE,$U563=TRUE),AP563,IF(AND($U560=TRUE,$U563=TRUE),AP560+AP563,0)))</f>
        <v>0</v>
      </c>
      <c r="AQ564" s="631">
        <f>IF(AND($K560=TRUE,$K563=FALSE),AQ560,IF(AND($K560=FALSE,$K563=TRUE),AQ563,IF(AND($K560=TRUE,$K563=TRUE),AQ560+AQ563,MAX(AQ560,AQ563))))</f>
        <v>0</v>
      </c>
      <c r="AR564" s="631">
        <f>IF(AND($K560=TRUE,$K563=FALSE),AR560,IF(AND($K560=FALSE,$K563=TRUE),AR563,IF(AND($K560=TRUE,$K563=TRUE),AR560+AR563,MAX(AR560,AR563))))</f>
        <v>0</v>
      </c>
      <c r="AS564" s="631">
        <f t="shared" ref="AS564" si="558">IF(AND($R560=TRUE,$R563=FALSE),AS560,IF(AND($R560=FALSE,$R563=TRUE),AS563,IF(AND($R560=TRUE,$R563=TRUE),AS560+AS563,MAX(AS560,AS563))))</f>
        <v>0</v>
      </c>
      <c r="AT564" s="631">
        <f t="shared" ref="AT564" si="559">IF(AND($R560=TRUE,$R563=FALSE),AT560,IF(AND($R560=FALSE,$R563=TRUE),AT563,IF(AND($R560=TRUE,$R563=TRUE),AT560+AT563,MAX(AT560,AT563))))</f>
        <v>0</v>
      </c>
      <c r="AU564" s="631">
        <f t="shared" ref="AU564" si="560">IF(AND($U560=TRUE,$U563=FALSE),AU560,IF(AND($U560=FALSE,$U563=TRUE),AU563,IF(AND($U560=TRUE,$U563=TRUE),AU560+AU563,MAX(AU560,AU563))))</f>
        <v>7</v>
      </c>
      <c r="AV564" s="631">
        <f t="shared" ref="AV564" si="561">IF(AND($U560=TRUE,$U563=FALSE),AV560,IF(AND($U560=FALSE,$U563=TRUE),AV563,IF(AND($U560=TRUE,$U563=TRUE),AV560+AV563,MAX(AV560,AV563))))</f>
        <v>10</v>
      </c>
    </row>
    <row r="565" spans="2:48" ht="32" customHeight="1" x14ac:dyDescent="0.2">
      <c r="B565" s="2030"/>
      <c r="C565" s="313"/>
      <c r="D565" s="26"/>
      <c r="E565" s="62"/>
      <c r="F565" s="790"/>
      <c r="G565" s="789"/>
      <c r="H565" s="790">
        <f>F565*G565</f>
        <v>0</v>
      </c>
      <c r="I565" s="1647"/>
      <c r="J565" s="1648"/>
      <c r="K565" s="45"/>
      <c r="L565" s="45"/>
      <c r="M565" s="45"/>
      <c r="N565" s="45"/>
      <c r="O565" s="1623"/>
      <c r="P565" s="1647"/>
      <c r="Q565" s="1648"/>
      <c r="R565" s="1623"/>
      <c r="S565" s="1622"/>
      <c r="T565" s="1615"/>
      <c r="U565" s="1623"/>
      <c r="V565" s="931"/>
      <c r="W565" s="1403"/>
      <c r="X565" s="1436">
        <v>11</v>
      </c>
      <c r="Y565" s="1447"/>
      <c r="Z565" s="1446">
        <v>11</v>
      </c>
      <c r="AA565" s="1405"/>
      <c r="AB565" s="1448">
        <v>11</v>
      </c>
      <c r="AD565" s="960" t="s">
        <v>945</v>
      </c>
      <c r="AE565" s="961"/>
      <c r="AF565" s="960"/>
      <c r="AG565" s="961"/>
      <c r="AH565" s="960"/>
      <c r="AI565" s="961"/>
      <c r="AK565" s="10"/>
      <c r="AL565" s="10"/>
      <c r="AM565" s="10"/>
      <c r="AN565" s="975">
        <f>IF($K565=TRUE,H565,0)</f>
        <v>0</v>
      </c>
      <c r="AO565" s="975">
        <f>IF($R565=TRUE,H565,0)</f>
        <v>0</v>
      </c>
      <c r="AP565" s="975"/>
      <c r="AQ565" s="1806">
        <f>IF(I565=11,0,G565*I565)</f>
        <v>0</v>
      </c>
      <c r="AR565" s="1806">
        <f>IF(J565=11,0,G565*J565)</f>
        <v>0</v>
      </c>
      <c r="AS565" s="1806">
        <f>IF(P565=11,0,G565*P565)</f>
        <v>0</v>
      </c>
      <c r="AT565" s="1806">
        <f>IF(Q565=11,0,G565*Q565)</f>
        <v>0</v>
      </c>
      <c r="AU565" s="1806"/>
      <c r="AV565" s="1806"/>
    </row>
    <row r="566" spans="2:48" ht="32" customHeight="1" thickBot="1" x14ac:dyDescent="0.25">
      <c r="B566" s="2030"/>
      <c r="C566" s="313"/>
      <c r="D566" s="767"/>
      <c r="E566" s="62"/>
      <c r="F566" s="790"/>
      <c r="G566" s="789"/>
      <c r="H566" s="790">
        <f>F566*G566</f>
        <v>0</v>
      </c>
      <c r="I566" s="1647"/>
      <c r="J566" s="1648"/>
      <c r="K566" s="45"/>
      <c r="L566" s="45"/>
      <c r="M566" s="45"/>
      <c r="N566" s="45"/>
      <c r="O566" s="1623"/>
      <c r="P566" s="1647"/>
      <c r="Q566" s="1648"/>
      <c r="R566" s="1623"/>
      <c r="S566" s="1647"/>
      <c r="T566" s="1648"/>
      <c r="U566" s="1623"/>
      <c r="V566" s="931"/>
      <c r="W566" s="1406" t="s">
        <v>943</v>
      </c>
      <c r="X566" s="1437">
        <v>11</v>
      </c>
      <c r="Y566" s="1441"/>
      <c r="Z566" s="1440">
        <v>11</v>
      </c>
      <c r="AA566" s="1412"/>
      <c r="AB566" s="1442">
        <v>11</v>
      </c>
      <c r="AD566" s="960"/>
      <c r="AE566" s="961"/>
      <c r="AF566" s="960"/>
      <c r="AG566" s="961"/>
      <c r="AH566" s="960"/>
      <c r="AI566" s="961"/>
      <c r="AK566" s="10"/>
      <c r="AL566" s="10"/>
      <c r="AM566" s="10"/>
      <c r="AN566" s="975">
        <f>IF($K566=TRUE,H566,0)</f>
        <v>0</v>
      </c>
      <c r="AO566" s="975">
        <f>IF($R566=TRUE,H566,0)</f>
        <v>0</v>
      </c>
      <c r="AP566" s="975"/>
      <c r="AQ566" s="1806">
        <f>IF(I566=11,0,G566*I566)</f>
        <v>0</v>
      </c>
      <c r="AR566" s="1806">
        <f>IF(J566=11,0,G566*J566)</f>
        <v>0</v>
      </c>
      <c r="AS566" s="1806">
        <f>IF(P566=11,0,G566*P566)</f>
        <v>0</v>
      </c>
      <c r="AT566" s="1806">
        <f>IF(Q566=11,0,G566*Q566)</f>
        <v>0</v>
      </c>
      <c r="AU566" s="1806"/>
      <c r="AV566" s="1806"/>
    </row>
    <row r="567" spans="2:48" ht="32" customHeight="1" thickBot="1" x14ac:dyDescent="0.25">
      <c r="B567" s="2030"/>
      <c r="C567" s="809" t="s">
        <v>747</v>
      </c>
      <c r="D567" s="810">
        <f>_xlfn.XLOOKUP(H567,H565:H566,D565:D566)</f>
        <v>0</v>
      </c>
      <c r="E567" s="810"/>
      <c r="F567" s="811"/>
      <c r="G567" s="811"/>
      <c r="H567" s="811">
        <f>IF(AND(K565=TRUE,K566=FALSE),H565,IF(AND(K565=FALSE,K566=TRUE),H566,MAX(H565,H566)))</f>
        <v>0</v>
      </c>
      <c r="I567" s="1628"/>
      <c r="J567" s="812"/>
      <c r="K567" s="813" t="b">
        <f>IF(AND(K565=FALSE,K566=FALSE),FALSE,TRUE)</f>
        <v>0</v>
      </c>
      <c r="L567" s="1611"/>
      <c r="M567" s="1611"/>
      <c r="N567" s="1611"/>
      <c r="O567" s="1629"/>
      <c r="P567" s="1628"/>
      <c r="Q567" s="812"/>
      <c r="R567" s="813" t="b">
        <f>IF(AND(R565=FALSE,R566=FALSE),FALSE,TRUE)</f>
        <v>0</v>
      </c>
      <c r="S567" s="1628"/>
      <c r="T567" s="812"/>
      <c r="U567" s="813"/>
      <c r="V567" s="931"/>
      <c r="W567" s="931"/>
      <c r="X567" s="1439"/>
      <c r="Y567" s="1450"/>
      <c r="Z567" s="1451"/>
      <c r="AB567" s="1449"/>
      <c r="AD567" s="960" t="str">
        <f>IF(K567=TRUE,"V","F")</f>
        <v>F</v>
      </c>
      <c r="AE567" s="961"/>
      <c r="AF567" s="960" t="str">
        <f>IF(R567=TRUE,"V","F")</f>
        <v>F</v>
      </c>
      <c r="AG567" s="961"/>
      <c r="AH567" s="960"/>
      <c r="AI567" s="961"/>
      <c r="AK567" s="10"/>
      <c r="AL567" s="10"/>
      <c r="AM567" s="10"/>
      <c r="AN567" s="2102">
        <f>IF(AND($K565=TRUE,$K566=FALSE),AN565,IF(AND($K565=FALSE,$K566=TRUE),AN566,IF(AND($K565=TRUE,$K566=TRUE),MAX(AN565,AN566),0)))</f>
        <v>0</v>
      </c>
      <c r="AO567" s="2102">
        <f>IF(AND($R565=TRUE,$R566=FALSE),AO565,IF(AND($R565=FALSE,$R566=TRUE),AO566,IF(AND($R565=TRUE,$R566=TRUE),MAX(AO565,AO566),0)))</f>
        <v>0</v>
      </c>
      <c r="AP567" s="2102"/>
      <c r="AQ567" s="2102">
        <f>IF(AND($K565=TRUE,$K566=FALSE),AQ565,IF(AND($K565=FALSE,$K566=TRUE),AQ566,IF(AND($K565=TRUE,$K566=TRUE),MAX(AQ565,AQ566),0)))</f>
        <v>0</v>
      </c>
      <c r="AR567" s="2102">
        <f>IF(AND($K565=TRUE,$K566=FALSE),AR565,IF(AND($K565=FALSE,$K566=TRUE),AR566,IF(AND($K565=TRUE,$K566=TRUE),MAX(AR565,AR566),0)))</f>
        <v>0</v>
      </c>
      <c r="AS567" s="2102">
        <f t="shared" ref="AS567" si="562">IF(AND($R565=TRUE,$R566=FALSE),AS565,IF(AND($R565=FALSE,$R566=TRUE),AS566,IF(AND($R565=TRUE,$R566=TRUE),MAX(AS565,AS566),0)))</f>
        <v>0</v>
      </c>
      <c r="AT567" s="2102">
        <f t="shared" ref="AT567" si="563">IF(AND($R565=TRUE,$R566=FALSE),AT565,IF(AND($R565=FALSE,$R566=TRUE),AT566,IF(AND($R565=TRUE,$R566=TRUE),MAX(AT565,AT566),0)))</f>
        <v>0</v>
      </c>
      <c r="AU567" s="2102"/>
      <c r="AV567" s="2102"/>
    </row>
    <row r="568" spans="2:48" ht="32" customHeight="1" x14ac:dyDescent="0.2">
      <c r="B568" s="2030"/>
      <c r="D568" s="421" t="s">
        <v>310</v>
      </c>
      <c r="E568" s="785"/>
      <c r="F568" s="474" t="s">
        <v>398</v>
      </c>
      <c r="G568" s="47"/>
      <c r="H568" s="47">
        <f>IF(AND(K564=TRUE,K567=FALSE),H564,IF(AND(K564=FALSE,K567=TRUE),H567,IF(AND(K564=TRUE,K567=TRUE),H564+H567,MAX(H564,H567))))</f>
        <v>2</v>
      </c>
      <c r="I568" s="1630"/>
      <c r="J568" s="475"/>
      <c r="K568" s="1613"/>
      <c r="L568" s="1614" t="str">
        <f>IF(AND(K567=TRUE,K564=TRUE),E567,"")</f>
        <v/>
      </c>
      <c r="M568" s="1614" t="str">
        <f>IF(AND(K564=TRUE,K567=FALSE),"Bien que le parent "&amp;E564&amp;" l'enfant ne semble pas s'ingérer","")</f>
        <v/>
      </c>
      <c r="N568" s="1614" t="str">
        <f>IF(AND(K564=FALSE,K567=TRUE),E567&amp;" sans signe de la participation du parent favorisé et|ou nouveau conjoint.e","")</f>
        <v/>
      </c>
      <c r="O568" s="1631" t="str">
        <f>IF(AND(K564=FALSE,K567=FALSE),"aucun comportement significatif de cette nature","")</f>
        <v>aucun comportement significatif de cette nature</v>
      </c>
      <c r="P568" s="1630"/>
      <c r="Q568" s="475"/>
      <c r="R568" s="1639"/>
      <c r="S568" s="1630"/>
      <c r="T568" s="475"/>
      <c r="U568" s="1639"/>
      <c r="V568" s="170"/>
      <c r="W568" s="170"/>
      <c r="X568" s="1439"/>
      <c r="Y568" s="1450"/>
      <c r="Z568" s="1451"/>
      <c r="AB568" s="1449"/>
      <c r="AD568" s="962"/>
      <c r="AE568" s="963">
        <f>IF(AND(AD564="V",AD567="V"),2,IF(OR(AD564="V",AD567="V"),1,0))</f>
        <v>0</v>
      </c>
      <c r="AF568" s="962"/>
      <c r="AG568" s="963">
        <f>IF(OR(AF564="V",AF567="V"),1,0)</f>
        <v>0</v>
      </c>
      <c r="AH568" s="962"/>
      <c r="AI568" s="963"/>
      <c r="AK568" s="10"/>
      <c r="AL568" s="10"/>
      <c r="AM568" s="10"/>
      <c r="AN568" s="2097">
        <f>IF(AND($AD564="V",$AD567="F"),AN564,IF(AND($AD564="F",$AD567="V"),AN567,IF(AND($AD564="V",$AD567="V"),AN564+AN567,0)))</f>
        <v>0</v>
      </c>
      <c r="AO568" s="2097">
        <f>IF(AND($AF564="V",$AF567="F"),AO564,IF(AND($AF564="F",$AF567="V"),AO567,IF(AND($AF564="V",$AF567="V"),AO564+AO567,0)))</f>
        <v>0</v>
      </c>
      <c r="AP568" s="2097"/>
      <c r="AQ568" s="2097">
        <f>IF(AND($AD564="V",$AD567="F"),AQ564,IF(AND($AD564="F",$AD567="V"),AQ567,IF(AND($AD564="V",$AD567="V"),AQ564+AQ567,0)))</f>
        <v>0</v>
      </c>
      <c r="AR568" s="2097">
        <f>IF(AND($AD564="V",$AD567="F"),AR564,IF(AND($AD564="F",$AD567="V"),AR567,IF(AND($AD564="V",$AD567="V"),AR564+AR567,0)))</f>
        <v>0</v>
      </c>
      <c r="AS568" s="2097">
        <f>IF(AND($AF564="V",$AF567="F"),AS564,IF(AND($AF564="F",$AF567="V"),AS567,IF(AND($AF564="V",$AF567="V"),AS564+AS567,0)))</f>
        <v>0</v>
      </c>
      <c r="AT568" s="2097">
        <f>IF(AND($AF564="V",$AF567="F"),AT564,IF(AND($AF564="F",$AF567="V"),AT567,IF(AND($AF564="V",$AF567="V"),AT564+AT567,0)))</f>
        <v>0</v>
      </c>
      <c r="AU568" s="2097"/>
      <c r="AV568" s="2097"/>
    </row>
    <row r="569" spans="2:48" ht="32" customHeight="1" x14ac:dyDescent="0.2">
      <c r="B569" s="2030"/>
      <c r="C569" t="s">
        <v>243</v>
      </c>
      <c r="I569" s="146"/>
      <c r="L569" s="46"/>
      <c r="M569" s="46"/>
      <c r="N569" s="46"/>
      <c r="O569" s="1652"/>
      <c r="P569" s="146"/>
      <c r="R569" s="326"/>
      <c r="S569" s="146"/>
      <c r="U569" s="326"/>
      <c r="V569" s="46"/>
      <c r="X569" s="1439"/>
      <c r="Y569" s="1450"/>
      <c r="Z569" s="1451"/>
      <c r="AB569" s="1402"/>
      <c r="AD569" s="960"/>
      <c r="AE569" s="961"/>
      <c r="AF569" s="960"/>
      <c r="AG569" s="961"/>
      <c r="AH569" s="960"/>
      <c r="AI569" s="961"/>
      <c r="AK569" s="10"/>
      <c r="AL569" s="10"/>
      <c r="AM569" s="10"/>
      <c r="AN569" s="975"/>
      <c r="AO569" s="975"/>
      <c r="AP569" s="975"/>
      <c r="AQ569" s="1806"/>
      <c r="AR569" s="1806"/>
      <c r="AS569" s="1806"/>
      <c r="AT569" s="1806"/>
      <c r="AU569" s="1806"/>
      <c r="AV569" s="1806"/>
    </row>
    <row r="570" spans="2:48" ht="32" customHeight="1" x14ac:dyDescent="0.2">
      <c r="B570" s="2030" t="str">
        <f>'Cpts miroirs des parents'!I12</f>
        <v>F: Interférence lien affectif ou symbolique</v>
      </c>
      <c r="C570" s="964" t="str">
        <f>'[1]Cpts miroirs des parents'!$G$11</f>
        <v>PCR10</v>
      </c>
      <c r="D570" s="965" t="str">
        <f>Test_Bible!B138</f>
        <v>Dans quelle mesure acceptez-vous ou êtes-vous serein·e face aux exigences de la coparentalité (logistique horaire, transport, vacances, etc.) ?</v>
      </c>
      <c r="E570" s="965"/>
      <c r="F570" s="973">
        <f>Test_Bible!P138</f>
        <v>2</v>
      </c>
      <c r="G570" s="973">
        <f>Test_Bible!D138</f>
        <v>1</v>
      </c>
      <c r="H570" s="973">
        <f>F570*G570</f>
        <v>2</v>
      </c>
      <c r="I570" s="1647">
        <v>11</v>
      </c>
      <c r="J570" s="1648">
        <v>11</v>
      </c>
      <c r="K570" s="45" t="b">
        <f>IF(AND(F570&gt;=I570,F570&lt;=J570),TRUE,FALSE)</f>
        <v>0</v>
      </c>
      <c r="L570" s="32"/>
      <c r="M570" s="32"/>
      <c r="N570" s="32"/>
      <c r="O570" s="1632"/>
      <c r="P570" s="1647">
        <v>11</v>
      </c>
      <c r="Q570" s="1648">
        <v>11</v>
      </c>
      <c r="R570" s="1623" t="b">
        <f>IF(AND(F570&gt;=P570,F570&lt;=Q570),TRUE,FALSE)</f>
        <v>0</v>
      </c>
      <c r="S570" s="1622">
        <v>7</v>
      </c>
      <c r="T570" s="1615">
        <v>10</v>
      </c>
      <c r="U570" s="1623" t="b">
        <f>IF(AND(F570&gt;=S570,F570&lt;=T570),TRUE,FALSE)</f>
        <v>0</v>
      </c>
      <c r="V570" s="1593"/>
      <c r="W570" s="1433"/>
      <c r="X570" s="1436">
        <v>11</v>
      </c>
      <c r="Y570" s="1447"/>
      <c r="Z570" s="1446">
        <v>11</v>
      </c>
      <c r="AA570" s="1405"/>
      <c r="AB570" s="1415">
        <v>4</v>
      </c>
      <c r="AD570" s="960"/>
      <c r="AE570" s="961"/>
      <c r="AF570" s="960"/>
      <c r="AG570" s="961"/>
      <c r="AH570" s="960"/>
      <c r="AI570" s="961"/>
      <c r="AK570" s="10"/>
      <c r="AL570" s="10"/>
      <c r="AM570" s="10"/>
      <c r="AN570" s="975">
        <f>IF($K570=TRUE,H570,0)</f>
        <v>0</v>
      </c>
      <c r="AO570" s="975">
        <f>IF($R570=TRUE,H570,0)</f>
        <v>0</v>
      </c>
      <c r="AP570" s="975">
        <f>IF($U570=TRUE,H570,0)</f>
        <v>0</v>
      </c>
      <c r="AQ570" s="1806">
        <f>IF(I570=11,0,G570*I570)</f>
        <v>0</v>
      </c>
      <c r="AR570" s="1806">
        <f>IF(J570=11,0,G570*J570)</f>
        <v>0</v>
      </c>
      <c r="AS570" s="1806">
        <f>IF(P570=11,0,G570*P570)</f>
        <v>0</v>
      </c>
      <c r="AT570" s="1806">
        <f>IF(Q570=11,0,G570*Q570)</f>
        <v>0</v>
      </c>
      <c r="AU570" s="1806">
        <f>IF(S570=11,0,S570*G570)</f>
        <v>7</v>
      </c>
      <c r="AV570" s="1806">
        <f>IF(T570=11,0,T570*G570)</f>
        <v>10</v>
      </c>
    </row>
    <row r="571" spans="2:48" ht="32" customHeight="1" thickBot="1" x14ac:dyDescent="0.25">
      <c r="B571" s="2030"/>
      <c r="C571" s="964"/>
      <c r="D571" s="972"/>
      <c r="E571" s="965"/>
      <c r="F571" s="973"/>
      <c r="G571" s="973"/>
      <c r="H571" s="973">
        <f>F571*G571</f>
        <v>0</v>
      </c>
      <c r="I571" s="1647">
        <v>11</v>
      </c>
      <c r="J571" s="1648">
        <v>11</v>
      </c>
      <c r="K571" s="45" t="b">
        <f>IF(AND(F571&gt;=I571,F571&lt;=J571),TRUE,FALSE)</f>
        <v>0</v>
      </c>
      <c r="L571" s="32"/>
      <c r="M571" s="32"/>
      <c r="N571" s="32"/>
      <c r="O571" s="1632"/>
      <c r="P571" s="1647">
        <v>11</v>
      </c>
      <c r="Q571" s="1648">
        <v>11</v>
      </c>
      <c r="R571" s="1623" t="b">
        <f>IF(AND(F571&gt;=P571,F571&lt;=Q571),TRUE,FALSE)</f>
        <v>0</v>
      </c>
      <c r="S571" s="1647">
        <v>11</v>
      </c>
      <c r="T571" s="1648">
        <v>11</v>
      </c>
      <c r="U571" s="1623" t="b">
        <f>IF(AND(F571&gt;=S571,F571&lt;=T571),TRUE,FALSE)</f>
        <v>0</v>
      </c>
      <c r="W571" s="1434"/>
      <c r="X571" s="1437">
        <v>11</v>
      </c>
      <c r="Y571" s="1441"/>
      <c r="Z571" s="1440">
        <v>11</v>
      </c>
      <c r="AA571" s="1441"/>
      <c r="AB571" s="1442">
        <v>11</v>
      </c>
      <c r="AD571" s="960"/>
      <c r="AE571" s="961"/>
      <c r="AF571" s="960"/>
      <c r="AG571" s="961"/>
      <c r="AH571" s="960"/>
      <c r="AI571" s="961"/>
      <c r="AK571" s="10"/>
      <c r="AL571" s="10"/>
      <c r="AM571" s="10"/>
      <c r="AN571" s="975">
        <f>IF($K571=TRUE,H571,0)</f>
        <v>0</v>
      </c>
      <c r="AO571" s="975">
        <f>IF($R571=TRUE,H571,0)</f>
        <v>0</v>
      </c>
      <c r="AP571" s="975">
        <f>IF($U571=TRUE,H571,0)</f>
        <v>0</v>
      </c>
      <c r="AQ571" s="1806">
        <f>IF(I571=11,0,G571*I571)</f>
        <v>0</v>
      </c>
      <c r="AR571" s="1806">
        <f>IF(J571=11,0,G571*J571)</f>
        <v>0</v>
      </c>
      <c r="AS571" s="1806">
        <f>IF(P571=11,0,G571*P571)</f>
        <v>0</v>
      </c>
      <c r="AT571" s="1806">
        <f>IF(Q571=11,0,G571*Q571)</f>
        <v>0</v>
      </c>
      <c r="AU571" s="1806">
        <f>IF(S571=11,0,S571*G571)</f>
        <v>0</v>
      </c>
      <c r="AV571" s="1806">
        <f>IF(T571=11,0,T571*G571)</f>
        <v>0</v>
      </c>
    </row>
    <row r="572" spans="2:48" ht="32" customHeight="1" thickBot="1" x14ac:dyDescent="0.35">
      <c r="B572" s="2030"/>
      <c r="E572" s="814"/>
      <c r="F572" s="96"/>
      <c r="G572" s="96"/>
      <c r="H572" s="47">
        <f>IF(AND(K570=TRUE,K571=FALSE),H570,IF(AND(K570=FALSE,K571=TRUE),H571,MAX(H570,H571)))</f>
        <v>2</v>
      </c>
      <c r="I572" s="1644"/>
      <c r="J572" s="1645"/>
      <c r="K572" s="1651" t="b">
        <f>IF(AND(K570=FALSE,K571=FALSE),FALSE,TRUE)</f>
        <v>0</v>
      </c>
      <c r="L572" s="1633"/>
      <c r="M572" s="1634"/>
      <c r="N572" s="1634"/>
      <c r="O572" s="1635"/>
      <c r="P572" s="1644"/>
      <c r="Q572" s="1645"/>
      <c r="R572" s="1651" t="b">
        <f>IF(AND(R570=FALSE,R571=FALSE),FALSE,TRUE)</f>
        <v>0</v>
      </c>
      <c r="S572" s="1656"/>
      <c r="T572" s="1657"/>
      <c r="U572" s="1658" t="b">
        <f>IF(AND(U570=FALSE,U571=FALSE),FALSE,TRUE)</f>
        <v>0</v>
      </c>
      <c r="V572" s="96"/>
      <c r="AD572" s="1564" t="str">
        <f>IF(K572=TRUE,"V","F")</f>
        <v>F</v>
      </c>
      <c r="AE572" s="1565"/>
      <c r="AF572" s="1564" t="str">
        <f>IF(R572=TRUE,"V","F")</f>
        <v>F</v>
      </c>
      <c r="AG572" s="1565"/>
      <c r="AH572" s="1564" t="str">
        <f>IF(U572=TRUE,"V","F")</f>
        <v>F</v>
      </c>
      <c r="AI572" s="1565"/>
      <c r="AK572" s="10"/>
      <c r="AL572" s="10"/>
      <c r="AM572" s="10"/>
      <c r="AN572" s="2102">
        <f>IF(AND($K570=TRUE,$K571=FALSE),AN570,IF(AND($K570=FALSE,$K571=TRUE),AN571,MAX(AN570,AN571)))</f>
        <v>0</v>
      </c>
      <c r="AO572" s="2102">
        <f>IF(AND($R570=TRUE,$R571=FALSE),AO570,IF(AND($R570=FALSE,$R571=TRUE),AO571,MAX(AO570,AO571)))</f>
        <v>0</v>
      </c>
      <c r="AP572" s="2102">
        <f>IF(AND($U570=TRUE,$U571=FALSE),AP570,IF(AND($U570=FALSE,$U571=TRUE),AP571,MAX(AP570,AP571)))</f>
        <v>0</v>
      </c>
      <c r="AQ572" s="2102">
        <f>IF(AND($K570=TRUE,$K571=FALSE),AQ570,IF(AND($K570=FALSE,$K571=TRUE),AQ571,MAX(AQ570,AQ571)))</f>
        <v>0</v>
      </c>
      <c r="AR572" s="2102">
        <f>IF(AND($K570=TRUE,$K571=FALSE),AR570,IF(AND($K570=FALSE,$K571=TRUE),AR571,MAX(AR570,AR571)))</f>
        <v>0</v>
      </c>
      <c r="AS572" s="2102">
        <f>IF(AND($R570=TRUE,$R571=FALSE),AS570,IF(AND($R570=FALSE,$R571=TRUE),AS571,MAX(AS570,AS571)))</f>
        <v>0</v>
      </c>
      <c r="AT572" s="2102">
        <f>IF(AND($R570=TRUE,$R571=FALSE),AT570,IF(AND($R570=FALSE,$R571=TRUE),AT571,MAX(AT570,AT571)))</f>
        <v>0</v>
      </c>
      <c r="AU572" s="2102">
        <f>IF(AND($U570=TRUE,$U571=FALSE),AU570,IF(AND($U570=FALSE,$U571=TRUE),AU571,MAX(AU570,AU571)))</f>
        <v>7</v>
      </c>
      <c r="AV572" s="2102">
        <f>IF(AND($U570=TRUE,$U571=FALSE),AV570,IF(AND($U570=FALSE,$U571=TRUE),AV571,MAX(AV570,AV571)))</f>
        <v>10</v>
      </c>
    </row>
    <row r="573" spans="2:48" ht="32" customHeight="1" x14ac:dyDescent="0.25">
      <c r="B573" s="2030"/>
      <c r="AD573" s="1649"/>
      <c r="AE573" s="1650">
        <f>IF(AND(AD572="V",AD564="V"),AE568-1,AE568)</f>
        <v>0</v>
      </c>
      <c r="AF573" s="1649"/>
      <c r="AG573" s="1650">
        <f>IF(OR(AF564="V",AF567="V",AF572="V"),1,0)</f>
        <v>0</v>
      </c>
      <c r="AH573" s="1649"/>
      <c r="AI573" s="1650">
        <f>IF(AH564="V",1,IF(AH572="V",1,0))</f>
        <v>0</v>
      </c>
      <c r="AK573" s="10"/>
      <c r="AL573" s="10"/>
      <c r="AM573" s="10">
        <v>1</v>
      </c>
      <c r="AN573" s="2101">
        <f>IF($AD572="F",AN568,AN568+AN572)</f>
        <v>0</v>
      </c>
      <c r="AO573" s="2101">
        <f>IF($AF572="F",AO568,AO568+AO572)</f>
        <v>0</v>
      </c>
      <c r="AP573" s="2101">
        <f>IF(AND($AH564="V",$AH572="F"),AP564,IF(AND($AH564="F",$AH572="V"),AP572,IF(AND($AH564="V",$AH572="V"),AP564+AP572,0)))</f>
        <v>0</v>
      </c>
      <c r="AQ573" s="2101">
        <f>IF($AD572="F",AQ568,AQ568+AQ572)</f>
        <v>0</v>
      </c>
      <c r="AR573" s="2101">
        <f t="shared" ref="AR573" si="564">IF($AD572="F",AR568,AR568+AR572)</f>
        <v>0</v>
      </c>
      <c r="AS573" s="2101">
        <f t="shared" ref="AS573" si="565">IF($AF572="F",AS568,AS568+AS572)</f>
        <v>0</v>
      </c>
      <c r="AT573" s="2101">
        <f t="shared" ref="AT573" si="566">IF($AF572="F",AT568,AT568+AT572)</f>
        <v>0</v>
      </c>
      <c r="AU573" s="2101">
        <f t="shared" ref="AU573" si="567">IF(AND($AH564="V",$AH572="F"),AU564,IF(AND($AH564="F",$AH572="V"),AU572,IF(AND($AH564="V",$AH572="V"),AU564+AU572,0)))</f>
        <v>0</v>
      </c>
      <c r="AV573" s="2101">
        <f t="shared" ref="AV573" si="568">IF(AND($AH564="V",$AH572="F"),AV564,IF(AND($AH564="F",$AH572="V"),AV572,IF(AND($AH564="V",$AH572="V"),AV564+AV572,0)))</f>
        <v>0</v>
      </c>
    </row>
    <row r="574" spans="2:48" ht="32" customHeight="1" x14ac:dyDescent="0.2">
      <c r="B574" s="2030"/>
      <c r="AD574" s="1668"/>
      <c r="AE574" s="1669"/>
      <c r="AF574" s="1409"/>
      <c r="AK574" s="10"/>
      <c r="AL574" s="10"/>
      <c r="AM574" s="10"/>
    </row>
    <row r="575" spans="2:48" ht="32" customHeight="1" x14ac:dyDescent="0.3">
      <c r="E575" s="108" t="s">
        <v>305</v>
      </c>
      <c r="F575" s="2265" t="s">
        <v>260</v>
      </c>
      <c r="G575" s="2265"/>
      <c r="H575" s="2265"/>
      <c r="I575" s="2265"/>
      <c r="J575" s="2265"/>
      <c r="K575" s="783"/>
      <c r="L575" s="2266"/>
      <c r="M575" s="2266"/>
      <c r="N575" s="2266"/>
      <c r="O575" s="783"/>
      <c r="P575" s="783"/>
      <c r="Q575" s="783"/>
      <c r="R575" s="783"/>
      <c r="S575" s="783"/>
      <c r="T575" s="783"/>
      <c r="U575" s="783"/>
      <c r="V575" s="96"/>
      <c r="W575" s="96"/>
      <c r="AK575" s="10"/>
      <c r="AL575" s="10"/>
      <c r="AM575" s="10"/>
    </row>
    <row r="576" spans="2:48" ht="32" customHeight="1" x14ac:dyDescent="0.3">
      <c r="B576" s="2029">
        <v>3</v>
      </c>
      <c r="D576" s="476" t="str">
        <f>'[1]Cpts miroirs des parents'!$B$13</f>
        <v>Valeur du co-parent</v>
      </c>
      <c r="E576" s="107"/>
      <c r="F576" s="65"/>
      <c r="G576" s="18"/>
      <c r="H576" s="18"/>
      <c r="I576" s="2255" t="s">
        <v>734</v>
      </c>
      <c r="J576" s="2256"/>
      <c r="K576" s="2256"/>
      <c r="L576" s="2257" t="s">
        <v>1378</v>
      </c>
      <c r="M576" s="2257"/>
      <c r="N576" s="2257"/>
      <c r="O576" s="2258"/>
      <c r="P576" s="2259" t="s">
        <v>733</v>
      </c>
      <c r="Q576" s="2260"/>
      <c r="R576" s="2261"/>
      <c r="S576" s="2262" t="s">
        <v>735</v>
      </c>
      <c r="T576" s="2263"/>
      <c r="U576" s="2264"/>
      <c r="V576" s="15"/>
      <c r="W576" s="15"/>
      <c r="AD576" s="956"/>
      <c r="AE576" s="956"/>
      <c r="AF576" s="956"/>
      <c r="AG576" s="956"/>
      <c r="AH576" s="956"/>
      <c r="AI576" s="957"/>
      <c r="AK576" s="10"/>
      <c r="AL576" s="10"/>
      <c r="AM576" s="10"/>
      <c r="AN576" s="1659" t="s">
        <v>734</v>
      </c>
      <c r="AO576" s="1659" t="s">
        <v>733</v>
      </c>
      <c r="AP576" s="1659" t="s">
        <v>735</v>
      </c>
      <c r="AQ576" s="2254" t="s">
        <v>734</v>
      </c>
      <c r="AR576" s="2254"/>
      <c r="AS576" s="2254" t="s">
        <v>733</v>
      </c>
      <c r="AT576" s="2254"/>
      <c r="AU576" s="2254" t="s">
        <v>735</v>
      </c>
      <c r="AV576" s="2254"/>
    </row>
    <row r="577" spans="2:48" ht="32" customHeight="1" x14ac:dyDescent="0.2">
      <c r="B577" s="2030"/>
      <c r="D577" s="102" t="s">
        <v>998</v>
      </c>
      <c r="E577" s="983"/>
      <c r="F577" s="32" t="s">
        <v>748</v>
      </c>
      <c r="G577" s="32" t="s">
        <v>749</v>
      </c>
      <c r="H577" s="32" t="s">
        <v>750</v>
      </c>
      <c r="I577" s="1620" t="s">
        <v>306</v>
      </c>
      <c r="J577" s="43" t="s">
        <v>307</v>
      </c>
      <c r="K577" s="43" t="s">
        <v>308</v>
      </c>
      <c r="L577" s="43" t="s">
        <v>413</v>
      </c>
      <c r="M577" s="43" t="s">
        <v>388</v>
      </c>
      <c r="N577" s="43" t="s">
        <v>389</v>
      </c>
      <c r="O577" s="1621" t="s">
        <v>390</v>
      </c>
      <c r="P577" s="1620" t="s">
        <v>306</v>
      </c>
      <c r="Q577" s="43" t="s">
        <v>307</v>
      </c>
      <c r="R577" s="1621" t="s">
        <v>308</v>
      </c>
      <c r="S577" s="1620" t="s">
        <v>306</v>
      </c>
      <c r="T577" s="43" t="s">
        <v>307</v>
      </c>
      <c r="U577" s="1621" t="s">
        <v>308</v>
      </c>
      <c r="V577" s="818"/>
      <c r="W577" s="955" t="s">
        <v>928</v>
      </c>
      <c r="X577" s="1391" t="s">
        <v>734</v>
      </c>
      <c r="Y577" s="955" t="s">
        <v>928</v>
      </c>
      <c r="Z577" s="1395" t="s">
        <v>733</v>
      </c>
      <c r="AA577" s="955"/>
      <c r="AB577" s="1399" t="s">
        <v>735</v>
      </c>
      <c r="AD577" s="970" t="s">
        <v>734</v>
      </c>
      <c r="AE577" s="971" t="s">
        <v>946</v>
      </c>
      <c r="AF577" s="970" t="s">
        <v>733</v>
      </c>
      <c r="AG577" s="971" t="s">
        <v>947</v>
      </c>
      <c r="AH577" s="970" t="s">
        <v>735</v>
      </c>
      <c r="AI577" s="971" t="s">
        <v>948</v>
      </c>
      <c r="AK577" s="10"/>
      <c r="AL577" s="10"/>
      <c r="AM577" s="10"/>
      <c r="AN577" s="10"/>
      <c r="AO577" s="10"/>
      <c r="AP577" s="10"/>
      <c r="AQ577" s="1806" t="s">
        <v>1322</v>
      </c>
      <c r="AR577" s="1806" t="s">
        <v>1323</v>
      </c>
      <c r="AS577" s="1806" t="s">
        <v>1322</v>
      </c>
      <c r="AT577" s="1806" t="s">
        <v>1323</v>
      </c>
      <c r="AU577" s="1806" t="s">
        <v>1322</v>
      </c>
      <c r="AV577" s="1806" t="s">
        <v>1323</v>
      </c>
    </row>
    <row r="578" spans="2:48" ht="44" customHeight="1" x14ac:dyDescent="0.2">
      <c r="B578" s="2030" t="str">
        <f>'Cpts miroirs des parents'!E14</f>
        <v>F: Interférence lien affectif ou symbolique</v>
      </c>
      <c r="C578" s="414" t="str">
        <f>BIBLE!E119</f>
        <v>PFA21</v>
      </c>
      <c r="D578" s="26" t="str">
        <f>Test_Bible!B205</f>
        <v xml:space="preserve">Dans quelle mesure diriez-vous que l'autre parent vous considère comme étant son égal·e sur le plan parental ? </v>
      </c>
      <c r="E578" s="101"/>
      <c r="F578" s="790">
        <f>Test_Bible!P205</f>
        <v>4</v>
      </c>
      <c r="G578" s="789">
        <f>Test_Bible!D205</f>
        <v>1</v>
      </c>
      <c r="H578" s="790">
        <f>F578*G578</f>
        <v>4</v>
      </c>
      <c r="I578" s="1647">
        <v>11</v>
      </c>
      <c r="J578" s="1648">
        <v>11</v>
      </c>
      <c r="K578" s="45" t="b">
        <f>IF(AND(F578&gt;=I578,F578&lt;=J578),TRUE,FALSE)</f>
        <v>0</v>
      </c>
      <c r="L578" s="45"/>
      <c r="M578" s="45"/>
      <c r="N578" s="45"/>
      <c r="O578" s="1623"/>
      <c r="P578" s="1647">
        <v>11</v>
      </c>
      <c r="Q578" s="1648">
        <v>11</v>
      </c>
      <c r="R578" s="1623" t="b">
        <f>IF(AND(F578&gt;=P578,F578&lt;=Q578),TRUE,FALSE)</f>
        <v>0</v>
      </c>
      <c r="S578" s="1622">
        <v>7</v>
      </c>
      <c r="T578" s="1615">
        <v>10</v>
      </c>
      <c r="U578" s="1623" t="b">
        <f>IF(AND(F578&gt;=S578,F578&lt;=T578),TRUE,FALSE)</f>
        <v>0</v>
      </c>
      <c r="V578" s="1593"/>
      <c r="W578" s="1403"/>
      <c r="X578" s="1404">
        <v>4</v>
      </c>
      <c r="Y578" s="1405"/>
      <c r="Z578" s="1446">
        <v>11</v>
      </c>
      <c r="AA578" s="1447"/>
      <c r="AB578" s="1448">
        <v>11</v>
      </c>
      <c r="AD578" s="958"/>
      <c r="AE578" s="959"/>
      <c r="AF578" s="958"/>
      <c r="AG578" s="959"/>
      <c r="AH578" s="958"/>
      <c r="AI578" s="959"/>
      <c r="AK578" s="10"/>
      <c r="AL578" s="10"/>
      <c r="AM578" s="10"/>
      <c r="AN578" s="975">
        <f>IF($K578=TRUE,H578,0)</f>
        <v>0</v>
      </c>
      <c r="AO578" s="975">
        <f>IF($R578=TRUE,H578,0)</f>
        <v>0</v>
      </c>
      <c r="AP578" s="975">
        <f>IF($U578=TRUE,H578,0)</f>
        <v>0</v>
      </c>
      <c r="AQ578" s="1806">
        <f>IF(I578=11,0,G578*I578)</f>
        <v>0</v>
      </c>
      <c r="AR578" s="1806">
        <f>IF(J578=11,0,G578*J578)</f>
        <v>0</v>
      </c>
      <c r="AS578" s="1806">
        <f>IF(P578=11,0,G578*P578)</f>
        <v>0</v>
      </c>
      <c r="AT578" s="1806">
        <f>IF(Q578=11,0,G578*Q578)</f>
        <v>0</v>
      </c>
      <c r="AU578" s="1806">
        <f>IF(S578=11,0,S578*G578)</f>
        <v>7</v>
      </c>
      <c r="AV578" s="1806">
        <f>IF(T578=11,0,T578*G578)</f>
        <v>10</v>
      </c>
    </row>
    <row r="579" spans="2:48" ht="48" x14ac:dyDescent="0.2">
      <c r="B579" s="2030" t="str">
        <f>'Cpts miroirs des parents'!E15</f>
        <v>F: Interférence lien affectif ou symbolique</v>
      </c>
      <c r="C579" s="414" t="str">
        <f>BIBLE!E120</f>
        <v>PFA40</v>
      </c>
      <c r="D579" s="26" t="str">
        <f>Test_Bible!B206</f>
        <v>L'autre parent sent qu’il est en compétition avec vous pour l’amour de votre enfant.</v>
      </c>
      <c r="E579" s="101"/>
      <c r="F579" s="790">
        <f>Test_Bible!P206</f>
        <v>10</v>
      </c>
      <c r="G579" s="789">
        <f>Test_Bible!D206</f>
        <v>2</v>
      </c>
      <c r="H579" s="790">
        <f>F579*G579</f>
        <v>20</v>
      </c>
      <c r="I579" s="1622">
        <v>4</v>
      </c>
      <c r="J579" s="1615">
        <v>10</v>
      </c>
      <c r="K579" s="45" t="b">
        <f>IF(AND(F579&gt;=I579,F579&lt;=J579),TRUE,FALSE)</f>
        <v>1</v>
      </c>
      <c r="L579" s="45"/>
      <c r="M579" s="45"/>
      <c r="N579" s="45"/>
      <c r="O579" s="1623"/>
      <c r="P579" s="1647">
        <v>11</v>
      </c>
      <c r="Q579" s="1648">
        <v>11</v>
      </c>
      <c r="R579" s="1623" t="b">
        <f>IF(AND(F579&gt;=P579,F579&lt;=Q579),TRUE,FALSE)</f>
        <v>0</v>
      </c>
      <c r="S579" s="1647">
        <v>11</v>
      </c>
      <c r="T579" s="1648">
        <v>11</v>
      </c>
      <c r="U579" s="1623" t="b">
        <f>IF(AND(F579&gt;=S579,F579&lt;=T579),TRUE,FALSE)</f>
        <v>0</v>
      </c>
      <c r="V579" s="931"/>
      <c r="W579" s="1406" t="s">
        <v>943</v>
      </c>
      <c r="X579" s="1411">
        <v>4</v>
      </c>
      <c r="Y579" s="1412"/>
      <c r="Z579" s="1440">
        <v>11</v>
      </c>
      <c r="AA579" s="1441"/>
      <c r="AB579" s="1442">
        <v>11</v>
      </c>
      <c r="AD579" s="960"/>
      <c r="AE579" s="961"/>
      <c r="AF579" s="960"/>
      <c r="AG579" s="961"/>
      <c r="AH579" s="960"/>
      <c r="AI579" s="961"/>
      <c r="AK579" s="10"/>
      <c r="AL579" s="10"/>
      <c r="AM579" s="10"/>
      <c r="AN579" s="975">
        <f>IF($K579=TRUE,H579,0)</f>
        <v>20</v>
      </c>
      <c r="AO579" s="975">
        <f>IF($R579=TRUE,H579,0)</f>
        <v>0</v>
      </c>
      <c r="AP579" s="975">
        <f>IF($U579=TRUE,H579,0)</f>
        <v>0</v>
      </c>
      <c r="AQ579" s="1806">
        <f>IF(I579=11,0,G579*I579)</f>
        <v>8</v>
      </c>
      <c r="AR579" s="1806">
        <f>IF(J579=11,0,G579*J579)</f>
        <v>20</v>
      </c>
      <c r="AS579" s="1806">
        <f>IF(P579=11,0,G579*P579)</f>
        <v>0</v>
      </c>
      <c r="AT579" s="1806">
        <f>IF(Q579=11,0,G579*Q579)</f>
        <v>0</v>
      </c>
      <c r="AU579" s="1806">
        <f>IF(S579=11,0,S579*G579)</f>
        <v>0</v>
      </c>
      <c r="AV579" s="1806">
        <f>IF(T579=11,0,T579*G579)</f>
        <v>0</v>
      </c>
    </row>
    <row r="580" spans="2:48" ht="32" customHeight="1" x14ac:dyDescent="0.2">
      <c r="B580" s="2030"/>
      <c r="C580" s="792" t="s">
        <v>745</v>
      </c>
      <c r="D580" s="793" t="str">
        <f>_xlfn.XLOOKUP(H580,H578:H579,D578:D579)</f>
        <v>L'autre parent sent qu’il est en compétition avec vous pour l’amour de votre enfant.</v>
      </c>
      <c r="E580" s="794"/>
      <c r="F580" s="795"/>
      <c r="G580" s="795"/>
      <c r="H580" s="795">
        <f>IF(AND(K578=TRUE,K579=FALSE),H578,IF(AND(K578=FALSE,K579=TRUE),H579,MAX(H578,H579)))</f>
        <v>20</v>
      </c>
      <c r="I580" s="1624"/>
      <c r="J580" s="796"/>
      <c r="K580" s="797" t="b">
        <f>IF(AND(K578=FALSE,K579=FALSE),FALSE,TRUE)</f>
        <v>1</v>
      </c>
      <c r="L580" s="45"/>
      <c r="M580" s="45"/>
      <c r="N580" s="45"/>
      <c r="O580" s="1623"/>
      <c r="P580" s="1624"/>
      <c r="Q580" s="796"/>
      <c r="R580" s="1637" t="b">
        <f>IF(AND(R578=FALSE,R579=FALSE),FALSE,TRUE)</f>
        <v>0</v>
      </c>
      <c r="S580" s="1624"/>
      <c r="T580" s="796"/>
      <c r="U580" s="1637" t="b">
        <f>IF(AND(U578=FALSE,U579=FALSE),FALSE,TRUE)</f>
        <v>0</v>
      </c>
      <c r="V580" s="931"/>
      <c r="W580" s="931" t="s">
        <v>943</v>
      </c>
      <c r="X580" s="1392"/>
      <c r="Y580" s="8"/>
      <c r="Z580" s="1443"/>
      <c r="AA580" s="1444"/>
      <c r="AB580" s="1445"/>
      <c r="AD580" s="960"/>
      <c r="AE580" s="961"/>
      <c r="AF580" s="960"/>
      <c r="AG580" s="961"/>
      <c r="AH580" s="960"/>
      <c r="AI580" s="961"/>
      <c r="AK580" s="10"/>
      <c r="AL580" s="10"/>
      <c r="AM580" s="10"/>
      <c r="AN580" s="2100">
        <f>IF($K580=TRUE,MAX(AN578:AN579),0)</f>
        <v>20</v>
      </c>
      <c r="AO580" s="2100">
        <f>IF($R580=TRUE,MAX(AO578:AO579),0)</f>
        <v>0</v>
      </c>
      <c r="AP580" s="2100">
        <f>IF($U580=TRUE,MAX(AP578:AP579),0)</f>
        <v>0</v>
      </c>
      <c r="AQ580" s="2099">
        <f>MAX(AQ578:AQ579)</f>
        <v>8</v>
      </c>
      <c r="AR580" s="2099">
        <f t="shared" ref="AR580" si="569">MAX(AR578:AR579)</f>
        <v>20</v>
      </c>
      <c r="AS580" s="2099">
        <f t="shared" ref="AS580" si="570">MAX(AS578:AS579)</f>
        <v>0</v>
      </c>
      <c r="AT580" s="2099">
        <f t="shared" ref="AT580" si="571">MAX(AT578:AT579)</f>
        <v>0</v>
      </c>
      <c r="AU580" s="2099">
        <f t="shared" ref="AU580" si="572">MAX(AU578:AU579)</f>
        <v>7</v>
      </c>
      <c r="AV580" s="2099">
        <f t="shared" ref="AV580" si="573">MAX(AV578:AV579)</f>
        <v>10</v>
      </c>
    </row>
    <row r="581" spans="2:48" ht="32" customHeight="1" x14ac:dyDescent="0.2">
      <c r="B581" s="2030"/>
      <c r="C581" s="52"/>
      <c r="D581" s="26"/>
      <c r="E581" s="101"/>
      <c r="F581" s="790"/>
      <c r="G581" s="789"/>
      <c r="H581" s="790">
        <f>F581*G581</f>
        <v>0</v>
      </c>
      <c r="I581" s="1647">
        <v>11</v>
      </c>
      <c r="J581" s="1648">
        <v>11</v>
      </c>
      <c r="K581" s="45" t="b">
        <f>IF(AND(F581&gt;=I581,F581&lt;=J581),TRUE,FALSE)</f>
        <v>0</v>
      </c>
      <c r="L581" s="45"/>
      <c r="M581" s="45"/>
      <c r="N581" s="45"/>
      <c r="O581" s="1623"/>
      <c r="P581" s="1647">
        <v>11</v>
      </c>
      <c r="Q581" s="1648">
        <v>11</v>
      </c>
      <c r="R581" s="1623" t="b">
        <f>IF(AND(F581&gt;=P581,F581&lt;=Q581),TRUE,FALSE)</f>
        <v>0</v>
      </c>
      <c r="S581" s="1647">
        <v>11</v>
      </c>
      <c r="T581" s="1648">
        <v>11</v>
      </c>
      <c r="U581" s="1623" t="b">
        <f>IF(AND(F581&gt;=S581,F581&lt;=T581),TRUE,FALSE)</f>
        <v>0</v>
      </c>
      <c r="V581" s="931"/>
      <c r="W581" s="1403"/>
      <c r="X581" s="1436">
        <v>11</v>
      </c>
      <c r="Y581" s="1405"/>
      <c r="Z581" s="1446">
        <v>11</v>
      </c>
      <c r="AA581" s="1447"/>
      <c r="AB581" s="1448">
        <v>11</v>
      </c>
      <c r="AD581" s="960"/>
      <c r="AE581" s="961"/>
      <c r="AF581" s="960"/>
      <c r="AG581" s="961"/>
      <c r="AH581" s="960"/>
      <c r="AI581" s="961"/>
      <c r="AK581" s="10"/>
      <c r="AL581" s="10"/>
      <c r="AM581" s="10"/>
      <c r="AN581" s="975">
        <f>IF(K581=TRUE,H581,0)</f>
        <v>0</v>
      </c>
      <c r="AO581" s="975">
        <f>IF(R581=TRUE,H581,0)</f>
        <v>0</v>
      </c>
      <c r="AP581" s="975">
        <f>IF(U581=TRUE,H581,0)</f>
        <v>0</v>
      </c>
      <c r="AQ581" s="1806">
        <f>IF(I581=11,0,G581*I581)</f>
        <v>0</v>
      </c>
      <c r="AR581" s="1806">
        <f>IF(J581=11,0,G581*J581)</f>
        <v>0</v>
      </c>
      <c r="AS581" s="1806">
        <f>IF(P581=11,0,G581*P581)</f>
        <v>0</v>
      </c>
      <c r="AT581" s="1806">
        <f>IF(Q581=11,0,G581*Q581)</f>
        <v>0</v>
      </c>
      <c r="AU581" s="1806">
        <f>IF(S581=11,0,S581*G581)</f>
        <v>0</v>
      </c>
      <c r="AV581" s="1806">
        <f>IF(T581=11,0,T581*G581)</f>
        <v>0</v>
      </c>
    </row>
    <row r="582" spans="2:48" ht="32" customHeight="1" x14ac:dyDescent="0.2">
      <c r="B582" s="2030"/>
      <c r="C582" s="52"/>
      <c r="D582" s="26"/>
      <c r="E582" s="62"/>
      <c r="F582" s="35"/>
      <c r="G582" s="35"/>
      <c r="H582" s="35">
        <f>F582*G582</f>
        <v>0</v>
      </c>
      <c r="I582" s="1647">
        <v>11</v>
      </c>
      <c r="J582" s="1648">
        <v>11</v>
      </c>
      <c r="K582" s="45" t="b">
        <f>IF(AND(F582&gt;=I582,F582&lt;=J582),TRUE,FALSE)</f>
        <v>0</v>
      </c>
      <c r="L582" s="45"/>
      <c r="M582" s="45"/>
      <c r="N582" s="45"/>
      <c r="O582" s="1623"/>
      <c r="P582" s="1647">
        <v>11</v>
      </c>
      <c r="Q582" s="1648">
        <v>11</v>
      </c>
      <c r="R582" s="1623" t="b">
        <f>IF(AND(F582&gt;=P582,F582&lt;=Q582),TRUE,FALSE)</f>
        <v>0</v>
      </c>
      <c r="S582" s="1647">
        <v>11</v>
      </c>
      <c r="T582" s="1648">
        <v>11</v>
      </c>
      <c r="U582" s="1623" t="b">
        <f>IF(AND(F582&gt;=S582,F582&lt;=T582),TRUE,FALSE)</f>
        <v>0</v>
      </c>
      <c r="V582" s="931"/>
      <c r="W582" s="1406" t="s">
        <v>943</v>
      </c>
      <c r="X582" s="1437">
        <v>11</v>
      </c>
      <c r="Y582" s="1412"/>
      <c r="Z582" s="1440">
        <v>11</v>
      </c>
      <c r="AA582" s="1441"/>
      <c r="AB582" s="1442">
        <v>11</v>
      </c>
      <c r="AD582" s="960"/>
      <c r="AE582" s="961"/>
      <c r="AF582" s="960"/>
      <c r="AG582" s="961"/>
      <c r="AH582" s="960"/>
      <c r="AI582" s="961"/>
      <c r="AK582" s="10"/>
      <c r="AL582" s="10"/>
      <c r="AM582" s="10"/>
      <c r="AN582" s="975">
        <f>IF(K582=TRUE,H582,0)</f>
        <v>0</v>
      </c>
      <c r="AO582" s="975">
        <f>IF(R582=TRUE,H582,0)</f>
        <v>0</v>
      </c>
      <c r="AP582" s="975">
        <f>IF(U582=TRUE,H582,0)</f>
        <v>0</v>
      </c>
      <c r="AQ582" s="1806">
        <f>IF(I582=11,0,G582*I582)</f>
        <v>0</v>
      </c>
      <c r="AR582" s="1806">
        <f>IF(J582=11,0,G582*J582)</f>
        <v>0</v>
      </c>
      <c r="AS582" s="1806">
        <f>IF(P582=11,0,G582*P582)</f>
        <v>0</v>
      </c>
      <c r="AT582" s="1806">
        <f>IF(Q582=11,0,G582*Q582)</f>
        <v>0</v>
      </c>
      <c r="AU582" s="1806">
        <f>IF(S582=11,0,S582*G582)</f>
        <v>0</v>
      </c>
      <c r="AV582" s="1806">
        <f>IF(T582=11,0,T582*G582)</f>
        <v>0</v>
      </c>
    </row>
    <row r="583" spans="2:48" ht="32" customHeight="1" thickBot="1" x14ac:dyDescent="0.25">
      <c r="B583" s="2030"/>
      <c r="C583" s="798" t="s">
        <v>746</v>
      </c>
      <c r="D583" s="799">
        <f>_xlfn.XLOOKUP(H583,H581:H582,D581:D582)</f>
        <v>0</v>
      </c>
      <c r="E583" s="800"/>
      <c r="F583" s="801"/>
      <c r="G583" s="801"/>
      <c r="H583" s="795">
        <f>IF(AND(K581=TRUE,K582=FALSE),H581,IF(AND(K581=FALSE,K582=TRUE),H582,MAX(H581,H582)))</f>
        <v>0</v>
      </c>
      <c r="I583" s="1625"/>
      <c r="J583" s="802"/>
      <c r="K583" s="803" t="b">
        <f>IF(AND(K581=FALSE,K582=FALSE),FALSE,TRUE)</f>
        <v>0</v>
      </c>
      <c r="L583" s="45"/>
      <c r="M583" s="45"/>
      <c r="N583" s="45"/>
      <c r="O583" s="1623"/>
      <c r="P583" s="1625"/>
      <c r="Q583" s="802"/>
      <c r="R583" s="1638" t="b">
        <f>IF(AND(R581=FALSE,R582=FALSE),FALSE,TRUE)</f>
        <v>0</v>
      </c>
      <c r="S583" s="1625"/>
      <c r="T583" s="802"/>
      <c r="U583" s="1638" t="b">
        <f>IF(AND(U581=FALSE,U582=FALSE),FALSE,TRUE)</f>
        <v>0</v>
      </c>
      <c r="V583" s="931"/>
      <c r="W583" s="931"/>
      <c r="X583" s="1392"/>
      <c r="Y583" s="8"/>
      <c r="Z583" s="1443"/>
      <c r="AA583" s="1444"/>
      <c r="AB583" s="1445"/>
      <c r="AD583" s="960"/>
      <c r="AE583" s="961"/>
      <c r="AF583" s="960"/>
      <c r="AG583" s="961"/>
      <c r="AH583" s="960"/>
      <c r="AI583" s="961"/>
      <c r="AK583" s="10"/>
      <c r="AL583" s="10"/>
      <c r="AM583" s="10"/>
      <c r="AN583" s="2100">
        <f>IF($K583=TRUE,MAX(AN581:AN582),0)</f>
        <v>0</v>
      </c>
      <c r="AO583" s="2100">
        <f>IF($R583=TRUE,MAX(AO581:AO582),0)</f>
        <v>0</v>
      </c>
      <c r="AP583" s="2100">
        <f>IF($U583=TRUE,MAX(AP581:AP582),0)</f>
        <v>0</v>
      </c>
      <c r="AQ583" s="2099">
        <f>MAX(AQ581:AQ582)</f>
        <v>0</v>
      </c>
      <c r="AR583" s="2099">
        <f t="shared" ref="AR583" si="574">MAX(AR581:AR582)</f>
        <v>0</v>
      </c>
      <c r="AS583" s="2099">
        <f t="shared" ref="AS583" si="575">MAX(AS581:AS582)</f>
        <v>0</v>
      </c>
      <c r="AT583" s="2099">
        <f t="shared" ref="AT583" si="576">MAX(AT581:AT582)</f>
        <v>0</v>
      </c>
      <c r="AU583" s="2099">
        <f t="shared" ref="AU583" si="577">MAX(AU581:AU582)</f>
        <v>0</v>
      </c>
      <c r="AV583" s="2099">
        <f t="shared" ref="AV583" si="578">MAX(AV581:AV582)</f>
        <v>0</v>
      </c>
    </row>
    <row r="584" spans="2:48" ht="32" customHeight="1" thickBot="1" x14ac:dyDescent="0.25">
      <c r="B584" s="2030"/>
      <c r="C584" s="804" t="s">
        <v>754</v>
      </c>
      <c r="D584" s="805"/>
      <c r="E584" s="805"/>
      <c r="F584" s="806"/>
      <c r="G584" s="806"/>
      <c r="H584" s="806">
        <f>IF(AND(K580=TRUE,K583=FALSE),H580,IF(AND(K580=FALSE,K583=TRUE),H583,IF(AND(K580=TRUE,K583=TRUE),H580+H583,MAX(H580,H583))))</f>
        <v>20</v>
      </c>
      <c r="I584" s="1626"/>
      <c r="J584" s="807"/>
      <c r="K584" s="808" t="b">
        <f>IF(AND(K580=FALSE,K583=FALSE),FALSE,TRUE)</f>
        <v>1</v>
      </c>
      <c r="L584" s="1610"/>
      <c r="M584" s="1610"/>
      <c r="N584" s="1610"/>
      <c r="O584" s="1627"/>
      <c r="P584" s="1626"/>
      <c r="Q584" s="807"/>
      <c r="R584" s="808" t="b">
        <f>IF(AND(R580=FALSE,R583=FALSE),FALSE,TRUE)</f>
        <v>0</v>
      </c>
      <c r="S584" s="1626"/>
      <c r="T584" s="807"/>
      <c r="U584" s="808" t="b">
        <f>IF(AND(U580=FALSE,U583=FALSE),FALSE,TRUE)</f>
        <v>0</v>
      </c>
      <c r="V584" s="931"/>
      <c r="W584" s="931" t="s">
        <v>942</v>
      </c>
      <c r="X584" s="1392"/>
      <c r="Y584" s="8"/>
      <c r="Z584" s="1443"/>
      <c r="AA584" s="1444"/>
      <c r="AB584" s="1445"/>
      <c r="AD584" s="960" t="str">
        <f>IF(K584=TRUE,"V","F")</f>
        <v>V</v>
      </c>
      <c r="AE584" s="961"/>
      <c r="AF584" s="960" t="str">
        <f>IF(R584=TRUE,"V","F")</f>
        <v>F</v>
      </c>
      <c r="AG584" s="961"/>
      <c r="AH584" s="960" t="str">
        <f>IF(U584=TRUE,"V","F")</f>
        <v>F</v>
      </c>
      <c r="AI584" s="961"/>
      <c r="AK584" s="10"/>
      <c r="AL584" s="10"/>
      <c r="AM584" s="10"/>
      <c r="AN584" s="631">
        <f>IF(AND($K580=TRUE,$K583=FALSE),AN580,IF(AND($K580=FALSE,$K583=TRUE),AN583,IF(AND($K580=TRUE,$K583=TRUE),AN580+AN583,0)))</f>
        <v>20</v>
      </c>
      <c r="AO584" s="631">
        <f>IF(AND($R580=TRUE,$R583=FALSE),AO580,IF(AND($R580=FALSE,$R583=TRUE),AO583,IF(AND($R580=TRUE,$R583=TRUE),AO580+AO583,0)))</f>
        <v>0</v>
      </c>
      <c r="AP584" s="631">
        <f>IF(AND($U580=TRUE,$U583=FALSE),AP580,IF(AND($U580=FALSE,$U583=TRUE),AP583,IF(AND($U580=TRUE,$U583=TRUE),AP580+AP583,0)))</f>
        <v>0</v>
      </c>
      <c r="AQ584" s="631">
        <f>IF(AND($K580=TRUE,$K583=FALSE),AQ580,IF(AND($K580=FALSE,$K583=TRUE),AQ583,IF(AND($K580=TRUE,$K583=TRUE),AQ580+AQ583,MAX(AQ580,AQ583))))</f>
        <v>8</v>
      </c>
      <c r="AR584" s="631">
        <f>IF(AND($K580=TRUE,$K583=FALSE),AR580,IF(AND($K580=FALSE,$K583=TRUE),AR583,IF(AND($K580=TRUE,$K583=TRUE),AR580+AR583,MAX(AR580,AR583))))</f>
        <v>20</v>
      </c>
      <c r="AS584" s="631">
        <f t="shared" ref="AS584" si="579">IF(AND($R580=TRUE,$R583=FALSE),AS580,IF(AND($R580=FALSE,$R583=TRUE),AS583,IF(AND($R580=TRUE,$R583=TRUE),AS580+AS583,MAX(AS580,AS583))))</f>
        <v>0</v>
      </c>
      <c r="AT584" s="631">
        <f t="shared" ref="AT584" si="580">IF(AND($R580=TRUE,$R583=FALSE),AT580,IF(AND($R580=FALSE,$R583=TRUE),AT583,IF(AND($R580=TRUE,$R583=TRUE),AT580+AT583,MAX(AT580,AT583))))</f>
        <v>0</v>
      </c>
      <c r="AU584" s="631">
        <f t="shared" ref="AU584" si="581">IF(AND($U580=TRUE,$U583=FALSE),AU580,IF(AND($U580=FALSE,$U583=TRUE),AU583,IF(AND($U580=TRUE,$U583=TRUE),AU580+AU583,MAX(AU580,AU583))))</f>
        <v>7</v>
      </c>
      <c r="AV584" s="631">
        <f t="shared" ref="AV584" si="582">IF(AND($U580=TRUE,$U583=FALSE),AV580,IF(AND($U580=FALSE,$U583=TRUE),AV583,IF(AND($U580=TRUE,$U583=TRUE),AV580+AV583,MAX(AV580,AV583))))</f>
        <v>10</v>
      </c>
    </row>
    <row r="585" spans="2:48" ht="32" customHeight="1" x14ac:dyDescent="0.2">
      <c r="B585" s="2030"/>
      <c r="C585" s="313"/>
      <c r="D585" s="26"/>
      <c r="E585" s="62"/>
      <c r="F585" s="790"/>
      <c r="G585" s="789"/>
      <c r="H585" s="790">
        <f>F585*G585</f>
        <v>0</v>
      </c>
      <c r="I585" s="1647"/>
      <c r="J585" s="1648"/>
      <c r="K585" s="45"/>
      <c r="L585" s="45"/>
      <c r="M585" s="45"/>
      <c r="N585" s="45"/>
      <c r="O585" s="1623"/>
      <c r="P585" s="1647"/>
      <c r="Q585" s="1648"/>
      <c r="R585" s="1623"/>
      <c r="S585" s="1622"/>
      <c r="T585" s="1615"/>
      <c r="U585" s="1623"/>
      <c r="V585" s="931"/>
      <c r="W585" s="1403"/>
      <c r="X585" s="1436">
        <v>11</v>
      </c>
      <c r="Y585" s="1405"/>
      <c r="Z585" s="1446">
        <v>11</v>
      </c>
      <c r="AA585" s="1447"/>
      <c r="AB585" s="1448">
        <v>11</v>
      </c>
      <c r="AD585" s="960" t="s">
        <v>945</v>
      </c>
      <c r="AE585" s="961"/>
      <c r="AF585" s="960"/>
      <c r="AG585" s="961"/>
      <c r="AH585" s="960"/>
      <c r="AI585" s="961"/>
      <c r="AK585" s="10"/>
      <c r="AL585" s="10"/>
      <c r="AM585" s="10"/>
      <c r="AN585" s="975">
        <f>IF($K585=TRUE,H585,0)</f>
        <v>0</v>
      </c>
      <c r="AO585" s="975">
        <f>IF($R585=TRUE,H585,0)</f>
        <v>0</v>
      </c>
      <c r="AP585" s="975"/>
      <c r="AQ585" s="1806">
        <f>IF(I585=11,0,G585*I585)</f>
        <v>0</v>
      </c>
      <c r="AR585" s="1806">
        <f>IF(J585=11,0,G585*J585)</f>
        <v>0</v>
      </c>
      <c r="AS585" s="1806">
        <f>IF(P585=11,0,G585*P585)</f>
        <v>0</v>
      </c>
      <c r="AT585" s="1806">
        <f>IF(Q585=11,0,G585*Q585)</f>
        <v>0</v>
      </c>
      <c r="AU585" s="1806"/>
      <c r="AV585" s="1806"/>
    </row>
    <row r="586" spans="2:48" ht="32" customHeight="1" thickBot="1" x14ac:dyDescent="0.25">
      <c r="B586" s="2030"/>
      <c r="C586" s="313"/>
      <c r="D586" s="767"/>
      <c r="E586" s="62"/>
      <c r="F586" s="790"/>
      <c r="G586" s="789"/>
      <c r="H586" s="790">
        <f>F586*G586</f>
        <v>0</v>
      </c>
      <c r="I586" s="1647"/>
      <c r="J586" s="1648"/>
      <c r="K586" s="45"/>
      <c r="L586" s="45"/>
      <c r="M586" s="45"/>
      <c r="N586" s="45"/>
      <c r="O586" s="1623"/>
      <c r="P586" s="1647"/>
      <c r="Q586" s="1648"/>
      <c r="R586" s="1623"/>
      <c r="S586" s="1647"/>
      <c r="T586" s="1648"/>
      <c r="U586" s="1623"/>
      <c r="V586" s="931"/>
      <c r="W586" s="1406" t="s">
        <v>943</v>
      </c>
      <c r="X586" s="1437">
        <v>11</v>
      </c>
      <c r="Y586" s="1412"/>
      <c r="Z586" s="1440">
        <v>11</v>
      </c>
      <c r="AA586" s="1441"/>
      <c r="AB586" s="1442">
        <v>11</v>
      </c>
      <c r="AD586" s="960"/>
      <c r="AE586" s="961"/>
      <c r="AF586" s="960"/>
      <c r="AG586" s="961"/>
      <c r="AH586" s="960"/>
      <c r="AI586" s="961"/>
      <c r="AK586" s="10"/>
      <c r="AL586" s="10"/>
      <c r="AM586" s="10"/>
      <c r="AN586" s="975">
        <f>IF($K586=TRUE,H586,0)</f>
        <v>0</v>
      </c>
      <c r="AO586" s="975">
        <f>IF($R586=TRUE,H586,0)</f>
        <v>0</v>
      </c>
      <c r="AP586" s="975"/>
      <c r="AQ586" s="1806">
        <f>IF(I586=11,0,G586*I586)</f>
        <v>0</v>
      </c>
      <c r="AR586" s="1806">
        <f>IF(J586=11,0,G586*J586)</f>
        <v>0</v>
      </c>
      <c r="AS586" s="1806">
        <f>IF(P586=11,0,G586*P586)</f>
        <v>0</v>
      </c>
      <c r="AT586" s="1806">
        <f>IF(Q586=11,0,G586*Q586)</f>
        <v>0</v>
      </c>
      <c r="AU586" s="1806"/>
      <c r="AV586" s="1806"/>
    </row>
    <row r="587" spans="2:48" ht="32" customHeight="1" thickBot="1" x14ac:dyDescent="0.25">
      <c r="B587" s="2030"/>
      <c r="C587" s="809" t="s">
        <v>747</v>
      </c>
      <c r="D587" s="810">
        <f>_xlfn.XLOOKUP(H587,H585:H586,D585:D586)</f>
        <v>0</v>
      </c>
      <c r="E587" s="810"/>
      <c r="F587" s="811"/>
      <c r="G587" s="811"/>
      <c r="H587" s="811">
        <f>IF(AND(K585=TRUE,K586=FALSE),H585,IF(AND(K585=FALSE,K586=TRUE),H586,MAX(H585,H586)))</f>
        <v>0</v>
      </c>
      <c r="I587" s="1628"/>
      <c r="J587" s="812"/>
      <c r="K587" s="813" t="b">
        <f>IF(AND(K585=FALSE,K586=FALSE),FALSE,TRUE)</f>
        <v>0</v>
      </c>
      <c r="L587" s="1611"/>
      <c r="M587" s="1611"/>
      <c r="N587" s="1611"/>
      <c r="O587" s="1629"/>
      <c r="P587" s="1628"/>
      <c r="Q587" s="812"/>
      <c r="R587" s="813" t="b">
        <f>IF(AND(R585=FALSE,R586=FALSE),FALSE,TRUE)</f>
        <v>0</v>
      </c>
      <c r="S587" s="1628"/>
      <c r="T587" s="812"/>
      <c r="U587" s="813"/>
      <c r="V587" s="931"/>
      <c r="W587" s="931"/>
      <c r="X587" s="1394"/>
      <c r="Z587" s="1451"/>
      <c r="AA587" s="1450"/>
      <c r="AB587" s="1449"/>
      <c r="AD587" s="960" t="str">
        <f>IF(K587=TRUE,"V","F")</f>
        <v>F</v>
      </c>
      <c r="AE587" s="961"/>
      <c r="AF587" s="960" t="str">
        <f>IF(R587=TRUE,"V","F")</f>
        <v>F</v>
      </c>
      <c r="AG587" s="961"/>
      <c r="AH587" s="960"/>
      <c r="AI587" s="961"/>
      <c r="AK587" s="10"/>
      <c r="AL587" s="10"/>
      <c r="AM587" s="10"/>
      <c r="AN587" s="2102">
        <f>IF(AND($K585=TRUE,$K586=FALSE),AN585,IF(AND($K585=FALSE,$K586=TRUE),AN586,IF(AND($K585=TRUE,$K586=TRUE),MAX(AN585,AN586),0)))</f>
        <v>0</v>
      </c>
      <c r="AO587" s="2102">
        <f>IF(AND($R585=TRUE,$R586=FALSE),AO585,IF(AND($R585=FALSE,$R586=TRUE),AO586,IF(AND($R585=TRUE,$R586=TRUE),MAX(AO585,AO586),0)))</f>
        <v>0</v>
      </c>
      <c r="AP587" s="2102"/>
      <c r="AQ587" s="2102">
        <f>IF(AND($K585=TRUE,$K586=FALSE),AQ585,IF(AND($K585=FALSE,$K586=TRUE),AQ586,IF(AND($K585=TRUE,$K586=TRUE),MAX(AQ585,AQ586),0)))</f>
        <v>0</v>
      </c>
      <c r="AR587" s="2102">
        <f>IF(AND($K585=TRUE,$K586=FALSE),AR585,IF(AND($K585=FALSE,$K586=TRUE),AR586,IF(AND($K585=TRUE,$K586=TRUE),MAX(AR585,AR586),0)))</f>
        <v>0</v>
      </c>
      <c r="AS587" s="2102">
        <f t="shared" ref="AS587" si="583">IF(AND($R585=TRUE,$R586=FALSE),AS585,IF(AND($R585=FALSE,$R586=TRUE),AS586,IF(AND($R585=TRUE,$R586=TRUE),MAX(AS585,AS586),0)))</f>
        <v>0</v>
      </c>
      <c r="AT587" s="2102">
        <f t="shared" ref="AT587" si="584">IF(AND($R585=TRUE,$R586=FALSE),AT585,IF(AND($R585=FALSE,$R586=TRUE),AT586,IF(AND($R585=TRUE,$R586=TRUE),MAX(AT585,AT586),0)))</f>
        <v>0</v>
      </c>
      <c r="AU587" s="2102"/>
      <c r="AV587" s="2102"/>
    </row>
    <row r="588" spans="2:48" ht="32" customHeight="1" x14ac:dyDescent="0.2">
      <c r="B588" s="2030"/>
      <c r="D588" s="421" t="s">
        <v>310</v>
      </c>
      <c r="E588" s="785"/>
      <c r="F588" s="474" t="s">
        <v>398</v>
      </c>
      <c r="G588" s="47"/>
      <c r="H588" s="47">
        <f>IF(AND(K584=TRUE,K587=FALSE),H584,IF(AND(K584=FALSE,K587=TRUE),H587,IF(AND(K584=TRUE,K587=TRUE),H584+H587,MAX(H584,H587))))</f>
        <v>20</v>
      </c>
      <c r="I588" s="1630"/>
      <c r="J588" s="475"/>
      <c r="K588" s="1613"/>
      <c r="L588" s="1614" t="str">
        <f>IF(AND(K587=TRUE,K584=TRUE),E587,"")</f>
        <v/>
      </c>
      <c r="M588" s="1614" t="str">
        <f>IF(AND(K584=TRUE,K587=FALSE),"Bien que le parent "&amp;E584&amp;" l'enfant ne semble pas s'ingérer","")</f>
        <v>Bien que le parent  l'enfant ne semble pas s'ingérer</v>
      </c>
      <c r="N588" s="1614" t="str">
        <f>IF(AND(K584=FALSE,K587=TRUE),E587&amp;" sans signe de la participation du parent favorisé et|ou nouveau conjoint.e","")</f>
        <v/>
      </c>
      <c r="O588" s="1631" t="str">
        <f>IF(AND(K584=FALSE,K587=FALSE),"aucun comportement significatif de cette nature","")</f>
        <v/>
      </c>
      <c r="P588" s="1630"/>
      <c r="Q588" s="475"/>
      <c r="R588" s="1639"/>
      <c r="S588" s="1630"/>
      <c r="T588" s="475"/>
      <c r="U588" s="1639"/>
      <c r="V588" s="170"/>
      <c r="W588" s="170"/>
      <c r="X588" s="1394"/>
      <c r="Z588" s="1451"/>
      <c r="AA588" s="1450"/>
      <c r="AB588" s="1449"/>
      <c r="AD588" s="962"/>
      <c r="AE588" s="963">
        <f>IF(AND(AD584="V",AD587="V"),2,IF(OR(AD584="V",AD587="V"),1,0))</f>
        <v>1</v>
      </c>
      <c r="AF588" s="962"/>
      <c r="AG588" s="963">
        <f>IF(OR(AF584="V",AF587="V"),1,0)</f>
        <v>0</v>
      </c>
      <c r="AH588" s="962"/>
      <c r="AI588" s="963"/>
      <c r="AK588" s="10"/>
      <c r="AL588" s="10"/>
      <c r="AM588" s="10"/>
      <c r="AN588" s="2097">
        <f>IF(AND($AD584="V",$AD587="F"),AN584,IF(AND($AD584="F",$AD587="V"),AN587,IF(AND($AD584="V",$AD587="V"),AN584+AN587,0)))</f>
        <v>20</v>
      </c>
      <c r="AO588" s="2097">
        <f>IF(AND($AF584="V",$AF587="F"),AO584,IF(AND($AF584="F",$AF587="V"),AO587,IF(AND($AF584="V",$AF587="V"),AO584+AO587,0)))</f>
        <v>0</v>
      </c>
      <c r="AP588" s="2097"/>
      <c r="AQ588" s="2097">
        <f>IF(AND($AD584="V",$AD587="F"),AQ584,IF(AND($AD584="F",$AD587="V"),AQ587,IF(AND($AD584="V",$AD587="V"),AQ584+AQ587,0)))</f>
        <v>8</v>
      </c>
      <c r="AR588" s="2097">
        <f>IF(AND($AD584="V",$AD587="F"),AR584,IF(AND($AD584="F",$AD587="V"),AR587,IF(AND($AD584="V",$AD587="V"),AR584+AR587,0)))</f>
        <v>20</v>
      </c>
      <c r="AS588" s="2097">
        <f>IF(AND($AF584="V",$AF587="F"),AS584,IF(AND($AF584="F",$AF587="V"),AS587,IF(AND($AF584="V",$AF587="V"),AS584+AS587,0)))</f>
        <v>0</v>
      </c>
      <c r="AT588" s="2097">
        <f>IF(AND($AF584="V",$AF587="F"),AT584,IF(AND($AF584="F",$AF587="V"),AT587,IF(AND($AF584="V",$AF587="V"),AT584+AT587,0)))</f>
        <v>0</v>
      </c>
      <c r="AU588" s="2097"/>
      <c r="AV588" s="2097"/>
    </row>
    <row r="589" spans="2:48" ht="32" customHeight="1" x14ac:dyDescent="0.2">
      <c r="B589" s="2030"/>
      <c r="C589" t="s">
        <v>243</v>
      </c>
      <c r="I589" s="146"/>
      <c r="L589" s="46"/>
      <c r="M589" s="46"/>
      <c r="N589" s="46"/>
      <c r="O589" s="1652"/>
      <c r="P589" s="146"/>
      <c r="R589" s="326"/>
      <c r="S589" s="146"/>
      <c r="U589" s="326"/>
      <c r="V589" s="46"/>
      <c r="X589" s="1394"/>
      <c r="Z589" s="1451"/>
      <c r="AA589" s="1450"/>
      <c r="AB589" s="1449"/>
      <c r="AD589" s="960"/>
      <c r="AE589" s="961"/>
      <c r="AF589" s="960"/>
      <c r="AG589" s="961"/>
      <c r="AH589" s="960"/>
      <c r="AI589" s="961"/>
      <c r="AK589" s="10"/>
      <c r="AL589" s="10"/>
      <c r="AM589" s="10"/>
      <c r="AN589" s="975"/>
      <c r="AO589" s="975"/>
      <c r="AP589" s="975"/>
      <c r="AQ589" s="1806"/>
      <c r="AR589" s="1806"/>
      <c r="AS589" s="1806"/>
      <c r="AT589" s="1806"/>
      <c r="AU589" s="1806"/>
      <c r="AV589" s="1806"/>
    </row>
    <row r="590" spans="2:48" ht="32" customHeight="1" x14ac:dyDescent="0.2">
      <c r="B590" s="2030" t="str">
        <f>'Cpts miroirs des parents'!I14</f>
        <v>E: Interférence temps et/ou communication</v>
      </c>
      <c r="C590" s="964" t="str">
        <f>'Cpts miroirs des parents'!G14</f>
        <v>PCR19</v>
      </c>
      <c r="D590" s="965" t="str">
        <f>Test_Bible!B137</f>
        <v>Dans quelle mesure considérez-vous l'autre parent comme étant votre égal·e sur le plan parental ?</v>
      </c>
      <c r="E590" s="965"/>
      <c r="F590" s="973">
        <f>Test_Bible!P137</f>
        <v>4</v>
      </c>
      <c r="G590" s="973">
        <f>Test_Bible!D137</f>
        <v>1</v>
      </c>
      <c r="H590" s="973">
        <f>F590*G590</f>
        <v>4</v>
      </c>
      <c r="I590" s="1647">
        <v>11</v>
      </c>
      <c r="J590" s="1648">
        <v>11</v>
      </c>
      <c r="K590" s="45" t="b">
        <f>IF(AND(F590&gt;=I590,F590&lt;=J590),TRUE,FALSE)</f>
        <v>0</v>
      </c>
      <c r="L590" s="32"/>
      <c r="M590" s="32"/>
      <c r="N590" s="32"/>
      <c r="O590" s="1632"/>
      <c r="P590" s="1647">
        <v>11</v>
      </c>
      <c r="Q590" s="1648">
        <v>11</v>
      </c>
      <c r="R590" s="1623" t="b">
        <f>IF(AND(F590&gt;=P590,F590&lt;=Q590),TRUE,FALSE)</f>
        <v>0</v>
      </c>
      <c r="S590" s="1622">
        <v>7</v>
      </c>
      <c r="T590" s="1615">
        <v>10</v>
      </c>
      <c r="U590" s="1623" t="b">
        <f>IF(AND(F590&gt;=S590,F590&lt;=T590),TRUE,FALSE)</f>
        <v>0</v>
      </c>
      <c r="V590" s="1593"/>
      <c r="W590" s="1433"/>
      <c r="X590" s="1404">
        <v>4</v>
      </c>
      <c r="Y590" s="1405"/>
      <c r="Z590" s="1446">
        <v>11</v>
      </c>
      <c r="AA590" s="1447"/>
      <c r="AB590" s="1448">
        <v>11</v>
      </c>
      <c r="AD590" s="960"/>
      <c r="AE590" s="961"/>
      <c r="AF590" s="960"/>
      <c r="AG590" s="961"/>
      <c r="AH590" s="960"/>
      <c r="AI590" s="961"/>
      <c r="AK590" s="10"/>
      <c r="AL590" s="10"/>
      <c r="AM590" s="10"/>
      <c r="AN590" s="975">
        <f>IF($K590=TRUE,H590,0)</f>
        <v>0</v>
      </c>
      <c r="AO590" s="975">
        <f>IF($R590=TRUE,H590,0)</f>
        <v>0</v>
      </c>
      <c r="AP590" s="975">
        <f>IF($U590=TRUE,H590,0)</f>
        <v>0</v>
      </c>
      <c r="AQ590" s="1806">
        <f>IF(I590=11,0,G590*I590)</f>
        <v>0</v>
      </c>
      <c r="AR590" s="1806">
        <f>IF(J590=11,0,G590*J590)</f>
        <v>0</v>
      </c>
      <c r="AS590" s="1806">
        <f>IF(P590=11,0,G590*P590)</f>
        <v>0</v>
      </c>
      <c r="AT590" s="1806">
        <f>IF(Q590=11,0,G590*Q590)</f>
        <v>0</v>
      </c>
      <c r="AU590" s="1806">
        <f>IF(S590=11,0,S590*G590)</f>
        <v>7</v>
      </c>
      <c r="AV590" s="1806">
        <f>IF(T590=11,0,T590*G590)</f>
        <v>10</v>
      </c>
    </row>
    <row r="591" spans="2:48" ht="32" customHeight="1" thickBot="1" x14ac:dyDescent="0.25">
      <c r="B591" s="2030"/>
      <c r="C591" s="1607"/>
      <c r="D591" s="1608"/>
      <c r="E591" s="965"/>
      <c r="F591" s="973"/>
      <c r="G591" s="973"/>
      <c r="H591" s="973">
        <f>F591*G591</f>
        <v>0</v>
      </c>
      <c r="I591" s="1647">
        <v>11</v>
      </c>
      <c r="J591" s="1648">
        <v>11</v>
      </c>
      <c r="K591" s="45" t="b">
        <f>IF(AND(F591&gt;=I591,F591&lt;=J591),TRUE,FALSE)</f>
        <v>0</v>
      </c>
      <c r="L591" s="32"/>
      <c r="M591" s="32"/>
      <c r="N591" s="32"/>
      <c r="O591" s="1632"/>
      <c r="P591" s="1647">
        <v>11</v>
      </c>
      <c r="Q591" s="1648">
        <v>11</v>
      </c>
      <c r="R591" s="1623" t="b">
        <f>IF(AND(F591&gt;=P591,F591&lt;=Q591),TRUE,FALSE)</f>
        <v>0</v>
      </c>
      <c r="S591" s="1647">
        <v>11</v>
      </c>
      <c r="T591" s="1648">
        <v>11</v>
      </c>
      <c r="U591" s="1623" t="b">
        <f>IF(AND(F591&gt;=S591,F591&lt;=T591),TRUE,FALSE)</f>
        <v>0</v>
      </c>
      <c r="W591" s="1434"/>
      <c r="X591" s="1407">
        <v>11</v>
      </c>
      <c r="Y591" s="1412"/>
      <c r="Z591" s="1440">
        <v>11</v>
      </c>
      <c r="AA591" s="1441"/>
      <c r="AB591" s="1442">
        <v>11</v>
      </c>
      <c r="AD591" s="960"/>
      <c r="AE591" s="961"/>
      <c r="AF591" s="960"/>
      <c r="AG591" s="961"/>
      <c r="AH591" s="960"/>
      <c r="AI591" s="961"/>
      <c r="AK591" s="10"/>
      <c r="AL591" s="10"/>
      <c r="AM591" s="10"/>
      <c r="AN591" s="975">
        <f>IF($K591=TRUE,H591,0)</f>
        <v>0</v>
      </c>
      <c r="AO591" s="975">
        <f>IF($R591=TRUE,H591,0)</f>
        <v>0</v>
      </c>
      <c r="AP591" s="975">
        <f>IF($U591=TRUE,H591,0)</f>
        <v>0</v>
      </c>
      <c r="AQ591" s="1806">
        <f>IF(I591=11,0,G591*I591)</f>
        <v>0</v>
      </c>
      <c r="AR591" s="1806">
        <f>IF(J591=11,0,G591*J591)</f>
        <v>0</v>
      </c>
      <c r="AS591" s="1806">
        <f>IF(P591=11,0,G591*P591)</f>
        <v>0</v>
      </c>
      <c r="AT591" s="1806">
        <f>IF(Q591=11,0,G591*Q591)</f>
        <v>0</v>
      </c>
      <c r="AU591" s="1806">
        <f>IF(S591=11,0,S591*G591)</f>
        <v>0</v>
      </c>
      <c r="AV591" s="1806">
        <f>IF(T591=11,0,T591*G591)</f>
        <v>0</v>
      </c>
    </row>
    <row r="592" spans="2:48" ht="32" customHeight="1" thickBot="1" x14ac:dyDescent="0.35">
      <c r="B592" s="2030"/>
      <c r="E592" s="814"/>
      <c r="F592" s="96"/>
      <c r="G592" s="96"/>
      <c r="H592" s="47">
        <f>IF(AND(K590=TRUE,K591=FALSE),H590,IF(AND(K590=FALSE,K591=TRUE),H591,MAX(H590,H591)))</f>
        <v>4</v>
      </c>
      <c r="I592" s="1644"/>
      <c r="J592" s="1645"/>
      <c r="K592" s="1651" t="b">
        <f>IF(AND(K590=FALSE,K591=FALSE),FALSE,TRUE)</f>
        <v>0</v>
      </c>
      <c r="L592" s="1633"/>
      <c r="M592" s="1634"/>
      <c r="N592" s="1634"/>
      <c r="O592" s="1635"/>
      <c r="P592" s="1644"/>
      <c r="Q592" s="1645"/>
      <c r="R592" s="1651" t="b">
        <f>IF(AND(R590=FALSE,R591=FALSE),FALSE,TRUE)</f>
        <v>0</v>
      </c>
      <c r="S592" s="1656"/>
      <c r="T592" s="1657"/>
      <c r="U592" s="1658" t="b">
        <f>IF(AND(U590=FALSE,U591=FALSE),FALSE,TRUE)</f>
        <v>0</v>
      </c>
      <c r="V592" s="96"/>
      <c r="AD592" s="1564" t="str">
        <f>IF(K592=TRUE,"V","F")</f>
        <v>F</v>
      </c>
      <c r="AE592" s="1565"/>
      <c r="AF592" s="1564" t="str">
        <f>IF(R592=TRUE,"V","F")</f>
        <v>F</v>
      </c>
      <c r="AG592" s="1565"/>
      <c r="AH592" s="1564" t="str">
        <f>IF(U592=TRUE,"V","F")</f>
        <v>F</v>
      </c>
      <c r="AI592" s="1565"/>
      <c r="AK592" s="10"/>
      <c r="AL592" s="10"/>
      <c r="AM592" s="10"/>
      <c r="AN592" s="2102">
        <f>IF(AND($K590=TRUE,$K591=FALSE),AN590,IF(AND($K590=FALSE,$K591=TRUE),AN591,MAX(AN590,AN591)))</f>
        <v>0</v>
      </c>
      <c r="AO592" s="2102">
        <f>IF(AND($R590=TRUE,$R591=FALSE),AO590,IF(AND($R590=FALSE,$R591=TRUE),AO591,MAX(AO590,AO591)))</f>
        <v>0</v>
      </c>
      <c r="AP592" s="2102">
        <f>IF(AND($U590=TRUE,$U591=FALSE),AP590,IF(AND($U590=FALSE,$U591=TRUE),AP591,MAX(AP590,AP591)))</f>
        <v>0</v>
      </c>
      <c r="AQ592" s="2102">
        <f>IF(AND($K590=TRUE,$K591=FALSE),AQ590,IF(AND($K590=FALSE,$K591=TRUE),AQ591,MAX(AQ590,AQ591)))</f>
        <v>0</v>
      </c>
      <c r="AR592" s="2102">
        <f>IF(AND($K590=TRUE,$K591=FALSE),AR590,IF(AND($K590=FALSE,$K591=TRUE),AR591,MAX(AR590,AR591)))</f>
        <v>0</v>
      </c>
      <c r="AS592" s="2102">
        <f>IF(AND($R590=TRUE,$R591=FALSE),AS590,IF(AND($R590=FALSE,$R591=TRUE),AS591,MAX(AS590,AS591)))</f>
        <v>0</v>
      </c>
      <c r="AT592" s="2102">
        <f>IF(AND($R590=TRUE,$R591=FALSE),AT590,IF(AND($R590=FALSE,$R591=TRUE),AT591,MAX(AT590,AT591)))</f>
        <v>0</v>
      </c>
      <c r="AU592" s="2102">
        <f>IF(AND($U590=TRUE,$U591=FALSE),AU590,IF(AND($U590=FALSE,$U591=TRUE),AU591,MAX(AU590,AU591)))</f>
        <v>7</v>
      </c>
      <c r="AV592" s="2102">
        <f>IF(AND($U590=TRUE,$U591=FALSE),AV590,IF(AND($U590=FALSE,$U591=TRUE),AV591,MAX(AV590,AV591)))</f>
        <v>10</v>
      </c>
    </row>
    <row r="593" spans="2:48" ht="32" customHeight="1" x14ac:dyDescent="0.25">
      <c r="B593" s="2030"/>
      <c r="AD593" s="1649"/>
      <c r="AE593" s="1650">
        <f>IF(AND(AD592="V",AD584="V"),AE588-1,AE588)</f>
        <v>1</v>
      </c>
      <c r="AF593" s="1649"/>
      <c r="AG593" s="1650">
        <f>IF(OR(AF584="V",AF587="V",AF592="V"),1,0)</f>
        <v>0</v>
      </c>
      <c r="AH593" s="1649"/>
      <c r="AI593" s="1650">
        <f>IF(AH584="V",1,IF(AH592="V",1,0))</f>
        <v>0</v>
      </c>
      <c r="AK593" s="10">
        <v>1</v>
      </c>
      <c r="AL593" s="10"/>
      <c r="AM593" s="10">
        <v>1</v>
      </c>
      <c r="AN593" s="2101">
        <f>IF($AD592="F",AN588,AN588+AN592)</f>
        <v>20</v>
      </c>
      <c r="AO593" s="2101">
        <f>IF($AF592="F",AO588,AO588+AO592)</f>
        <v>0</v>
      </c>
      <c r="AP593" s="2101">
        <f>IF(AND($AH584="V",$AH592="F"),AP584,IF(AND($AH584="F",$AH592="V"),AP592,IF(AND($AH584="V",$AH592="V"),AP584+AP592,0)))</f>
        <v>0</v>
      </c>
      <c r="AQ593" s="2101">
        <f>IF($AD592="F",AQ588,AQ588+AQ592)</f>
        <v>8</v>
      </c>
      <c r="AR593" s="2101">
        <f t="shared" ref="AR593" si="585">IF($AD592="F",AR588,AR588+AR592)</f>
        <v>20</v>
      </c>
      <c r="AS593" s="2101">
        <f t="shared" ref="AS593" si="586">IF($AF592="F",AS588,AS588+AS592)</f>
        <v>0</v>
      </c>
      <c r="AT593" s="2101">
        <f t="shared" ref="AT593" si="587">IF($AF592="F",AT588,AT588+AT592)</f>
        <v>0</v>
      </c>
      <c r="AU593" s="2101">
        <f t="shared" ref="AU593" si="588">IF(AND($AH584="V",$AH592="F"),AU584,IF(AND($AH584="F",$AH592="V"),AU592,IF(AND($AH584="V",$AH592="V"),AU584+AU592,0)))</f>
        <v>0</v>
      </c>
      <c r="AV593" s="2101">
        <f t="shared" ref="AV593" si="589">IF(AND($AH584="V",$AH592="F"),AV584,IF(AND($AH584="F",$AH592="V"),AV592,IF(AND($AH584="V",$AH592="V"),AV584+AV592,0)))</f>
        <v>0</v>
      </c>
    </row>
    <row r="594" spans="2:48" ht="32" customHeight="1" x14ac:dyDescent="0.2">
      <c r="B594" s="2030"/>
      <c r="AD594" s="1668"/>
      <c r="AE594" s="1669"/>
      <c r="AF594" s="1409"/>
      <c r="AK594" s="10"/>
      <c r="AL594" s="10"/>
      <c r="AM594" s="10"/>
    </row>
    <row r="595" spans="2:48" ht="32" customHeight="1" x14ac:dyDescent="0.3">
      <c r="E595" s="108" t="s">
        <v>305</v>
      </c>
      <c r="F595" s="2265" t="s">
        <v>260</v>
      </c>
      <c r="G595" s="2265"/>
      <c r="H595" s="2265"/>
      <c r="I595" s="2265"/>
      <c r="J595" s="2265"/>
      <c r="K595" s="783"/>
      <c r="L595" s="2266"/>
      <c r="M595" s="2266"/>
      <c r="N595" s="2266"/>
      <c r="O595" s="783"/>
      <c r="P595" s="783"/>
      <c r="Q595" s="783"/>
      <c r="R595" s="783"/>
      <c r="S595" s="783"/>
      <c r="T595" s="783"/>
      <c r="U595" s="783"/>
      <c r="V595" s="96"/>
      <c r="W595" s="96"/>
      <c r="AK595" s="10"/>
      <c r="AL595" s="10"/>
      <c r="AM595" s="10"/>
    </row>
    <row r="596" spans="2:48" ht="32" customHeight="1" x14ac:dyDescent="0.3">
      <c r="B596" s="2029">
        <v>4</v>
      </c>
      <c r="D596" s="476" t="str">
        <f>'[1]Cpts miroirs des parents'!$B$16</f>
        <v>Prise de décision sans le consentement de l'autre</v>
      </c>
      <c r="E596" s="107"/>
      <c r="F596" s="65"/>
      <c r="G596" s="18"/>
      <c r="H596" s="18"/>
      <c r="I596" s="2255" t="s">
        <v>734</v>
      </c>
      <c r="J596" s="2256"/>
      <c r="K596" s="2256"/>
      <c r="L596" s="2257" t="s">
        <v>1378</v>
      </c>
      <c r="M596" s="2257"/>
      <c r="N596" s="2257"/>
      <c r="O596" s="2258"/>
      <c r="P596" s="2259" t="s">
        <v>733</v>
      </c>
      <c r="Q596" s="2260"/>
      <c r="R596" s="2261"/>
      <c r="S596" s="2262" t="s">
        <v>735</v>
      </c>
      <c r="T596" s="2263"/>
      <c r="U596" s="2264"/>
      <c r="V596" s="15"/>
      <c r="W596" s="15"/>
      <c r="AD596" s="956"/>
      <c r="AE596" s="956"/>
      <c r="AF596" s="956"/>
      <c r="AG596" s="956"/>
      <c r="AH596" s="956"/>
      <c r="AI596" s="957"/>
      <c r="AK596" s="10"/>
      <c r="AL596" s="10"/>
      <c r="AM596" s="10"/>
      <c r="AN596" s="1659" t="s">
        <v>734</v>
      </c>
      <c r="AO596" s="1659" t="s">
        <v>733</v>
      </c>
      <c r="AP596" s="1659" t="s">
        <v>735</v>
      </c>
      <c r="AQ596" s="2254" t="s">
        <v>734</v>
      </c>
      <c r="AR596" s="2254"/>
      <c r="AS596" s="2254" t="s">
        <v>733</v>
      </c>
      <c r="AT596" s="2254"/>
      <c r="AU596" s="2254" t="s">
        <v>735</v>
      </c>
      <c r="AV596" s="2254"/>
    </row>
    <row r="597" spans="2:48" ht="32" customHeight="1" x14ac:dyDescent="0.2">
      <c r="B597" s="2030"/>
      <c r="D597" s="102" t="s">
        <v>998</v>
      </c>
      <c r="E597" s="983"/>
      <c r="F597" s="32" t="s">
        <v>748</v>
      </c>
      <c r="G597" s="32" t="s">
        <v>749</v>
      </c>
      <c r="H597" s="32" t="s">
        <v>750</v>
      </c>
      <c r="I597" s="1620" t="s">
        <v>306</v>
      </c>
      <c r="J597" s="43" t="s">
        <v>307</v>
      </c>
      <c r="K597" s="43" t="s">
        <v>308</v>
      </c>
      <c r="L597" s="43" t="s">
        <v>413</v>
      </c>
      <c r="M597" s="43" t="s">
        <v>388</v>
      </c>
      <c r="N597" s="43" t="s">
        <v>389</v>
      </c>
      <c r="O597" s="1621" t="s">
        <v>390</v>
      </c>
      <c r="P597" s="1620" t="s">
        <v>306</v>
      </c>
      <c r="Q597" s="43" t="s">
        <v>307</v>
      </c>
      <c r="R597" s="1621" t="s">
        <v>308</v>
      </c>
      <c r="S597" s="1620" t="s">
        <v>306</v>
      </c>
      <c r="T597" s="43" t="s">
        <v>307</v>
      </c>
      <c r="U597" s="1621" t="s">
        <v>308</v>
      </c>
      <c r="V597" s="818"/>
      <c r="W597" s="955" t="s">
        <v>928</v>
      </c>
      <c r="X597" s="1391" t="s">
        <v>734</v>
      </c>
      <c r="Y597" s="955" t="s">
        <v>928</v>
      </c>
      <c r="Z597" s="1395" t="s">
        <v>733</v>
      </c>
      <c r="AA597" s="955"/>
      <c r="AB597" s="1399" t="s">
        <v>735</v>
      </c>
      <c r="AD597" s="970" t="s">
        <v>734</v>
      </c>
      <c r="AE597" s="971" t="s">
        <v>946</v>
      </c>
      <c r="AF597" s="970" t="s">
        <v>733</v>
      </c>
      <c r="AG597" s="971" t="s">
        <v>947</v>
      </c>
      <c r="AH597" s="970" t="s">
        <v>735</v>
      </c>
      <c r="AI597" s="971" t="s">
        <v>948</v>
      </c>
      <c r="AK597" s="10"/>
      <c r="AL597" s="10"/>
      <c r="AM597" s="10"/>
      <c r="AN597" s="10"/>
      <c r="AO597" s="10"/>
      <c r="AP597" s="10"/>
      <c r="AQ597" s="1806" t="s">
        <v>1322</v>
      </c>
      <c r="AR597" s="1806" t="s">
        <v>1323</v>
      </c>
      <c r="AS597" s="1806" t="s">
        <v>1322</v>
      </c>
      <c r="AT597" s="1806" t="s">
        <v>1323</v>
      </c>
      <c r="AU597" s="1806" t="s">
        <v>1322</v>
      </c>
      <c r="AV597" s="1806" t="s">
        <v>1323</v>
      </c>
    </row>
    <row r="598" spans="2:48" ht="32" customHeight="1" x14ac:dyDescent="0.2">
      <c r="B598" s="2030" t="str">
        <f>'Cpts miroirs des parents'!E17</f>
        <v>C: Chantage affectif, loyauté, manipulation</v>
      </c>
      <c r="C598" s="414" t="str">
        <f>BIBLE!E80</f>
        <v>PFA00</v>
      </c>
      <c r="D598" s="26" t="str">
        <f>Test_Bible!B163</f>
        <v>L'autre parent (coparent) accepte de faire des compromis afin d'assurer une bonne entente de garde.</v>
      </c>
      <c r="E598" s="101"/>
      <c r="F598" s="790">
        <f>Test_Bible!P163</f>
        <v>2</v>
      </c>
      <c r="G598" s="789">
        <f>Test_Bible!D163</f>
        <v>1</v>
      </c>
      <c r="H598" s="790">
        <f>F598*G598</f>
        <v>2</v>
      </c>
      <c r="I598" s="1647">
        <v>11</v>
      </c>
      <c r="J598" s="1648">
        <v>11</v>
      </c>
      <c r="K598" s="45" t="b">
        <f>IF(AND(F598&gt;=I598,F598&lt;=J598),TRUE,FALSE)</f>
        <v>0</v>
      </c>
      <c r="L598" s="45"/>
      <c r="M598" s="45"/>
      <c r="N598" s="45"/>
      <c r="O598" s="1623"/>
      <c r="P598" s="1647">
        <v>11</v>
      </c>
      <c r="Q598" s="1648">
        <v>11</v>
      </c>
      <c r="R598" s="1623" t="b">
        <f>IF(AND(F598&gt;=P598,F598&lt;=Q598),TRUE,FALSE)</f>
        <v>0</v>
      </c>
      <c r="S598" s="1622">
        <v>7</v>
      </c>
      <c r="T598" s="1615">
        <v>10</v>
      </c>
      <c r="U598" s="1623" t="b">
        <f>IF(AND(F598&gt;=S598,F598&lt;=T598),TRUE,FALSE)</f>
        <v>0</v>
      </c>
      <c r="V598" s="1593"/>
      <c r="W598" s="1403"/>
      <c r="X598" s="1404">
        <v>4</v>
      </c>
      <c r="Y598" s="1405"/>
      <c r="Z598" s="1446">
        <v>11</v>
      </c>
      <c r="AA598" s="1405"/>
      <c r="AB598" s="1415">
        <v>2</v>
      </c>
      <c r="AD598" s="958"/>
      <c r="AE598" s="959"/>
      <c r="AF598" s="958"/>
      <c r="AG598" s="959"/>
      <c r="AH598" s="958"/>
      <c r="AI598" s="959"/>
      <c r="AK598" s="10"/>
      <c r="AL598" s="10"/>
      <c r="AM598" s="10"/>
      <c r="AN598" s="975">
        <f>IF($K598=TRUE,H598,0)</f>
        <v>0</v>
      </c>
      <c r="AO598" s="975">
        <f>IF($R598=TRUE,H598,0)</f>
        <v>0</v>
      </c>
      <c r="AP598" s="975">
        <f>IF($U598=TRUE,H598,0)</f>
        <v>0</v>
      </c>
      <c r="AQ598" s="1806">
        <f>IF(I598=11,0,G598*I598)</f>
        <v>0</v>
      </c>
      <c r="AR598" s="1806">
        <f>IF(J598=11,0,G598*J598)</f>
        <v>0</v>
      </c>
      <c r="AS598" s="1806">
        <f>IF(P598=11,0,G598*P598)</f>
        <v>0</v>
      </c>
      <c r="AT598" s="1806">
        <f>IF(Q598=11,0,G598*Q598)</f>
        <v>0</v>
      </c>
      <c r="AU598" s="1806">
        <f>IF(S598=11,0,S598*G598)</f>
        <v>7</v>
      </c>
      <c r="AV598" s="1806">
        <f>IF(T598=11,0,T598*G598)</f>
        <v>10</v>
      </c>
    </row>
    <row r="599" spans="2:48" ht="32" customHeight="1" x14ac:dyDescent="0.2">
      <c r="B599" s="2030"/>
      <c r="C599" s="414"/>
      <c r="D599" s="26"/>
      <c r="E599" s="101"/>
      <c r="F599" s="790"/>
      <c r="G599" s="789"/>
      <c r="H599" s="790">
        <f>F599*G599</f>
        <v>0</v>
      </c>
      <c r="I599" s="1647">
        <v>11</v>
      </c>
      <c r="J599" s="1648">
        <v>11</v>
      </c>
      <c r="K599" s="45" t="b">
        <f>IF(AND(F599&gt;=I599,F599&lt;=J599),TRUE,FALSE)</f>
        <v>0</v>
      </c>
      <c r="L599" s="45"/>
      <c r="M599" s="45"/>
      <c r="N599" s="45"/>
      <c r="O599" s="1623"/>
      <c r="P599" s="1647">
        <v>11</v>
      </c>
      <c r="Q599" s="1648">
        <v>11</v>
      </c>
      <c r="R599" s="1623" t="b">
        <f>IF(AND(F599&gt;=P599,F599&lt;=Q599),TRUE,FALSE)</f>
        <v>0</v>
      </c>
      <c r="S599" s="1647">
        <v>11</v>
      </c>
      <c r="T599" s="1648">
        <v>11</v>
      </c>
      <c r="U599" s="1623" t="b">
        <f>IF(AND(F599&gt;=S599,F599&lt;=T599),TRUE,FALSE)</f>
        <v>0</v>
      </c>
      <c r="V599" s="931"/>
      <c r="W599" s="1406" t="s">
        <v>943</v>
      </c>
      <c r="X599" s="1437">
        <v>11</v>
      </c>
      <c r="Y599" s="1441"/>
      <c r="Z599" s="1440">
        <v>11</v>
      </c>
      <c r="AA599" s="1441"/>
      <c r="AB599" s="1442">
        <v>11</v>
      </c>
      <c r="AD599" s="960"/>
      <c r="AE599" s="961"/>
      <c r="AF599" s="960"/>
      <c r="AG599" s="961"/>
      <c r="AH599" s="960"/>
      <c r="AI599" s="961"/>
      <c r="AK599" s="10"/>
      <c r="AL599" s="10"/>
      <c r="AM599" s="10"/>
      <c r="AN599" s="975">
        <f>IF($K599=TRUE,H599,0)</f>
        <v>0</v>
      </c>
      <c r="AO599" s="975">
        <f>IF($R599=TRUE,H599,0)</f>
        <v>0</v>
      </c>
      <c r="AP599" s="975">
        <f>IF($U599=TRUE,H599,0)</f>
        <v>0</v>
      </c>
      <c r="AQ599" s="1806">
        <f>IF(I599=11,0,G599*I599)</f>
        <v>0</v>
      </c>
      <c r="AR599" s="1806">
        <f>IF(J599=11,0,G599*J599)</f>
        <v>0</v>
      </c>
      <c r="AS599" s="1806">
        <f>IF(P599=11,0,G599*P599)</f>
        <v>0</v>
      </c>
      <c r="AT599" s="1806">
        <f>IF(Q599=11,0,G599*Q599)</f>
        <v>0</v>
      </c>
      <c r="AU599" s="1806">
        <f>IF(S599=11,0,S599*G599)</f>
        <v>0</v>
      </c>
      <c r="AV599" s="1806">
        <f>IF(T599=11,0,T599*G599)</f>
        <v>0</v>
      </c>
    </row>
    <row r="600" spans="2:48" ht="32" customHeight="1" x14ac:dyDescent="0.2">
      <c r="B600" s="2030"/>
      <c r="C600" s="792" t="s">
        <v>745</v>
      </c>
      <c r="D600" s="793" t="str">
        <f>_xlfn.XLOOKUP(H600,H598:H599,D598:D599)</f>
        <v>L'autre parent (coparent) accepte de faire des compromis afin d'assurer une bonne entente de garde.</v>
      </c>
      <c r="E600" s="794"/>
      <c r="F600" s="795"/>
      <c r="G600" s="795"/>
      <c r="H600" s="795">
        <f>IF(AND(K598=TRUE,K599=FALSE),H598,IF(AND(K598=FALSE,K599=TRUE),H599,MAX(H598,H599)))</f>
        <v>2</v>
      </c>
      <c r="I600" s="1624"/>
      <c r="J600" s="796"/>
      <c r="K600" s="797" t="b">
        <f>IF(AND(K598=FALSE,K599=FALSE),FALSE,TRUE)</f>
        <v>0</v>
      </c>
      <c r="L600" s="45"/>
      <c r="M600" s="45"/>
      <c r="N600" s="45"/>
      <c r="O600" s="1623"/>
      <c r="P600" s="1624"/>
      <c r="Q600" s="796"/>
      <c r="R600" s="1637" t="b">
        <f>IF(AND(R598=FALSE,R599=FALSE),FALSE,TRUE)</f>
        <v>0</v>
      </c>
      <c r="S600" s="1624"/>
      <c r="T600" s="796"/>
      <c r="U600" s="1637" t="b">
        <f>IF(AND(U598=FALSE,U599=FALSE),FALSE,TRUE)</f>
        <v>0</v>
      </c>
      <c r="V600" s="931"/>
      <c r="W600" s="931" t="s">
        <v>943</v>
      </c>
      <c r="X600" s="1392"/>
      <c r="Y600" s="8"/>
      <c r="Z600" s="1397"/>
      <c r="AA600" s="8"/>
      <c r="AB600" s="1400"/>
      <c r="AD600" s="960"/>
      <c r="AE600" s="961"/>
      <c r="AF600" s="960"/>
      <c r="AG600" s="961"/>
      <c r="AH600" s="960"/>
      <c r="AI600" s="961"/>
      <c r="AK600" s="10"/>
      <c r="AL600" s="10"/>
      <c r="AM600" s="10"/>
      <c r="AN600" s="2100">
        <f>IF($K600=TRUE,MAX(AN598:AN599),0)</f>
        <v>0</v>
      </c>
      <c r="AO600" s="2100">
        <f>IF($R600=TRUE,MAX(AO598:AO599),0)</f>
        <v>0</v>
      </c>
      <c r="AP600" s="2100">
        <f>IF($U600=TRUE,MAX(AP598:AP599),0)</f>
        <v>0</v>
      </c>
      <c r="AQ600" s="2099">
        <f>MAX(AQ598:AQ599)</f>
        <v>0</v>
      </c>
      <c r="AR600" s="2099">
        <f t="shared" ref="AR600" si="590">MAX(AR598:AR599)</f>
        <v>0</v>
      </c>
      <c r="AS600" s="2099">
        <f t="shared" ref="AS600" si="591">MAX(AS598:AS599)</f>
        <v>0</v>
      </c>
      <c r="AT600" s="2099">
        <f t="shared" ref="AT600" si="592">MAX(AT598:AT599)</f>
        <v>0</v>
      </c>
      <c r="AU600" s="2099">
        <f t="shared" ref="AU600" si="593">MAX(AU598:AU599)</f>
        <v>7</v>
      </c>
      <c r="AV600" s="2099">
        <f t="shared" ref="AV600" si="594">MAX(AV598:AV599)</f>
        <v>10</v>
      </c>
    </row>
    <row r="601" spans="2:48" ht="32" customHeight="1" x14ac:dyDescent="0.2">
      <c r="B601" s="2030"/>
      <c r="C601" s="52"/>
      <c r="D601" s="26"/>
      <c r="E601" s="101"/>
      <c r="F601" s="790"/>
      <c r="G601" s="789"/>
      <c r="H601" s="790">
        <f>F601*G601</f>
        <v>0</v>
      </c>
      <c r="I601" s="1647">
        <v>11</v>
      </c>
      <c r="J601" s="1648">
        <v>11</v>
      </c>
      <c r="K601" s="45" t="b">
        <f>IF(AND(F601&gt;=I601,F601&lt;=J601),TRUE,FALSE)</f>
        <v>0</v>
      </c>
      <c r="L601" s="45"/>
      <c r="M601" s="45"/>
      <c r="N601" s="45"/>
      <c r="O601" s="1623"/>
      <c r="P601" s="1647">
        <v>11</v>
      </c>
      <c r="Q601" s="1648">
        <v>11</v>
      </c>
      <c r="R601" s="1623" t="b">
        <f>IF(AND(F601&gt;=P601,F601&lt;=Q601),TRUE,FALSE)</f>
        <v>0</v>
      </c>
      <c r="S601" s="1647">
        <v>11</v>
      </c>
      <c r="T601" s="1648">
        <v>11</v>
      </c>
      <c r="U601" s="1623" t="b">
        <f>IF(AND(F601&gt;=S601,F601&lt;=T601),TRUE,FALSE)</f>
        <v>0</v>
      </c>
      <c r="V601" s="931"/>
      <c r="W601" s="1403"/>
      <c r="X601" s="1436">
        <v>11</v>
      </c>
      <c r="Y601" s="1447"/>
      <c r="Z601" s="1446">
        <v>11</v>
      </c>
      <c r="AA601" s="1447"/>
      <c r="AB601" s="1448">
        <v>11</v>
      </c>
      <c r="AD601" s="960"/>
      <c r="AE601" s="961"/>
      <c r="AF601" s="960"/>
      <c r="AG601" s="961"/>
      <c r="AH601" s="960"/>
      <c r="AI601" s="961"/>
      <c r="AK601" s="10"/>
      <c r="AL601" s="10"/>
      <c r="AM601" s="10"/>
      <c r="AN601" s="975">
        <f>IF(K601=TRUE,H601,0)</f>
        <v>0</v>
      </c>
      <c r="AO601" s="975">
        <f>IF(R601=TRUE,H601,0)</f>
        <v>0</v>
      </c>
      <c r="AP601" s="975">
        <f>IF(U601=TRUE,H601,0)</f>
        <v>0</v>
      </c>
      <c r="AQ601" s="1806">
        <f>IF(I601=11,0,G601*I601)</f>
        <v>0</v>
      </c>
      <c r="AR601" s="1806">
        <f>IF(J601=11,0,G601*J601)</f>
        <v>0</v>
      </c>
      <c r="AS601" s="1806">
        <f>IF(P601=11,0,G601*P601)</f>
        <v>0</v>
      </c>
      <c r="AT601" s="1806">
        <f>IF(Q601=11,0,G601*Q601)</f>
        <v>0</v>
      </c>
      <c r="AU601" s="1806">
        <f>IF(S601=11,0,S601*G601)</f>
        <v>0</v>
      </c>
      <c r="AV601" s="1806">
        <f>IF(T601=11,0,T601*G601)</f>
        <v>0</v>
      </c>
    </row>
    <row r="602" spans="2:48" ht="32" customHeight="1" x14ac:dyDescent="0.2">
      <c r="B602" s="2030"/>
      <c r="C602" s="52"/>
      <c r="D602" s="26"/>
      <c r="E602" s="62"/>
      <c r="F602" s="35"/>
      <c r="G602" s="35"/>
      <c r="H602" s="35">
        <f>F602*G602</f>
        <v>0</v>
      </c>
      <c r="I602" s="1647">
        <v>11</v>
      </c>
      <c r="J602" s="1648">
        <v>11</v>
      </c>
      <c r="K602" s="45" t="b">
        <f>IF(AND(F602&gt;=I602,F602&lt;=J602),TRUE,FALSE)</f>
        <v>0</v>
      </c>
      <c r="L602" s="45"/>
      <c r="M602" s="45"/>
      <c r="N602" s="45"/>
      <c r="O602" s="1623"/>
      <c r="P602" s="1647">
        <v>11</v>
      </c>
      <c r="Q602" s="1648">
        <v>11</v>
      </c>
      <c r="R602" s="1623" t="b">
        <f>IF(AND(F602&gt;=P602,F602&lt;=Q602),TRUE,FALSE)</f>
        <v>0</v>
      </c>
      <c r="S602" s="1647">
        <v>11</v>
      </c>
      <c r="T602" s="1648">
        <v>11</v>
      </c>
      <c r="U602" s="1623" t="b">
        <f>IF(AND(F602&gt;=S602,F602&lt;=T602),TRUE,FALSE)</f>
        <v>0</v>
      </c>
      <c r="V602" s="931"/>
      <c r="W602" s="1406" t="s">
        <v>943</v>
      </c>
      <c r="X602" s="1437">
        <v>11</v>
      </c>
      <c r="Y602" s="1441"/>
      <c r="Z602" s="1440">
        <v>11</v>
      </c>
      <c r="AA602" s="1441"/>
      <c r="AB602" s="1442">
        <v>11</v>
      </c>
      <c r="AD602" s="960"/>
      <c r="AE602" s="961"/>
      <c r="AF602" s="960"/>
      <c r="AG602" s="961"/>
      <c r="AH602" s="960"/>
      <c r="AI602" s="961"/>
      <c r="AK602" s="10"/>
      <c r="AL602" s="10"/>
      <c r="AM602" s="10"/>
      <c r="AN602" s="975">
        <f>IF(K602=TRUE,H602,0)</f>
        <v>0</v>
      </c>
      <c r="AO602" s="975">
        <f>IF(R602=TRUE,H602,0)</f>
        <v>0</v>
      </c>
      <c r="AP602" s="975">
        <f>IF(U602=TRUE,H602,0)</f>
        <v>0</v>
      </c>
      <c r="AQ602" s="1806">
        <f>IF(I602=11,0,G602*I602)</f>
        <v>0</v>
      </c>
      <c r="AR602" s="1806">
        <f>IF(J602=11,0,G602*J602)</f>
        <v>0</v>
      </c>
      <c r="AS602" s="1806">
        <f>IF(P602=11,0,G602*P602)</f>
        <v>0</v>
      </c>
      <c r="AT602" s="1806">
        <f>IF(Q602=11,0,G602*Q602)</f>
        <v>0</v>
      </c>
      <c r="AU602" s="1806">
        <f>IF(S602=11,0,S602*G602)</f>
        <v>0</v>
      </c>
      <c r="AV602" s="1806">
        <f>IF(T602=11,0,T602*G602)</f>
        <v>0</v>
      </c>
    </row>
    <row r="603" spans="2:48" ht="32" customHeight="1" thickBot="1" x14ac:dyDescent="0.25">
      <c r="B603" s="2030"/>
      <c r="C603" s="798" t="s">
        <v>746</v>
      </c>
      <c r="D603" s="799">
        <f>_xlfn.XLOOKUP(H603,H601:H602,D601:D602)</f>
        <v>0</v>
      </c>
      <c r="E603" s="800"/>
      <c r="F603" s="801"/>
      <c r="G603" s="801"/>
      <c r="H603" s="795">
        <f>IF(AND(K601=TRUE,K602=FALSE),H601,IF(AND(K601=FALSE,K602=TRUE),H602,MAX(H601,H602)))</f>
        <v>0</v>
      </c>
      <c r="I603" s="1625"/>
      <c r="J603" s="802"/>
      <c r="K603" s="803" t="b">
        <f>IF(AND(K601=FALSE,K602=FALSE),FALSE,TRUE)</f>
        <v>0</v>
      </c>
      <c r="L603" s="45"/>
      <c r="M603" s="45"/>
      <c r="N603" s="45"/>
      <c r="O603" s="1623"/>
      <c r="P603" s="1625"/>
      <c r="Q603" s="802"/>
      <c r="R603" s="1638" t="b">
        <f>IF(AND(R601=FALSE,R602=FALSE),FALSE,TRUE)</f>
        <v>0</v>
      </c>
      <c r="S603" s="1625"/>
      <c r="T603" s="802"/>
      <c r="U603" s="1638" t="b">
        <f>IF(AND(U601=FALSE,U602=FALSE),FALSE,TRUE)</f>
        <v>0</v>
      </c>
      <c r="V603" s="931"/>
      <c r="W603" s="931"/>
      <c r="X603" s="1438"/>
      <c r="Y603" s="1444"/>
      <c r="Z603" s="1443"/>
      <c r="AA603" s="1444"/>
      <c r="AB603" s="1445"/>
      <c r="AD603" s="960"/>
      <c r="AE603" s="961"/>
      <c r="AF603" s="960"/>
      <c r="AG603" s="961"/>
      <c r="AH603" s="960"/>
      <c r="AI603" s="961"/>
      <c r="AK603" s="10"/>
      <c r="AL603" s="10"/>
      <c r="AM603" s="10"/>
      <c r="AN603" s="2100">
        <f>IF($K603=TRUE,MAX(AN601:AN602),0)</f>
        <v>0</v>
      </c>
      <c r="AO603" s="2100">
        <f>IF($R603=TRUE,MAX(AO601:AO602),0)</f>
        <v>0</v>
      </c>
      <c r="AP603" s="2100">
        <f>IF($U603=TRUE,MAX(AP601:AP602),0)</f>
        <v>0</v>
      </c>
      <c r="AQ603" s="2099">
        <f>MAX(AQ601:AQ602)</f>
        <v>0</v>
      </c>
      <c r="AR603" s="2099">
        <f t="shared" ref="AR603" si="595">MAX(AR601:AR602)</f>
        <v>0</v>
      </c>
      <c r="AS603" s="2099">
        <f t="shared" ref="AS603" si="596">MAX(AS601:AS602)</f>
        <v>0</v>
      </c>
      <c r="AT603" s="2099">
        <f t="shared" ref="AT603" si="597">MAX(AT601:AT602)</f>
        <v>0</v>
      </c>
      <c r="AU603" s="2099">
        <f t="shared" ref="AU603" si="598">MAX(AU601:AU602)</f>
        <v>0</v>
      </c>
      <c r="AV603" s="2099">
        <f t="shared" ref="AV603" si="599">MAX(AV601:AV602)</f>
        <v>0</v>
      </c>
    </row>
    <row r="604" spans="2:48" ht="32" customHeight="1" thickBot="1" x14ac:dyDescent="0.25">
      <c r="B604" s="2030"/>
      <c r="C604" s="804" t="s">
        <v>754</v>
      </c>
      <c r="D604" s="805"/>
      <c r="E604" s="805"/>
      <c r="F604" s="806"/>
      <c r="G604" s="806"/>
      <c r="H604" s="806">
        <f>IF(AND(K600=TRUE,K603=FALSE),H600,IF(AND(K600=FALSE,K603=TRUE),H603,IF(AND(K600=TRUE,K603=TRUE),H600+H603,MAX(H600,H603))))</f>
        <v>2</v>
      </c>
      <c r="I604" s="1626"/>
      <c r="J604" s="807"/>
      <c r="K604" s="808" t="b">
        <f>IF(AND(K600=FALSE,K603=FALSE),FALSE,TRUE)</f>
        <v>0</v>
      </c>
      <c r="L604" s="1610"/>
      <c r="M604" s="1610"/>
      <c r="N604" s="1610"/>
      <c r="O604" s="1627"/>
      <c r="P604" s="1626"/>
      <c r="Q604" s="807"/>
      <c r="R604" s="808" t="b">
        <f>IF(AND(R600=FALSE,R603=FALSE),FALSE,TRUE)</f>
        <v>0</v>
      </c>
      <c r="S604" s="1626"/>
      <c r="T604" s="807"/>
      <c r="U604" s="808" t="b">
        <f>IF(AND(U600=FALSE,U603=FALSE),FALSE,TRUE)</f>
        <v>0</v>
      </c>
      <c r="V604" s="931"/>
      <c r="W604" s="931" t="s">
        <v>942</v>
      </c>
      <c r="X604" s="1438"/>
      <c r="Y604" s="1444"/>
      <c r="Z604" s="1443"/>
      <c r="AA604" s="1444"/>
      <c r="AB604" s="1445"/>
      <c r="AD604" s="960" t="str">
        <f>IF(K604=TRUE,"V","F")</f>
        <v>F</v>
      </c>
      <c r="AE604" s="961"/>
      <c r="AF604" s="960" t="str">
        <f>IF(R604=TRUE,"V","F")</f>
        <v>F</v>
      </c>
      <c r="AG604" s="961"/>
      <c r="AH604" s="960" t="str">
        <f>IF(U604=TRUE,"V","F")</f>
        <v>F</v>
      </c>
      <c r="AI604" s="961"/>
      <c r="AK604" s="10"/>
      <c r="AL604" s="10"/>
      <c r="AM604" s="10"/>
      <c r="AN604" s="631">
        <f>IF(AND($K600=TRUE,$K603=FALSE),AN600,IF(AND($K600=FALSE,$K603=TRUE),AN603,IF(AND($K600=TRUE,$K603=TRUE),AN600+AN603,0)))</f>
        <v>0</v>
      </c>
      <c r="AO604" s="631">
        <f>IF(AND($R600=TRUE,$R603=FALSE),AO600,IF(AND($R600=FALSE,$R603=TRUE),AO603,IF(AND($R600=TRUE,$R603=TRUE),AO600+AO603,0)))</f>
        <v>0</v>
      </c>
      <c r="AP604" s="631">
        <f>IF(AND($U600=TRUE,$U603=FALSE),AP600,IF(AND($U600=FALSE,$U603=TRUE),AP603,IF(AND($U600=TRUE,$U603=TRUE),AP600+AP603,0)))</f>
        <v>0</v>
      </c>
      <c r="AQ604" s="631">
        <f>IF(AND($K600=TRUE,$K603=FALSE),AQ600,IF(AND($K600=FALSE,$K603=TRUE),AQ603,IF(AND($K600=TRUE,$K603=TRUE),AQ600+AQ603,MAX(AQ600,AQ603))))</f>
        <v>0</v>
      </c>
      <c r="AR604" s="631">
        <f>IF(AND($K600=TRUE,$K603=FALSE),AR600,IF(AND($K600=FALSE,$K603=TRUE),AR603,IF(AND($K600=TRUE,$K603=TRUE),AR600+AR603,MAX(AR600,AR603))))</f>
        <v>0</v>
      </c>
      <c r="AS604" s="631">
        <f t="shared" ref="AS604" si="600">IF(AND($R600=TRUE,$R603=FALSE),AS600,IF(AND($R600=FALSE,$R603=TRUE),AS603,IF(AND($R600=TRUE,$R603=TRUE),AS600+AS603,MAX(AS600,AS603))))</f>
        <v>0</v>
      </c>
      <c r="AT604" s="631">
        <f t="shared" ref="AT604" si="601">IF(AND($R600=TRUE,$R603=FALSE),AT600,IF(AND($R600=FALSE,$R603=TRUE),AT603,IF(AND($R600=TRUE,$R603=TRUE),AT600+AT603,MAX(AT600,AT603))))</f>
        <v>0</v>
      </c>
      <c r="AU604" s="631">
        <f t="shared" ref="AU604" si="602">IF(AND($U600=TRUE,$U603=FALSE),AU600,IF(AND($U600=FALSE,$U603=TRUE),AU603,IF(AND($U600=TRUE,$U603=TRUE),AU600+AU603,MAX(AU600,AU603))))</f>
        <v>7</v>
      </c>
      <c r="AV604" s="631">
        <f t="shared" ref="AV604" si="603">IF(AND($U600=TRUE,$U603=FALSE),AV600,IF(AND($U600=FALSE,$U603=TRUE),AV603,IF(AND($U600=TRUE,$U603=TRUE),AV600+AV603,MAX(AV600,AV603))))</f>
        <v>10</v>
      </c>
    </row>
    <row r="605" spans="2:48" ht="32" customHeight="1" x14ac:dyDescent="0.2">
      <c r="B605" s="2030"/>
      <c r="C605" s="313"/>
      <c r="D605" s="26"/>
      <c r="E605" s="26"/>
      <c r="F605" s="89"/>
      <c r="G605" s="16"/>
      <c r="H605" s="790">
        <f>F605*G605</f>
        <v>0</v>
      </c>
      <c r="I605" s="1647">
        <v>11</v>
      </c>
      <c r="J605" s="1648">
        <v>11</v>
      </c>
      <c r="K605" s="45" t="b">
        <f>IF(AND(F605&gt;=I605,F605&lt;=J605),TRUE,FALSE)</f>
        <v>0</v>
      </c>
      <c r="L605" s="45"/>
      <c r="M605" s="45"/>
      <c r="N605" s="45"/>
      <c r="O605" s="1623"/>
      <c r="P605" s="1647">
        <v>11</v>
      </c>
      <c r="Q605" s="1648">
        <v>11</v>
      </c>
      <c r="R605" s="1623" t="b">
        <f>IF(AND(F605&gt;=P605,F605&lt;=Q605),TRUE,FALSE)</f>
        <v>0</v>
      </c>
      <c r="S605" s="1622"/>
      <c r="T605" s="1615"/>
      <c r="U605" s="1623"/>
      <c r="V605" s="931"/>
      <c r="W605" s="1403"/>
      <c r="X605" s="1436">
        <v>11</v>
      </c>
      <c r="Y605" s="1447"/>
      <c r="Z605" s="1446">
        <v>11</v>
      </c>
      <c r="AA605" s="1447"/>
      <c r="AB605" s="1448">
        <v>11</v>
      </c>
      <c r="AD605" s="960" t="s">
        <v>945</v>
      </c>
      <c r="AE605" s="961"/>
      <c r="AF605" s="960"/>
      <c r="AG605" s="961"/>
      <c r="AH605" s="960"/>
      <c r="AI605" s="961"/>
      <c r="AK605" s="10"/>
      <c r="AL605" s="10"/>
      <c r="AM605" s="10"/>
      <c r="AN605" s="975">
        <f>IF($K605=TRUE,H605,0)</f>
        <v>0</v>
      </c>
      <c r="AO605" s="975">
        <f>IF($R605=TRUE,H605,0)</f>
        <v>0</v>
      </c>
      <c r="AP605" s="975"/>
      <c r="AQ605" s="1806">
        <f>IF(I605=11,0,G605*I605)</f>
        <v>0</v>
      </c>
      <c r="AR605" s="1806">
        <f>IF(J605=11,0,G605*J605)</f>
        <v>0</v>
      </c>
      <c r="AS605" s="1806">
        <f>IF(P605=11,0,G605*P605)</f>
        <v>0</v>
      </c>
      <c r="AT605" s="1806">
        <f>IF(Q605=11,0,G605*Q605)</f>
        <v>0</v>
      </c>
      <c r="AU605" s="1806"/>
      <c r="AV605" s="1806"/>
    </row>
    <row r="606" spans="2:48" ht="32" customHeight="1" thickBot="1" x14ac:dyDescent="0.25">
      <c r="B606" s="2030"/>
      <c r="C606" s="313"/>
      <c r="D606" s="26"/>
      <c r="E606" s="26"/>
      <c r="F606" s="89"/>
      <c r="G606" s="16"/>
      <c r="H606" s="790">
        <f>F606*G606</f>
        <v>0</v>
      </c>
      <c r="I606" s="1647">
        <v>11</v>
      </c>
      <c r="J606" s="1648">
        <v>11</v>
      </c>
      <c r="K606" s="45" t="b">
        <f>IF(AND(F606&gt;=I606,F606&lt;=J606),TRUE,FALSE)</f>
        <v>0</v>
      </c>
      <c r="L606" s="45"/>
      <c r="M606" s="45"/>
      <c r="N606" s="45"/>
      <c r="O606" s="1623"/>
      <c r="P606" s="1647">
        <v>11</v>
      </c>
      <c r="Q606" s="1648">
        <v>11</v>
      </c>
      <c r="R606" s="1623" t="b">
        <f>IF(AND(F606&gt;=P606,F606&lt;=Q606),TRUE,FALSE)</f>
        <v>0</v>
      </c>
      <c r="S606" s="1647"/>
      <c r="T606" s="1648"/>
      <c r="U606" s="1623"/>
      <c r="V606" s="931"/>
      <c r="W606" s="1406" t="s">
        <v>943</v>
      </c>
      <c r="X606" s="1437">
        <v>11</v>
      </c>
      <c r="Y606" s="1441"/>
      <c r="Z606" s="1440">
        <v>11</v>
      </c>
      <c r="AA606" s="1441"/>
      <c r="AB606" s="1442">
        <v>11</v>
      </c>
      <c r="AD606" s="960"/>
      <c r="AE606" s="961"/>
      <c r="AF606" s="960"/>
      <c r="AG606" s="961"/>
      <c r="AH606" s="960"/>
      <c r="AI606" s="961"/>
      <c r="AK606" s="10"/>
      <c r="AL606" s="10"/>
      <c r="AM606" s="10"/>
      <c r="AN606" s="975">
        <f>IF($K606=TRUE,H606,0)</f>
        <v>0</v>
      </c>
      <c r="AO606" s="975">
        <f>IF($R606=TRUE,H606,0)</f>
        <v>0</v>
      </c>
      <c r="AP606" s="975"/>
      <c r="AQ606" s="1806">
        <f>IF(I606=11,0,G606*I606)</f>
        <v>0</v>
      </c>
      <c r="AR606" s="1806">
        <f>IF(J606=11,0,G606*J606)</f>
        <v>0</v>
      </c>
      <c r="AS606" s="1806">
        <f>IF(P606=11,0,G606*P606)</f>
        <v>0</v>
      </c>
      <c r="AT606" s="1806">
        <f>IF(Q606=11,0,G606*Q606)</f>
        <v>0</v>
      </c>
      <c r="AU606" s="1806"/>
      <c r="AV606" s="1806"/>
    </row>
    <row r="607" spans="2:48" ht="32" customHeight="1" thickBot="1" x14ac:dyDescent="0.25">
      <c r="B607" s="2030"/>
      <c r="C607" s="809" t="s">
        <v>747</v>
      </c>
      <c r="D607" s="810">
        <f>_xlfn.XLOOKUP(H607,H605:H606,D605:D606)</f>
        <v>0</v>
      </c>
      <c r="E607" s="810"/>
      <c r="F607" s="811"/>
      <c r="G607" s="811"/>
      <c r="H607" s="811">
        <f>IF(AND(K605=TRUE,K606=FALSE),H605,IF(AND(K605=FALSE,K606=TRUE),H606,MAX(H605,H606)))</f>
        <v>0</v>
      </c>
      <c r="I607" s="1628"/>
      <c r="J607" s="812"/>
      <c r="K607" s="813" t="b">
        <f>IF(AND(K605=FALSE,K606=FALSE),FALSE,TRUE)</f>
        <v>0</v>
      </c>
      <c r="L607" s="1611"/>
      <c r="M607" s="1611"/>
      <c r="N607" s="1611"/>
      <c r="O607" s="1629"/>
      <c r="P607" s="1628"/>
      <c r="Q607" s="812"/>
      <c r="R607" s="813" t="b">
        <f>IF(AND(R605=FALSE,R606=FALSE),FALSE,TRUE)</f>
        <v>0</v>
      </c>
      <c r="S607" s="1628"/>
      <c r="T607" s="812"/>
      <c r="U607" s="813"/>
      <c r="V607" s="931"/>
      <c r="W607" s="931"/>
      <c r="X607" s="1394"/>
      <c r="Z607" s="1398"/>
      <c r="AB607" s="1402"/>
      <c r="AD607" s="960" t="str">
        <f>IF(K607=TRUE,"V","F")</f>
        <v>F</v>
      </c>
      <c r="AE607" s="961"/>
      <c r="AF607" s="960" t="str">
        <f>IF(R607=TRUE,"V","F")</f>
        <v>F</v>
      </c>
      <c r="AG607" s="961"/>
      <c r="AH607" s="960"/>
      <c r="AI607" s="961"/>
      <c r="AK607" s="10"/>
      <c r="AL607" s="10"/>
      <c r="AM607" s="10"/>
      <c r="AN607" s="2102">
        <f>IF(AND($K605=TRUE,$K606=FALSE),AN605,IF(AND($K605=FALSE,$K606=TRUE),AN606,IF(AND($K605=TRUE,$K606=TRUE),MAX(AN605,AN606),0)))</f>
        <v>0</v>
      </c>
      <c r="AO607" s="2102">
        <f>IF(AND($R605=TRUE,$R606=FALSE),AO605,IF(AND($R605=FALSE,$R606=TRUE),AO606,IF(AND($R605=TRUE,$R606=TRUE),MAX(AO605,AO606),0)))</f>
        <v>0</v>
      </c>
      <c r="AP607" s="2102"/>
      <c r="AQ607" s="2102">
        <f>IF(AND($K605=TRUE,$K606=FALSE),AQ605,IF(AND($K605=FALSE,$K606=TRUE),AQ606,IF(AND($K605=TRUE,$K606=TRUE),MAX(AQ605,AQ606),0)))</f>
        <v>0</v>
      </c>
      <c r="AR607" s="2102">
        <f>IF(AND($K605=TRUE,$K606=FALSE),AR605,IF(AND($K605=FALSE,$K606=TRUE),AR606,IF(AND($K605=TRUE,$K606=TRUE),MAX(AR605,AR606),0)))</f>
        <v>0</v>
      </c>
      <c r="AS607" s="2102">
        <f t="shared" ref="AS607" si="604">IF(AND($R605=TRUE,$R606=FALSE),AS605,IF(AND($R605=FALSE,$R606=TRUE),AS606,IF(AND($R605=TRUE,$R606=TRUE),MAX(AS605,AS606),0)))</f>
        <v>0</v>
      </c>
      <c r="AT607" s="2102">
        <f t="shared" ref="AT607" si="605">IF(AND($R605=TRUE,$R606=FALSE),AT605,IF(AND($R605=FALSE,$R606=TRUE),AT606,IF(AND($R605=TRUE,$R606=TRUE),MAX(AT605,AT606),0)))</f>
        <v>0</v>
      </c>
      <c r="AU607" s="2102"/>
      <c r="AV607" s="2102"/>
    </row>
    <row r="608" spans="2:48" ht="32" customHeight="1" x14ac:dyDescent="0.2">
      <c r="B608" s="2030"/>
      <c r="D608" s="421" t="s">
        <v>310</v>
      </c>
      <c r="E608" s="785"/>
      <c r="F608" s="474" t="s">
        <v>398</v>
      </c>
      <c r="G608" s="47"/>
      <c r="H608" s="47">
        <f>IF(AND(K604=TRUE,K607=FALSE),H604,IF(AND(K604=FALSE,K607=TRUE),H607,IF(AND(K604=TRUE,K607=TRUE),H604+H607,MAX(H604,H607))))</f>
        <v>2</v>
      </c>
      <c r="I608" s="1630"/>
      <c r="J608" s="475"/>
      <c r="K608" s="1613"/>
      <c r="L608" s="1614" t="str">
        <f>IF(AND(K607=TRUE,K604=TRUE),E607,"")</f>
        <v/>
      </c>
      <c r="M608" s="1614" t="str">
        <f>IF(AND(K604=TRUE,K607=FALSE),"Bien que le parent "&amp;E604&amp;" l'enfant ne semble pas s'ingérer","")</f>
        <v/>
      </c>
      <c r="N608" s="1614" t="str">
        <f>IF(AND(K604=FALSE,K607=TRUE),E607&amp;" sans signe de la participation du parent favorisé et|ou nouveau conjoint.e","")</f>
        <v/>
      </c>
      <c r="O608" s="1631" t="str">
        <f>IF(AND(K604=FALSE,K607=FALSE),"aucun comportement significatif de cette nature","")</f>
        <v>aucun comportement significatif de cette nature</v>
      </c>
      <c r="P608" s="1630"/>
      <c r="Q608" s="475"/>
      <c r="R608" s="1639"/>
      <c r="S608" s="1630"/>
      <c r="T608" s="475"/>
      <c r="U608" s="1639"/>
      <c r="V608" s="170"/>
      <c r="W608" s="170"/>
      <c r="X608" s="1394"/>
      <c r="Z608" s="1398"/>
      <c r="AB608" s="1402"/>
      <c r="AD608" s="962"/>
      <c r="AE608" s="963">
        <f>IF(AND(AD604="V",AD607="V"),2,IF(OR(AD604="V",AD607="V"),1,0))</f>
        <v>0</v>
      </c>
      <c r="AF608" s="962"/>
      <c r="AG608" s="963">
        <f>IF(OR(AF604="V",AF607="V"),1,0)</f>
        <v>0</v>
      </c>
      <c r="AH608" s="962"/>
      <c r="AI608" s="963"/>
      <c r="AK608" s="10"/>
      <c r="AL608" s="10"/>
      <c r="AM608" s="10"/>
      <c r="AN608" s="2097">
        <f>IF(AND($AD604="V",$AD607="F"),AN604,IF(AND($AD604="F",$AD607="V"),AN607,IF(AND($AD604="V",$AD607="V"),AN604+AN607,0)))</f>
        <v>0</v>
      </c>
      <c r="AO608" s="2097">
        <f>IF(AND($AF604="V",$AF607="F"),AO604,IF(AND($AF604="F",$AF607="V"),AO607,IF(AND($AF604="V",$AF607="V"),AO604+AO607,0)))</f>
        <v>0</v>
      </c>
      <c r="AP608" s="2097"/>
      <c r="AQ608" s="2097">
        <f>IF(AND($AD604="V",$AD607="F"),AQ604,IF(AND($AD604="F",$AD607="V"),AQ607,IF(AND($AD604="V",$AD607="V"),AQ604+AQ607,0)))</f>
        <v>0</v>
      </c>
      <c r="AR608" s="2097">
        <f>IF(AND($AD604="V",$AD607="F"),AR604,IF(AND($AD604="F",$AD607="V"),AR607,IF(AND($AD604="V",$AD607="V"),AR604+AR607,0)))</f>
        <v>0</v>
      </c>
      <c r="AS608" s="2097">
        <f>IF(AND($AF604="V",$AF607="F"),AS604,IF(AND($AF604="F",$AF607="V"),AS607,IF(AND($AF604="V",$AF607="V"),AS604+AS607,0)))</f>
        <v>0</v>
      </c>
      <c r="AT608" s="2097">
        <f>IF(AND($AF604="V",$AF607="F"),AT604,IF(AND($AF604="F",$AF607="V"),AT607,IF(AND($AF604="V",$AF607="V"),AT604+AT607,0)))</f>
        <v>0</v>
      </c>
      <c r="AU608" s="2097"/>
      <c r="AV608" s="2097"/>
    </row>
    <row r="609" spans="2:48" ht="32" customHeight="1" x14ac:dyDescent="0.2">
      <c r="B609" s="2030"/>
      <c r="C609" t="s">
        <v>243</v>
      </c>
      <c r="I609" s="146"/>
      <c r="L609" s="46"/>
      <c r="M609" s="46"/>
      <c r="N609" s="46"/>
      <c r="O609" s="1652"/>
      <c r="P609" s="146"/>
      <c r="R609" s="326"/>
      <c r="S609" s="146"/>
      <c r="U609" s="326"/>
      <c r="V609" s="46"/>
      <c r="X609" s="1394"/>
      <c r="Z609" s="1398"/>
      <c r="AB609" s="1402"/>
      <c r="AD609" s="960"/>
      <c r="AE609" s="961"/>
      <c r="AF609" s="960"/>
      <c r="AG609" s="961"/>
      <c r="AH609" s="960"/>
      <c r="AI609" s="961"/>
      <c r="AK609" s="10"/>
      <c r="AL609" s="10"/>
      <c r="AM609" s="10"/>
      <c r="AN609" s="975"/>
      <c r="AO609" s="975"/>
      <c r="AP609" s="975"/>
      <c r="AQ609" s="1806"/>
      <c r="AR609" s="1806"/>
      <c r="AS609" s="1806"/>
      <c r="AT609" s="1806"/>
      <c r="AU609" s="1806"/>
      <c r="AV609" s="1806"/>
    </row>
    <row r="610" spans="2:48" ht="32" customHeight="1" x14ac:dyDescent="0.2">
      <c r="B610" s="2030" t="str">
        <f>'Cpts miroirs des parents'!I17</f>
        <v>C: Chantage affectif, loyauté, manipulation</v>
      </c>
      <c r="C610" s="964" t="str">
        <f>'Cpts miroirs des parents'!G17</f>
        <v>PCR02</v>
      </c>
      <c r="D610" s="965" t="str">
        <f>Test_Bible!B123</f>
        <v>Vous devez faire des compromis afin d'assurer une bonne entente de garde.</v>
      </c>
      <c r="E610" s="965"/>
      <c r="F610" s="973">
        <f>Test_Bible!P123</f>
        <v>7</v>
      </c>
      <c r="G610" s="973">
        <f>Test_Bible!D123</f>
        <v>2</v>
      </c>
      <c r="H610" s="973">
        <f>F610*G610</f>
        <v>14</v>
      </c>
      <c r="I610" s="1647">
        <v>11</v>
      </c>
      <c r="J610" s="1648">
        <v>11</v>
      </c>
      <c r="K610" s="45" t="b">
        <f>IF(AND(F610&gt;=I610,F610&lt;=J610),TRUE,FALSE)</f>
        <v>0</v>
      </c>
      <c r="L610" s="32"/>
      <c r="M610" s="32"/>
      <c r="N610" s="32"/>
      <c r="O610" s="1632"/>
      <c r="P610" s="1647">
        <v>11</v>
      </c>
      <c r="Q610" s="1648">
        <v>11</v>
      </c>
      <c r="R610" s="1623" t="b">
        <f>IF(AND(F610&gt;=P610,F610&lt;=Q610),TRUE,FALSE)</f>
        <v>0</v>
      </c>
      <c r="S610" s="1622">
        <v>7</v>
      </c>
      <c r="T610" s="1615">
        <v>10</v>
      </c>
      <c r="U610" s="1623" t="b">
        <f>IF(AND(F610&gt;=S610,F610&lt;=T610),TRUE,FALSE)</f>
        <v>1</v>
      </c>
      <c r="V610" s="1593"/>
      <c r="W610" s="1433"/>
      <c r="X610" s="1404">
        <v>4</v>
      </c>
      <c r="Y610" s="1405"/>
      <c r="Z610" s="1446">
        <v>11</v>
      </c>
      <c r="AA610" s="1405"/>
      <c r="AB610" s="1415">
        <v>2</v>
      </c>
      <c r="AD610" s="960"/>
      <c r="AE610" s="961"/>
      <c r="AF610" s="960"/>
      <c r="AG610" s="961"/>
      <c r="AH610" s="960"/>
      <c r="AI610" s="961"/>
      <c r="AK610" s="10"/>
      <c r="AL610" s="10"/>
      <c r="AM610" s="10"/>
      <c r="AN610" s="975">
        <f>IF($K610=TRUE,H610,0)</f>
        <v>0</v>
      </c>
      <c r="AO610" s="975">
        <f>IF($R610=TRUE,H610,0)</f>
        <v>0</v>
      </c>
      <c r="AP610" s="975">
        <f>IF($U610=TRUE,H610,0)</f>
        <v>14</v>
      </c>
      <c r="AQ610" s="1806">
        <f>IF(I610=11,0,G610*I610)</f>
        <v>0</v>
      </c>
      <c r="AR610" s="1806">
        <f>IF(J610=11,0,G610*J610)</f>
        <v>0</v>
      </c>
      <c r="AS610" s="1806">
        <f>IF(P610=11,0,G610*P610)</f>
        <v>0</v>
      </c>
      <c r="AT610" s="1806">
        <f>IF(Q610=11,0,G610*Q610)</f>
        <v>0</v>
      </c>
      <c r="AU610" s="1806">
        <f>IF(S610=11,0,S610*G610)</f>
        <v>14</v>
      </c>
      <c r="AV610" s="1806">
        <f>IF(T610=11,0,T610*G610)</f>
        <v>20</v>
      </c>
    </row>
    <row r="611" spans="2:48" ht="32" customHeight="1" thickBot="1" x14ac:dyDescent="0.25">
      <c r="B611" s="2030"/>
      <c r="C611" s="964"/>
      <c r="D611" s="972"/>
      <c r="E611" s="965"/>
      <c r="F611" s="973"/>
      <c r="G611" s="973"/>
      <c r="H611" s="973">
        <f>F611*G611</f>
        <v>0</v>
      </c>
      <c r="I611" s="1647">
        <v>11</v>
      </c>
      <c r="J611" s="1648">
        <v>11</v>
      </c>
      <c r="K611" s="45" t="b">
        <f>IF(AND(F611&gt;=I611,F611&lt;=J611),TRUE,FALSE)</f>
        <v>0</v>
      </c>
      <c r="L611" s="32"/>
      <c r="M611" s="32"/>
      <c r="N611" s="32"/>
      <c r="O611" s="1632"/>
      <c r="P611" s="1647">
        <v>11</v>
      </c>
      <c r="Q611" s="1648">
        <v>11</v>
      </c>
      <c r="R611" s="1623" t="b">
        <f>IF(AND(F611&gt;=P611,F611&lt;=Q611),TRUE,FALSE)</f>
        <v>0</v>
      </c>
      <c r="S611" s="1647">
        <v>11</v>
      </c>
      <c r="T611" s="1648">
        <v>11</v>
      </c>
      <c r="U611" s="1623" t="b">
        <f>IF(AND(F611&gt;=S611,F611&lt;=T611),TRUE,FALSE)</f>
        <v>0</v>
      </c>
      <c r="W611" s="1434"/>
      <c r="X611" s="1437">
        <v>11</v>
      </c>
      <c r="Y611" s="1441"/>
      <c r="Z611" s="1440">
        <v>11</v>
      </c>
      <c r="AA611" s="1441"/>
      <c r="AB611" s="1442">
        <v>11</v>
      </c>
      <c r="AD611" s="960"/>
      <c r="AE611" s="961"/>
      <c r="AF611" s="960"/>
      <c r="AG611" s="961"/>
      <c r="AH611" s="960"/>
      <c r="AI611" s="961"/>
      <c r="AK611" s="10"/>
      <c r="AL611" s="10"/>
      <c r="AM611" s="10"/>
      <c r="AN611" s="975">
        <f>IF($K611=TRUE,H611,0)</f>
        <v>0</v>
      </c>
      <c r="AO611" s="975">
        <f>IF($R611=TRUE,H611,0)</f>
        <v>0</v>
      </c>
      <c r="AP611" s="975">
        <f>IF($U611=TRUE,H611,0)</f>
        <v>0</v>
      </c>
      <c r="AQ611" s="1806">
        <f>IF(I611=11,0,G611*I611)</f>
        <v>0</v>
      </c>
      <c r="AR611" s="1806">
        <f>IF(J611=11,0,G611*J611)</f>
        <v>0</v>
      </c>
      <c r="AS611" s="1806">
        <f>IF(P611=11,0,G611*P611)</f>
        <v>0</v>
      </c>
      <c r="AT611" s="1806">
        <f>IF(Q611=11,0,G611*Q611)</f>
        <v>0</v>
      </c>
      <c r="AU611" s="1806">
        <f>IF(S611=11,0,S611*G611)</f>
        <v>0</v>
      </c>
      <c r="AV611" s="1806">
        <f>IF(T611=11,0,T611*G611)</f>
        <v>0</v>
      </c>
    </row>
    <row r="612" spans="2:48" ht="32" customHeight="1" thickBot="1" x14ac:dyDescent="0.35">
      <c r="B612" s="2030"/>
      <c r="E612" s="814"/>
      <c r="F612" s="96"/>
      <c r="G612" s="96"/>
      <c r="H612" s="47">
        <f>IF(AND(K610=TRUE,K611=FALSE),H610,IF(AND(K610=FALSE,K611=TRUE),H611,MAX(H610,H611)))</f>
        <v>14</v>
      </c>
      <c r="I612" s="1644"/>
      <c r="J612" s="1645"/>
      <c r="K612" s="1651" t="b">
        <f>IF(AND(K610=FALSE,K611=FALSE),FALSE,TRUE)</f>
        <v>0</v>
      </c>
      <c r="L612" s="1633"/>
      <c r="M612" s="1634"/>
      <c r="N612" s="1634"/>
      <c r="O612" s="1635"/>
      <c r="P612" s="1644"/>
      <c r="Q612" s="1645"/>
      <c r="R612" s="1651" t="b">
        <f>IF(AND(R610=FALSE,R611=FALSE),FALSE,TRUE)</f>
        <v>0</v>
      </c>
      <c r="S612" s="1656"/>
      <c r="T612" s="1657"/>
      <c r="U612" s="1658" t="b">
        <f>IF(AND(U610=FALSE,U611=FALSE),FALSE,TRUE)</f>
        <v>1</v>
      </c>
      <c r="V612" s="96"/>
      <c r="AD612" s="1564" t="str">
        <f>IF(K612=TRUE,"V","F")</f>
        <v>F</v>
      </c>
      <c r="AE612" s="1565"/>
      <c r="AF612" s="1564" t="str">
        <f>IF(R612=TRUE,"V","F")</f>
        <v>F</v>
      </c>
      <c r="AG612" s="1565"/>
      <c r="AH612" s="1564" t="str">
        <f>IF(U612=TRUE,"V","F")</f>
        <v>V</v>
      </c>
      <c r="AI612" s="1565"/>
      <c r="AK612" s="10"/>
      <c r="AL612" s="10"/>
      <c r="AM612" s="10"/>
      <c r="AN612" s="2102">
        <f>IF(AND($K610=TRUE,$K611=FALSE),AN610,IF(AND($K610=FALSE,$K611=TRUE),AN611,MAX(AN610,AN611)))</f>
        <v>0</v>
      </c>
      <c r="AO612" s="2102">
        <f>IF(AND($R610=TRUE,$R611=FALSE),AO610,IF(AND($R610=FALSE,$R611=TRUE),AO611,MAX(AO610,AO611)))</f>
        <v>0</v>
      </c>
      <c r="AP612" s="2102">
        <f>IF(AND($U610=TRUE,$U611=FALSE),AP610,IF(AND($U610=FALSE,$U611=TRUE),AP611,MAX(AP610,AP611)))</f>
        <v>14</v>
      </c>
      <c r="AQ612" s="2102">
        <f>IF(AND($K610=TRUE,$K611=FALSE),AQ610,IF(AND($K610=FALSE,$K611=TRUE),AQ611,MAX(AQ610,AQ611)))</f>
        <v>0</v>
      </c>
      <c r="AR612" s="2102">
        <f>IF(AND($K610=TRUE,$K611=FALSE),AR610,IF(AND($K610=FALSE,$K611=TRUE),AR611,MAX(AR610,AR611)))</f>
        <v>0</v>
      </c>
      <c r="AS612" s="2102">
        <f>IF(AND($R610=TRUE,$R611=FALSE),AS610,IF(AND($R610=FALSE,$R611=TRUE),AS611,MAX(AS610,AS611)))</f>
        <v>0</v>
      </c>
      <c r="AT612" s="2102">
        <f>IF(AND($R610=TRUE,$R611=FALSE),AT610,IF(AND($R610=FALSE,$R611=TRUE),AT611,MAX(AT610,AT611)))</f>
        <v>0</v>
      </c>
      <c r="AU612" s="2102">
        <f>IF(AND($U610=TRUE,$U611=FALSE),AU610,IF(AND($U610=FALSE,$U611=TRUE),AU611,MAX(AU610,AU611)))</f>
        <v>14</v>
      </c>
      <c r="AV612" s="2102">
        <f>IF(AND($U610=TRUE,$U611=FALSE),AV610,IF(AND($U610=FALSE,$U611=TRUE),AV611,MAX(AV610,AV611)))</f>
        <v>20</v>
      </c>
    </row>
    <row r="613" spans="2:48" ht="32" customHeight="1" x14ac:dyDescent="0.25">
      <c r="B613" s="2030"/>
      <c r="AD613" s="1649"/>
      <c r="AE613" s="1650">
        <f>IF(AND(AD612="V",AD604="V"),AE608-1,AE608)</f>
        <v>0</v>
      </c>
      <c r="AF613" s="1649"/>
      <c r="AG613" s="1650">
        <f>IF(OR(AF604="V",AF607="V",AF612="V"),1,0)</f>
        <v>0</v>
      </c>
      <c r="AH613" s="1649"/>
      <c r="AI613" s="1650">
        <f>IF(AH604="V",1,IF(AH612="V",1,0))</f>
        <v>1</v>
      </c>
      <c r="AK613" s="10"/>
      <c r="AL613" s="10"/>
      <c r="AM613" s="10">
        <v>1</v>
      </c>
      <c r="AN613" s="2101">
        <f>IF($AD612="F",AN608,AN608+AN612)</f>
        <v>0</v>
      </c>
      <c r="AO613" s="2101">
        <f>IF($AF612="F",AO608,AO608+AO612)</f>
        <v>0</v>
      </c>
      <c r="AP613" s="2101">
        <f>IF(AND($AH604="V",$AH612="F"),AP604,IF(AND($AH604="F",$AH612="V"),AP612,IF(AND($AH604="V",$AH612="V"),AP604+AP612,0)))</f>
        <v>14</v>
      </c>
      <c r="AQ613" s="2101">
        <f>IF($AD612="F",AQ608,AQ608+AQ612)</f>
        <v>0</v>
      </c>
      <c r="AR613" s="2101">
        <f t="shared" ref="AR613" si="606">IF($AD612="F",AR608,AR608+AR612)</f>
        <v>0</v>
      </c>
      <c r="AS613" s="2101">
        <f t="shared" ref="AS613" si="607">IF($AF612="F",AS608,AS608+AS612)</f>
        <v>0</v>
      </c>
      <c r="AT613" s="2101">
        <f t="shared" ref="AT613" si="608">IF($AF612="F",AT608,AT608+AT612)</f>
        <v>0</v>
      </c>
      <c r="AU613" s="2101">
        <f t="shared" ref="AU613" si="609">IF(AND($AH604="V",$AH612="F"),AU604,IF(AND($AH604="F",$AH612="V"),AU612,IF(AND($AH604="V",$AH612="V"),AU604+AU612,0)))</f>
        <v>14</v>
      </c>
      <c r="AV613" s="2101">
        <f t="shared" ref="AV613" si="610">IF(AND($AH604="V",$AH612="F"),AV604,IF(AND($AH604="F",$AH612="V"),AV612,IF(AND($AH604="V",$AH612="V"),AV604+AV612,0)))</f>
        <v>20</v>
      </c>
    </row>
    <row r="614" spans="2:48" ht="32" customHeight="1" x14ac:dyDescent="0.2">
      <c r="B614" s="2030"/>
      <c r="AD614" s="1668"/>
      <c r="AE614" s="1669"/>
      <c r="AF614" s="1409"/>
      <c r="AK614" s="10"/>
      <c r="AL614" s="10"/>
      <c r="AM614" s="10"/>
    </row>
    <row r="615" spans="2:48" ht="32" customHeight="1" x14ac:dyDescent="0.3">
      <c r="E615" s="108" t="s">
        <v>305</v>
      </c>
      <c r="F615" s="2265" t="s">
        <v>260</v>
      </c>
      <c r="G615" s="2265"/>
      <c r="H615" s="2265"/>
      <c r="I615" s="2265"/>
      <c r="J615" s="2265"/>
      <c r="K615" s="783"/>
      <c r="L615" s="2266"/>
      <c r="M615" s="2266"/>
      <c r="N615" s="2266"/>
      <c r="O615" s="783"/>
      <c r="P615" s="783"/>
      <c r="Q615" s="783"/>
      <c r="R615" s="783"/>
      <c r="S615" s="783"/>
      <c r="T615" s="783"/>
      <c r="U615" s="783"/>
      <c r="V615" s="96"/>
      <c r="W615" s="96"/>
      <c r="AK615" s="10"/>
      <c r="AL615" s="10"/>
      <c r="AM615" s="10"/>
    </row>
    <row r="616" spans="2:48" ht="32" customHeight="1" x14ac:dyDescent="0.3">
      <c r="B616" s="2029">
        <v>5</v>
      </c>
      <c r="D616" s="476" t="str">
        <f>'Cpts miroirs des parents'!B19</f>
        <v>Respect de l'ordonnance de garde</v>
      </c>
      <c r="E616" s="107"/>
      <c r="F616" s="65"/>
      <c r="G616" s="18"/>
      <c r="H616" s="18"/>
      <c r="I616" s="2255" t="s">
        <v>734</v>
      </c>
      <c r="J616" s="2256"/>
      <c r="K616" s="2256"/>
      <c r="L616" s="2257" t="s">
        <v>1378</v>
      </c>
      <c r="M616" s="2257"/>
      <c r="N616" s="2257"/>
      <c r="O616" s="2258"/>
      <c r="P616" s="2259" t="s">
        <v>733</v>
      </c>
      <c r="Q616" s="2260"/>
      <c r="R616" s="2261"/>
      <c r="S616" s="2262" t="s">
        <v>735</v>
      </c>
      <c r="T616" s="2263"/>
      <c r="U616" s="2264"/>
      <c r="V616" s="15"/>
      <c r="W616" s="15"/>
      <c r="AD616" s="956"/>
      <c r="AE616" s="956"/>
      <c r="AF616" s="956"/>
      <c r="AG616" s="956"/>
      <c r="AH616" s="956"/>
      <c r="AI616" s="957"/>
      <c r="AK616" s="10"/>
      <c r="AL616" s="10"/>
      <c r="AM616" s="10"/>
      <c r="AN616" s="1659" t="s">
        <v>734</v>
      </c>
      <c r="AO616" s="1659" t="s">
        <v>733</v>
      </c>
      <c r="AP616" s="1659" t="s">
        <v>735</v>
      </c>
      <c r="AQ616" s="2254" t="s">
        <v>734</v>
      </c>
      <c r="AR616" s="2254"/>
      <c r="AS616" s="2254" t="s">
        <v>733</v>
      </c>
      <c r="AT616" s="2254"/>
      <c r="AU616" s="2254" t="s">
        <v>735</v>
      </c>
      <c r="AV616" s="2254"/>
    </row>
    <row r="617" spans="2:48" ht="32" customHeight="1" x14ac:dyDescent="0.2">
      <c r="B617" s="2030"/>
      <c r="D617" s="102" t="s">
        <v>998</v>
      </c>
      <c r="E617" s="983"/>
      <c r="F617" s="32" t="s">
        <v>748</v>
      </c>
      <c r="G617" s="32" t="s">
        <v>749</v>
      </c>
      <c r="H617" s="32" t="s">
        <v>750</v>
      </c>
      <c r="I617" s="1620" t="s">
        <v>306</v>
      </c>
      <c r="J617" s="43" t="s">
        <v>307</v>
      </c>
      <c r="K617" s="43" t="s">
        <v>308</v>
      </c>
      <c r="L617" s="43" t="s">
        <v>413</v>
      </c>
      <c r="M617" s="43" t="s">
        <v>388</v>
      </c>
      <c r="N617" s="43" t="s">
        <v>389</v>
      </c>
      <c r="O617" s="1621" t="s">
        <v>390</v>
      </c>
      <c r="P617" s="1620" t="s">
        <v>306</v>
      </c>
      <c r="Q617" s="43" t="s">
        <v>307</v>
      </c>
      <c r="R617" s="1621" t="s">
        <v>308</v>
      </c>
      <c r="S617" s="1620" t="s">
        <v>306</v>
      </c>
      <c r="T617" s="43" t="s">
        <v>307</v>
      </c>
      <c r="U617" s="1621" t="s">
        <v>308</v>
      </c>
      <c r="V617" s="818"/>
      <c r="W617" s="955" t="s">
        <v>928</v>
      </c>
      <c r="X617" s="1391" t="s">
        <v>734</v>
      </c>
      <c r="Y617" s="955" t="s">
        <v>928</v>
      </c>
      <c r="Z617" s="1395" t="s">
        <v>733</v>
      </c>
      <c r="AA617" s="955"/>
      <c r="AB617" s="1399" t="s">
        <v>735</v>
      </c>
      <c r="AD617" s="970" t="s">
        <v>734</v>
      </c>
      <c r="AE617" s="971" t="s">
        <v>946</v>
      </c>
      <c r="AF617" s="970" t="s">
        <v>733</v>
      </c>
      <c r="AG617" s="971" t="s">
        <v>947</v>
      </c>
      <c r="AH617" s="970" t="s">
        <v>735</v>
      </c>
      <c r="AI617" s="971" t="s">
        <v>948</v>
      </c>
      <c r="AK617" s="10"/>
      <c r="AL617" s="10"/>
      <c r="AM617" s="10"/>
      <c r="AN617" s="10"/>
      <c r="AO617" s="10"/>
      <c r="AP617" s="10"/>
      <c r="AQ617" s="1806" t="s">
        <v>1322</v>
      </c>
      <c r="AR617" s="1806" t="s">
        <v>1323</v>
      </c>
      <c r="AS617" s="1806" t="s">
        <v>1322</v>
      </c>
      <c r="AT617" s="1806" t="s">
        <v>1323</v>
      </c>
      <c r="AU617" s="1806" t="s">
        <v>1322</v>
      </c>
      <c r="AV617" s="1806" t="s">
        <v>1323</v>
      </c>
    </row>
    <row r="618" spans="2:48" ht="32" customHeight="1" x14ac:dyDescent="0.2">
      <c r="B618" s="2030" t="str">
        <f>'Cpts miroirs des parents'!E19</f>
        <v>E: Interférence temps et/ou communication</v>
      </c>
      <c r="C618" s="414" t="str">
        <f>Test_Bible!A56</f>
        <v>B11a1</v>
      </c>
      <c r="D618" s="767" t="str">
        <f>Test_Bible!B56</f>
        <v xml:space="preserve"> </v>
      </c>
      <c r="E618" s="101"/>
      <c r="F618" s="790">
        <f>Test_Bible!P56</f>
        <v>0</v>
      </c>
      <c r="G618" s="789">
        <f>Test_Bible!D56</f>
        <v>2</v>
      </c>
      <c r="H618" s="790">
        <f>F618*G618</f>
        <v>0</v>
      </c>
      <c r="I618" s="1622">
        <v>7</v>
      </c>
      <c r="J618" s="1615">
        <v>10</v>
      </c>
      <c r="K618" s="45" t="b">
        <f>IF(AND(F618&gt;=I618,F618&lt;=J618),TRUE,FALSE)</f>
        <v>0</v>
      </c>
      <c r="L618" s="45"/>
      <c r="M618" s="45"/>
      <c r="N618" s="45"/>
      <c r="O618" s="1623"/>
      <c r="P618" s="1647">
        <v>11</v>
      </c>
      <c r="Q618" s="1648">
        <v>11</v>
      </c>
      <c r="R618" s="1623" t="b">
        <f>IF(AND(F618&gt;=P618,F618&lt;=Q618),TRUE,FALSE)</f>
        <v>0</v>
      </c>
      <c r="S618" s="1622">
        <v>4</v>
      </c>
      <c r="T618" s="1615">
        <v>10</v>
      </c>
      <c r="U618" s="1623" t="b">
        <f>IF(AND(F618&gt;=S618,F618&lt;=T618),TRUE,FALSE)</f>
        <v>0</v>
      </c>
      <c r="V618" s="931"/>
      <c r="W618" s="1403"/>
      <c r="X618" s="1404">
        <v>4</v>
      </c>
      <c r="Y618" s="1405"/>
      <c r="Z618" s="1446">
        <v>11</v>
      </c>
      <c r="AA618" s="1405"/>
      <c r="AB618" s="1415">
        <v>2</v>
      </c>
      <c r="AD618" s="958"/>
      <c r="AE618" s="959"/>
      <c r="AF618" s="958"/>
      <c r="AG618" s="959"/>
      <c r="AH618" s="958"/>
      <c r="AI618" s="959"/>
      <c r="AK618" s="10"/>
      <c r="AL618" s="10"/>
      <c r="AM618" s="10"/>
      <c r="AN618" s="975">
        <f>IF($K618=TRUE,H618,0)</f>
        <v>0</v>
      </c>
      <c r="AO618" s="975">
        <f>IF($R618=TRUE,H618,0)</f>
        <v>0</v>
      </c>
      <c r="AP618" s="975">
        <f>IF($U618=TRUE,H618,0)</f>
        <v>0</v>
      </c>
      <c r="AQ618" s="1806">
        <f>IF(I618=11,0,G618*I618)</f>
        <v>14</v>
      </c>
      <c r="AR618" s="1806">
        <f>IF(J618=11,0,G618*J618)</f>
        <v>20</v>
      </c>
      <c r="AS618" s="1806">
        <f>IF(P618=11,0,G618*P618)</f>
        <v>0</v>
      </c>
      <c r="AT618" s="1806">
        <f>IF(Q618=11,0,G618*Q618)</f>
        <v>0</v>
      </c>
      <c r="AU618" s="1806">
        <f>IF(S618=11,0,S618*G618)</f>
        <v>8</v>
      </c>
      <c r="AV618" s="1806">
        <f>IF(T618=11,0,T618*G618)</f>
        <v>20</v>
      </c>
    </row>
    <row r="619" spans="2:48" ht="32" customHeight="1" x14ac:dyDescent="0.2">
      <c r="B619" s="2030"/>
      <c r="C619" s="414"/>
      <c r="D619" s="26"/>
      <c r="E619" s="101"/>
      <c r="F619" s="790"/>
      <c r="G619" s="789"/>
      <c r="H619" s="790">
        <f>F619*G619</f>
        <v>0</v>
      </c>
      <c r="I619" s="1647">
        <v>11</v>
      </c>
      <c r="J619" s="1648">
        <v>11</v>
      </c>
      <c r="K619" s="45" t="b">
        <f>IF(AND(F619&gt;=I619,F619&lt;=J619),TRUE,FALSE)</f>
        <v>0</v>
      </c>
      <c r="L619" s="45"/>
      <c r="M619" s="45"/>
      <c r="N619" s="45"/>
      <c r="O619" s="1623"/>
      <c r="P619" s="1647">
        <v>11</v>
      </c>
      <c r="Q619" s="1648">
        <v>11</v>
      </c>
      <c r="R619" s="1623" t="b">
        <f>IF(AND(F619&gt;=P619,F619&lt;=Q619),TRUE,FALSE)</f>
        <v>0</v>
      </c>
      <c r="S619" s="1647">
        <v>11</v>
      </c>
      <c r="T619" s="1648">
        <v>11</v>
      </c>
      <c r="U619" s="1623" t="b">
        <f>IF(AND(F619&gt;=S619,F619&lt;=T619),TRUE,FALSE)</f>
        <v>0</v>
      </c>
      <c r="V619" s="931"/>
      <c r="W619" s="1406" t="s">
        <v>943</v>
      </c>
      <c r="X619" s="1437">
        <v>11</v>
      </c>
      <c r="Y619" s="1441"/>
      <c r="Z619" s="1440">
        <v>11</v>
      </c>
      <c r="AA619" s="1441"/>
      <c r="AB619" s="1442">
        <v>11</v>
      </c>
      <c r="AD619" s="960"/>
      <c r="AE619" s="961"/>
      <c r="AF619" s="960"/>
      <c r="AG619" s="961"/>
      <c r="AH619" s="960"/>
      <c r="AI619" s="961"/>
      <c r="AK619" s="10"/>
      <c r="AL619" s="10"/>
      <c r="AM619" s="10"/>
      <c r="AN619" s="975">
        <f>IF($K619=TRUE,H619,0)</f>
        <v>0</v>
      </c>
      <c r="AO619" s="975">
        <f>IF($R619=TRUE,H619,0)</f>
        <v>0</v>
      </c>
      <c r="AP619" s="975">
        <f>IF($U619=TRUE,H619,0)</f>
        <v>0</v>
      </c>
      <c r="AQ619" s="1806">
        <f>IF(I619=11,0,G619*I619)</f>
        <v>0</v>
      </c>
      <c r="AR619" s="1806">
        <f>IF(J619=11,0,G619*J619)</f>
        <v>0</v>
      </c>
      <c r="AS619" s="1806">
        <f>IF(P619=11,0,G619*P619)</f>
        <v>0</v>
      </c>
      <c r="AT619" s="1806">
        <f>IF(Q619=11,0,G619*Q619)</f>
        <v>0</v>
      </c>
      <c r="AU619" s="1806">
        <f>IF(S619=11,0,S619*G619)</f>
        <v>0</v>
      </c>
      <c r="AV619" s="1806">
        <f>IF(T619=11,0,T619*G619)</f>
        <v>0</v>
      </c>
    </row>
    <row r="620" spans="2:48" ht="32" customHeight="1" x14ac:dyDescent="0.2">
      <c r="B620" s="2030"/>
      <c r="C620" s="792" t="s">
        <v>745</v>
      </c>
      <c r="D620" s="793" t="str">
        <f>_xlfn.XLOOKUP(H620,H618:H619,D618:D619)</f>
        <v xml:space="preserve"> </v>
      </c>
      <c r="E620" s="794"/>
      <c r="F620" s="795"/>
      <c r="G620" s="795"/>
      <c r="H620" s="795">
        <f>IF(AND(K618=TRUE,K619=FALSE),H618,IF(AND(K618=FALSE,K619=TRUE),H619,MAX(H618,H619)))</f>
        <v>0</v>
      </c>
      <c r="I620" s="1624"/>
      <c r="J620" s="796"/>
      <c r="K620" s="797" t="b">
        <f>IF(AND(K618=FALSE,K619=FALSE),FALSE,TRUE)</f>
        <v>0</v>
      </c>
      <c r="L620" s="45"/>
      <c r="M620" s="45"/>
      <c r="N620" s="45"/>
      <c r="O620" s="1623"/>
      <c r="P620" s="1624"/>
      <c r="Q620" s="796"/>
      <c r="R620" s="1637" t="b">
        <f>IF(AND(R618=FALSE,R619=FALSE),FALSE,TRUE)</f>
        <v>0</v>
      </c>
      <c r="S620" s="1624"/>
      <c r="T620" s="796"/>
      <c r="U620" s="1637" t="b">
        <f>IF(AND(U618=FALSE,U619=FALSE),FALSE,TRUE)</f>
        <v>0</v>
      </c>
      <c r="V620" s="931"/>
      <c r="W620" s="931" t="s">
        <v>943</v>
      </c>
      <c r="X620" s="1392"/>
      <c r="Y620" s="8"/>
      <c r="Z620" s="1397"/>
      <c r="AA620" s="8"/>
      <c r="AB620" s="1400"/>
      <c r="AD620" s="960"/>
      <c r="AE620" s="961"/>
      <c r="AF620" s="960"/>
      <c r="AG620" s="961"/>
      <c r="AH620" s="960"/>
      <c r="AI620" s="961"/>
      <c r="AK620" s="10"/>
      <c r="AL620" s="10"/>
      <c r="AM620" s="10"/>
      <c r="AN620" s="2100">
        <f>IF($K620=TRUE,MAX(AN618:AN619),0)</f>
        <v>0</v>
      </c>
      <c r="AO620" s="2100">
        <f>IF($R620=TRUE,MAX(AO618:AO619),0)</f>
        <v>0</v>
      </c>
      <c r="AP620" s="2100">
        <f>IF($U620=TRUE,MAX(AP618:AP619),0)</f>
        <v>0</v>
      </c>
      <c r="AQ620" s="2099">
        <f>MAX(AQ618:AQ619)</f>
        <v>14</v>
      </c>
      <c r="AR620" s="2099">
        <f t="shared" ref="AR620" si="611">MAX(AR618:AR619)</f>
        <v>20</v>
      </c>
      <c r="AS620" s="2099">
        <f t="shared" ref="AS620" si="612">MAX(AS618:AS619)</f>
        <v>0</v>
      </c>
      <c r="AT620" s="2099">
        <f t="shared" ref="AT620" si="613">MAX(AT618:AT619)</f>
        <v>0</v>
      </c>
      <c r="AU620" s="2099">
        <f t="shared" ref="AU620" si="614">MAX(AU618:AU619)</f>
        <v>8</v>
      </c>
      <c r="AV620" s="2099">
        <f t="shared" ref="AV620" si="615">MAX(AV618:AV619)</f>
        <v>20</v>
      </c>
    </row>
    <row r="621" spans="2:48" ht="32" customHeight="1" x14ac:dyDescent="0.2">
      <c r="B621" s="2030"/>
      <c r="C621" s="52"/>
      <c r="D621" s="26"/>
      <c r="E621" s="101"/>
      <c r="F621" s="790"/>
      <c r="G621" s="789"/>
      <c r="H621" s="790">
        <f>F621*G621</f>
        <v>0</v>
      </c>
      <c r="I621" s="1647">
        <v>11</v>
      </c>
      <c r="J621" s="1648">
        <v>11</v>
      </c>
      <c r="K621" s="45" t="b">
        <f>IF(AND(F621&gt;=I621,F621&lt;=J621),TRUE,FALSE)</f>
        <v>0</v>
      </c>
      <c r="L621" s="45"/>
      <c r="M621" s="45"/>
      <c r="N621" s="45"/>
      <c r="O621" s="1623"/>
      <c r="P621" s="1647">
        <v>11</v>
      </c>
      <c r="Q621" s="1648">
        <v>11</v>
      </c>
      <c r="R621" s="1623" t="b">
        <f>IF(AND(F621&gt;=P621,F621&lt;=Q621),TRUE,FALSE)</f>
        <v>0</v>
      </c>
      <c r="S621" s="1647">
        <v>11</v>
      </c>
      <c r="T621" s="1648">
        <v>11</v>
      </c>
      <c r="U621" s="1623" t="b">
        <f>IF(AND(F621&gt;=S621,F621&lt;=T621),TRUE,FALSE)</f>
        <v>0</v>
      </c>
      <c r="V621" s="931"/>
      <c r="W621" s="1403"/>
      <c r="X621" s="1436">
        <v>11</v>
      </c>
      <c r="Y621" s="1447"/>
      <c r="Z621" s="1446">
        <v>11</v>
      </c>
      <c r="AA621" s="1447"/>
      <c r="AB621" s="1448">
        <v>11</v>
      </c>
      <c r="AD621" s="960"/>
      <c r="AE621" s="961"/>
      <c r="AF621" s="960"/>
      <c r="AG621" s="961"/>
      <c r="AH621" s="960"/>
      <c r="AI621" s="961"/>
      <c r="AK621" s="10"/>
      <c r="AL621" s="10"/>
      <c r="AM621" s="10"/>
      <c r="AN621" s="975">
        <f>IF(K621=TRUE,H621,0)</f>
        <v>0</v>
      </c>
      <c r="AO621" s="975">
        <f>IF(R621=TRUE,H621,0)</f>
        <v>0</v>
      </c>
      <c r="AP621" s="975">
        <f>IF(U621=TRUE,H621,0)</f>
        <v>0</v>
      </c>
      <c r="AQ621" s="1806">
        <f>IF(I621=11,0,G621*I621)</f>
        <v>0</v>
      </c>
      <c r="AR621" s="1806">
        <f>IF(J621=11,0,G621*J621)</f>
        <v>0</v>
      </c>
      <c r="AS621" s="1806">
        <f>IF(P621=11,0,G621*P621)</f>
        <v>0</v>
      </c>
      <c r="AT621" s="1806">
        <f>IF(Q621=11,0,G621*Q621)</f>
        <v>0</v>
      </c>
      <c r="AU621" s="1806">
        <f>IF(S621=11,0,S621*G621)</f>
        <v>0</v>
      </c>
      <c r="AV621" s="1806">
        <f>IF(T621=11,0,T621*G621)</f>
        <v>0</v>
      </c>
    </row>
    <row r="622" spans="2:48" ht="32" customHeight="1" x14ac:dyDescent="0.2">
      <c r="B622" s="2030"/>
      <c r="C622" s="52"/>
      <c r="D622" s="26"/>
      <c r="E622" s="62"/>
      <c r="F622" s="35"/>
      <c r="G622" s="35"/>
      <c r="H622" s="35">
        <f>F622*G622</f>
        <v>0</v>
      </c>
      <c r="I622" s="1647">
        <v>11</v>
      </c>
      <c r="J622" s="1648">
        <v>11</v>
      </c>
      <c r="K622" s="45" t="b">
        <f>IF(AND(F622&gt;=I622,F622&lt;=J622),TRUE,FALSE)</f>
        <v>0</v>
      </c>
      <c r="L622" s="45"/>
      <c r="M622" s="45"/>
      <c r="N622" s="45"/>
      <c r="O622" s="1623"/>
      <c r="P622" s="1647">
        <v>11</v>
      </c>
      <c r="Q622" s="1648">
        <v>11</v>
      </c>
      <c r="R622" s="1623" t="b">
        <f>IF(AND(F622&gt;=P622,F622&lt;=Q622),TRUE,FALSE)</f>
        <v>0</v>
      </c>
      <c r="S622" s="1647">
        <v>11</v>
      </c>
      <c r="T622" s="1648">
        <v>11</v>
      </c>
      <c r="U622" s="1623" t="b">
        <f>IF(AND(F622&gt;=S622,F622&lt;=T622),TRUE,FALSE)</f>
        <v>0</v>
      </c>
      <c r="V622" s="931"/>
      <c r="W622" s="1406" t="s">
        <v>943</v>
      </c>
      <c r="X622" s="1437">
        <v>11</v>
      </c>
      <c r="Y622" s="1441"/>
      <c r="Z622" s="1440">
        <v>11</v>
      </c>
      <c r="AA622" s="1441"/>
      <c r="AB622" s="1442">
        <v>11</v>
      </c>
      <c r="AD622" s="960"/>
      <c r="AE622" s="961"/>
      <c r="AF622" s="960"/>
      <c r="AG622" s="961"/>
      <c r="AH622" s="960"/>
      <c r="AI622" s="961"/>
      <c r="AK622" s="10"/>
      <c r="AL622" s="10"/>
      <c r="AM622" s="10"/>
      <c r="AN622" s="975">
        <f>IF(K622=TRUE,H622,0)</f>
        <v>0</v>
      </c>
      <c r="AO622" s="975">
        <f>IF(R622=TRUE,H622,0)</f>
        <v>0</v>
      </c>
      <c r="AP622" s="975">
        <f>IF(U622=TRUE,H622,0)</f>
        <v>0</v>
      </c>
      <c r="AQ622" s="1806">
        <f>IF(I622=11,0,G622*I622)</f>
        <v>0</v>
      </c>
      <c r="AR622" s="1806">
        <f>IF(J622=11,0,G622*J622)</f>
        <v>0</v>
      </c>
      <c r="AS622" s="1806">
        <f>IF(P622=11,0,G622*P622)</f>
        <v>0</v>
      </c>
      <c r="AT622" s="1806">
        <f>IF(Q622=11,0,G622*Q622)</f>
        <v>0</v>
      </c>
      <c r="AU622" s="1806">
        <f>IF(S622=11,0,S622*G622)</f>
        <v>0</v>
      </c>
      <c r="AV622" s="1806">
        <f>IF(T622=11,0,T622*G622)</f>
        <v>0</v>
      </c>
    </row>
    <row r="623" spans="2:48" ht="32" customHeight="1" thickBot="1" x14ac:dyDescent="0.25">
      <c r="B623" s="2030"/>
      <c r="C623" s="798" t="s">
        <v>746</v>
      </c>
      <c r="D623" s="799">
        <f>_xlfn.XLOOKUP(H623,H621:H622,D621:D622)</f>
        <v>0</v>
      </c>
      <c r="E623" s="800"/>
      <c r="F623" s="801"/>
      <c r="G623" s="801"/>
      <c r="H623" s="795">
        <f>IF(AND(K621=TRUE,K622=FALSE),H621,IF(AND(K621=FALSE,K622=TRUE),H622,MAX(H621,H622)))</f>
        <v>0</v>
      </c>
      <c r="I623" s="1625"/>
      <c r="J623" s="802"/>
      <c r="K623" s="803" t="b">
        <f>IF(AND(K621=FALSE,K622=FALSE),FALSE,TRUE)</f>
        <v>0</v>
      </c>
      <c r="L623" s="45"/>
      <c r="M623" s="45"/>
      <c r="N623" s="45"/>
      <c r="O623" s="1623"/>
      <c r="P623" s="1625"/>
      <c r="Q623" s="802"/>
      <c r="R623" s="1638" t="b">
        <f>IF(AND(R621=FALSE,R622=FALSE),FALSE,TRUE)</f>
        <v>0</v>
      </c>
      <c r="S623" s="1625"/>
      <c r="T623" s="802"/>
      <c r="U623" s="1638" t="b">
        <f>IF(AND(U621=FALSE,U622=FALSE),FALSE,TRUE)</f>
        <v>0</v>
      </c>
      <c r="V623" s="931"/>
      <c r="W623" s="931"/>
      <c r="X623" s="1438"/>
      <c r="Y623" s="1444"/>
      <c r="Z623" s="1443"/>
      <c r="AA623" s="1444"/>
      <c r="AB623" s="1445"/>
      <c r="AD623" s="960"/>
      <c r="AE623" s="961"/>
      <c r="AF623" s="960"/>
      <c r="AG623" s="961"/>
      <c r="AH623" s="960"/>
      <c r="AI623" s="961"/>
      <c r="AK623" s="10"/>
      <c r="AL623" s="10"/>
      <c r="AM623" s="10"/>
      <c r="AN623" s="2100">
        <f>IF($K623=TRUE,MAX(AN621:AN622),0)</f>
        <v>0</v>
      </c>
      <c r="AO623" s="2100">
        <f>IF($R623=TRUE,MAX(AO621:AO622),0)</f>
        <v>0</v>
      </c>
      <c r="AP623" s="2100">
        <f>IF($U623=TRUE,MAX(AP621:AP622),0)</f>
        <v>0</v>
      </c>
      <c r="AQ623" s="2099">
        <f>MAX(AQ621:AQ622)</f>
        <v>0</v>
      </c>
      <c r="AR623" s="2099">
        <f t="shared" ref="AR623" si="616">MAX(AR621:AR622)</f>
        <v>0</v>
      </c>
      <c r="AS623" s="2099">
        <f t="shared" ref="AS623" si="617">MAX(AS621:AS622)</f>
        <v>0</v>
      </c>
      <c r="AT623" s="2099">
        <f t="shared" ref="AT623" si="618">MAX(AT621:AT622)</f>
        <v>0</v>
      </c>
      <c r="AU623" s="2099">
        <f t="shared" ref="AU623" si="619">MAX(AU621:AU622)</f>
        <v>0</v>
      </c>
      <c r="AV623" s="2099">
        <f t="shared" ref="AV623" si="620">MAX(AV621:AV622)</f>
        <v>0</v>
      </c>
    </row>
    <row r="624" spans="2:48" ht="32" customHeight="1" thickBot="1" x14ac:dyDescent="0.25">
      <c r="B624" s="2030"/>
      <c r="C624" s="804" t="s">
        <v>754</v>
      </c>
      <c r="D624" s="805"/>
      <c r="E624" s="805"/>
      <c r="F624" s="806"/>
      <c r="G624" s="806"/>
      <c r="H624" s="806">
        <f>IF(AND(K620=TRUE,K623=FALSE),H620,IF(AND(K620=FALSE,K623=TRUE),H623,IF(AND(K620=TRUE,K623=TRUE),H620+H623,MAX(H620,H623))))</f>
        <v>0</v>
      </c>
      <c r="I624" s="1626"/>
      <c r="J624" s="807"/>
      <c r="K624" s="808" t="b">
        <f>IF(AND(K620=FALSE,K623=FALSE),FALSE,TRUE)</f>
        <v>0</v>
      </c>
      <c r="L624" s="1610"/>
      <c r="M624" s="1610"/>
      <c r="N624" s="1610"/>
      <c r="O624" s="1627"/>
      <c r="P624" s="1626"/>
      <c r="Q624" s="807"/>
      <c r="R624" s="808" t="b">
        <f>IF(AND(R620=FALSE,R623=FALSE),FALSE,TRUE)</f>
        <v>0</v>
      </c>
      <c r="S624" s="1626"/>
      <c r="T624" s="807"/>
      <c r="U624" s="808" t="b">
        <f>IF(AND(U620=FALSE,U623=FALSE),FALSE,TRUE)</f>
        <v>0</v>
      </c>
      <c r="V624" s="931"/>
      <c r="W624" s="931" t="s">
        <v>942</v>
      </c>
      <c r="X624" s="1438"/>
      <c r="Y624" s="1444"/>
      <c r="Z624" s="1443"/>
      <c r="AA624" s="1444"/>
      <c r="AB624" s="1445"/>
      <c r="AD624" s="960" t="str">
        <f>IF(K624=TRUE,"V","F")</f>
        <v>F</v>
      </c>
      <c r="AE624" s="961"/>
      <c r="AF624" s="960" t="str">
        <f>IF(R624=TRUE,"V","F")</f>
        <v>F</v>
      </c>
      <c r="AG624" s="961"/>
      <c r="AH624" s="960" t="str">
        <f>IF(U624=TRUE,"V","F")</f>
        <v>F</v>
      </c>
      <c r="AI624" s="961"/>
      <c r="AK624" s="10"/>
      <c r="AL624" s="10"/>
      <c r="AM624" s="10"/>
      <c r="AN624" s="631">
        <f>IF(AND($K620=TRUE,$K623=FALSE),AN620,IF(AND($K620=FALSE,$K623=TRUE),AN623,IF(AND($K620=TRUE,$K623=TRUE),AN620+AN623,0)))</f>
        <v>0</v>
      </c>
      <c r="AO624" s="631">
        <f>IF(AND($R620=TRUE,$R623=FALSE),AO620,IF(AND($R620=FALSE,$R623=TRUE),AO623,IF(AND($R620=TRUE,$R623=TRUE),AO620+AO623,0)))</f>
        <v>0</v>
      </c>
      <c r="AP624" s="631">
        <f>IF(AND($U620=TRUE,$U623=FALSE),AP620,IF(AND($U620=FALSE,$U623=TRUE),AP623,IF(AND($U620=TRUE,$U623=TRUE),AP620+AP623,0)))</f>
        <v>0</v>
      </c>
      <c r="AQ624" s="631">
        <f>IF(AND($K620=TRUE,$K623=FALSE),AQ620,IF(AND($K620=FALSE,$K623=TRUE),AQ623,IF(AND($K620=TRUE,$K623=TRUE),AQ620+AQ623,MAX(AQ620,AQ623))))</f>
        <v>14</v>
      </c>
      <c r="AR624" s="631">
        <f>IF(AND($K620=TRUE,$K623=FALSE),AR620,IF(AND($K620=FALSE,$K623=TRUE),AR623,IF(AND($K620=TRUE,$K623=TRUE),AR620+AR623,MAX(AR620,AR623))))</f>
        <v>20</v>
      </c>
      <c r="AS624" s="631">
        <f t="shared" ref="AS624" si="621">IF(AND($R620=TRUE,$R623=FALSE),AS620,IF(AND($R620=FALSE,$R623=TRUE),AS623,IF(AND($R620=TRUE,$R623=TRUE),AS620+AS623,MAX(AS620,AS623))))</f>
        <v>0</v>
      </c>
      <c r="AT624" s="631">
        <f t="shared" ref="AT624" si="622">IF(AND($R620=TRUE,$R623=FALSE),AT620,IF(AND($R620=FALSE,$R623=TRUE),AT623,IF(AND($R620=TRUE,$R623=TRUE),AT620+AT623,MAX(AT620,AT623))))</f>
        <v>0</v>
      </c>
      <c r="AU624" s="631">
        <f t="shared" ref="AU624" si="623">IF(AND($U620=TRUE,$U623=FALSE),AU620,IF(AND($U620=FALSE,$U623=TRUE),AU623,IF(AND($U620=TRUE,$U623=TRUE),AU620+AU623,MAX(AU620,AU623))))</f>
        <v>8</v>
      </c>
      <c r="AV624" s="631">
        <f t="shared" ref="AV624" si="624">IF(AND($U620=TRUE,$U623=FALSE),AV620,IF(AND($U620=FALSE,$U623=TRUE),AV623,IF(AND($U620=TRUE,$U623=TRUE),AV620+AV623,MAX(AV620,AV623))))</f>
        <v>20</v>
      </c>
    </row>
    <row r="625" spans="1:48" ht="32" customHeight="1" x14ac:dyDescent="0.2">
      <c r="B625" s="2030"/>
      <c r="C625" s="313"/>
      <c r="D625" s="26"/>
      <c r="E625" s="62"/>
      <c r="F625" s="790"/>
      <c r="G625" s="789"/>
      <c r="H625" s="790">
        <f>F625*G625</f>
        <v>0</v>
      </c>
      <c r="I625" s="1647"/>
      <c r="J625" s="1648"/>
      <c r="K625" s="45"/>
      <c r="L625" s="45"/>
      <c r="M625" s="45"/>
      <c r="N625" s="45"/>
      <c r="O625" s="1623"/>
      <c r="P625" s="1647"/>
      <c r="Q625" s="1648"/>
      <c r="R625" s="1623"/>
      <c r="S625" s="1622"/>
      <c r="T625" s="1615"/>
      <c r="U625" s="1623"/>
      <c r="V625" s="931"/>
      <c r="W625" s="1403"/>
      <c r="X625" s="1436">
        <v>11</v>
      </c>
      <c r="Y625" s="1447"/>
      <c r="Z625" s="1446">
        <v>11</v>
      </c>
      <c r="AA625" s="1447"/>
      <c r="AB625" s="1448">
        <v>11</v>
      </c>
      <c r="AD625" s="960" t="s">
        <v>945</v>
      </c>
      <c r="AE625" s="961"/>
      <c r="AF625" s="960"/>
      <c r="AG625" s="961"/>
      <c r="AH625" s="960"/>
      <c r="AI625" s="961"/>
      <c r="AK625" s="10"/>
      <c r="AL625" s="10"/>
      <c r="AM625" s="10"/>
      <c r="AN625" s="975">
        <f>IF($K625=TRUE,H625,0)</f>
        <v>0</v>
      </c>
      <c r="AO625" s="975">
        <f>IF($R625=TRUE,H625,0)</f>
        <v>0</v>
      </c>
      <c r="AP625" s="975"/>
      <c r="AQ625" s="1806">
        <f>IF(I625=11,0,G625*I625)</f>
        <v>0</v>
      </c>
      <c r="AR625" s="1806">
        <f>IF(J625=11,0,G625*J625)</f>
        <v>0</v>
      </c>
      <c r="AS625" s="1806">
        <f>IF(P625=11,0,G625*P625)</f>
        <v>0</v>
      </c>
      <c r="AT625" s="1806">
        <f>IF(Q625=11,0,G625*Q625)</f>
        <v>0</v>
      </c>
      <c r="AU625" s="1806"/>
      <c r="AV625" s="1806"/>
    </row>
    <row r="626" spans="1:48" ht="32" customHeight="1" thickBot="1" x14ac:dyDescent="0.25">
      <c r="B626" s="2030"/>
      <c r="C626" s="313"/>
      <c r="D626" s="767"/>
      <c r="E626" s="62"/>
      <c r="F626" s="790"/>
      <c r="G626" s="789"/>
      <c r="H626" s="790">
        <f>F626*G626</f>
        <v>0</v>
      </c>
      <c r="I626" s="1647"/>
      <c r="J626" s="1648"/>
      <c r="K626" s="45"/>
      <c r="L626" s="45"/>
      <c r="M626" s="45"/>
      <c r="N626" s="45"/>
      <c r="O626" s="1623"/>
      <c r="P626" s="1647"/>
      <c r="Q626" s="1648"/>
      <c r="R626" s="1623"/>
      <c r="S626" s="1647"/>
      <c r="T626" s="1648"/>
      <c r="U626" s="1623"/>
      <c r="V626" s="931"/>
      <c r="W626" s="1406" t="s">
        <v>943</v>
      </c>
      <c r="X626" s="1437">
        <v>11</v>
      </c>
      <c r="Y626" s="1441"/>
      <c r="Z626" s="1440">
        <v>11</v>
      </c>
      <c r="AA626" s="1441"/>
      <c r="AB626" s="1442">
        <v>11</v>
      </c>
      <c r="AD626" s="960"/>
      <c r="AE626" s="961"/>
      <c r="AF626" s="960"/>
      <c r="AG626" s="961"/>
      <c r="AH626" s="960"/>
      <c r="AI626" s="961"/>
      <c r="AK626" s="10"/>
      <c r="AL626" s="10"/>
      <c r="AM626" s="10"/>
      <c r="AN626" s="975">
        <f>IF($K626=TRUE,H626,0)</f>
        <v>0</v>
      </c>
      <c r="AO626" s="975">
        <f>IF($R626=TRUE,H626,0)</f>
        <v>0</v>
      </c>
      <c r="AP626" s="975"/>
      <c r="AQ626" s="1806">
        <f>IF(I626=11,0,G626*I626)</f>
        <v>0</v>
      </c>
      <c r="AR626" s="1806">
        <f>IF(J626=11,0,G626*J626)</f>
        <v>0</v>
      </c>
      <c r="AS626" s="1806">
        <f>IF(P626=11,0,G626*P626)</f>
        <v>0</v>
      </c>
      <c r="AT626" s="1806">
        <f>IF(Q626=11,0,G626*Q626)</f>
        <v>0</v>
      </c>
      <c r="AU626" s="1806"/>
      <c r="AV626" s="1806"/>
    </row>
    <row r="627" spans="1:48" ht="32" customHeight="1" thickBot="1" x14ac:dyDescent="0.25">
      <c r="B627" s="2030"/>
      <c r="C627" s="809" t="s">
        <v>747</v>
      </c>
      <c r="D627" s="810">
        <f>_xlfn.XLOOKUP(H627,H625:H626,D625:D626)</f>
        <v>0</v>
      </c>
      <c r="E627" s="810"/>
      <c r="F627" s="811"/>
      <c r="G627" s="811"/>
      <c r="H627" s="811">
        <f>IF(AND(K625=TRUE,K626=FALSE),H625,IF(AND(K625=FALSE,K626=TRUE),H626,MAX(H625,H626)))</f>
        <v>0</v>
      </c>
      <c r="I627" s="1628"/>
      <c r="J627" s="812"/>
      <c r="K627" s="813" t="b">
        <f>IF(AND(K625=FALSE,K626=FALSE),FALSE,TRUE)</f>
        <v>0</v>
      </c>
      <c r="L627" s="1611"/>
      <c r="M627" s="1611"/>
      <c r="N627" s="1611"/>
      <c r="O627" s="1629"/>
      <c r="P627" s="1628"/>
      <c r="Q627" s="812"/>
      <c r="R627" s="813" t="b">
        <f>IF(AND(R625=FALSE,R626=FALSE),FALSE,TRUE)</f>
        <v>0</v>
      </c>
      <c r="S627" s="1628"/>
      <c r="T627" s="812"/>
      <c r="U627" s="813"/>
      <c r="V627" s="931"/>
      <c r="W627" s="931"/>
      <c r="X627" s="1394"/>
      <c r="Z627" s="1398"/>
      <c r="AB627" s="1402"/>
      <c r="AD627" s="960" t="str">
        <f>IF(K627=TRUE,"V","F")</f>
        <v>F</v>
      </c>
      <c r="AE627" s="961"/>
      <c r="AF627" s="960" t="str">
        <f>IF(R627=TRUE,"V","F")</f>
        <v>F</v>
      </c>
      <c r="AG627" s="961"/>
      <c r="AH627" s="960"/>
      <c r="AI627" s="961"/>
      <c r="AK627" s="10"/>
      <c r="AL627" s="10"/>
      <c r="AM627" s="10"/>
      <c r="AN627" s="2102">
        <f>IF(AND($K625=TRUE,$K626=FALSE),AN625,IF(AND($K625=FALSE,$K626=TRUE),AN626,IF(AND($K625=TRUE,$K626=TRUE),MAX(AN625,AN626),0)))</f>
        <v>0</v>
      </c>
      <c r="AO627" s="2102">
        <f>IF(AND($R625=TRUE,$R626=FALSE),AO625,IF(AND($R625=FALSE,$R626=TRUE),AO626,IF(AND($R625=TRUE,$R626=TRUE),MAX(AO625,AO626),0)))</f>
        <v>0</v>
      </c>
      <c r="AP627" s="2102"/>
      <c r="AQ627" s="2102">
        <f>IF(AND($K625=TRUE,$K626=FALSE),AQ625,IF(AND($K625=FALSE,$K626=TRUE),AQ626,IF(AND($K625=TRUE,$K626=TRUE),MAX(AQ625,AQ626),0)))</f>
        <v>0</v>
      </c>
      <c r="AR627" s="2102">
        <f>IF(AND($K625=TRUE,$K626=FALSE),AR625,IF(AND($K625=FALSE,$K626=TRUE),AR626,IF(AND($K625=TRUE,$K626=TRUE),MAX(AR625,AR626),0)))</f>
        <v>0</v>
      </c>
      <c r="AS627" s="2102">
        <f t="shared" ref="AS627" si="625">IF(AND($R625=TRUE,$R626=FALSE),AS625,IF(AND($R625=FALSE,$R626=TRUE),AS626,IF(AND($R625=TRUE,$R626=TRUE),MAX(AS625,AS626),0)))</f>
        <v>0</v>
      </c>
      <c r="AT627" s="2102">
        <f t="shared" ref="AT627" si="626">IF(AND($R625=TRUE,$R626=FALSE),AT625,IF(AND($R625=FALSE,$R626=TRUE),AT626,IF(AND($R625=TRUE,$R626=TRUE),MAX(AT625,AT626),0)))</f>
        <v>0</v>
      </c>
      <c r="AU627" s="2102"/>
      <c r="AV627" s="2102"/>
    </row>
    <row r="628" spans="1:48" ht="32" customHeight="1" x14ac:dyDescent="0.2">
      <c r="B628" s="2030"/>
      <c r="D628" s="421" t="s">
        <v>310</v>
      </c>
      <c r="E628" s="785"/>
      <c r="F628" s="474" t="s">
        <v>398</v>
      </c>
      <c r="G628" s="47"/>
      <c r="H628" s="47">
        <f>IF(AND(K624=TRUE,K627=FALSE),H624,IF(AND(K624=FALSE,K627=TRUE),H627,IF(AND(K624=TRUE,K627=TRUE),H624+H627,MAX(H624,H627))))</f>
        <v>0</v>
      </c>
      <c r="I628" s="1630"/>
      <c r="J628" s="475"/>
      <c r="K628" s="1613"/>
      <c r="L628" s="1614" t="str">
        <f>IF(AND(K627=TRUE,K624=TRUE),E627,"")</f>
        <v/>
      </c>
      <c r="M628" s="1614" t="str">
        <f>IF(AND(K624=TRUE,K627=FALSE),"Bien que le parent "&amp;E624&amp;" l'enfant ne semble pas s'ingérer","")</f>
        <v/>
      </c>
      <c r="N628" s="1614" t="str">
        <f>IF(AND(K624=FALSE,K627=TRUE),E627&amp;" sans signe de la participation du parent favorisé et|ou nouveau conjoint.e","")</f>
        <v/>
      </c>
      <c r="O628" s="1631" t="str">
        <f>IF(AND(K624=FALSE,K627=FALSE),"aucun comportement significatif de cette nature","")</f>
        <v>aucun comportement significatif de cette nature</v>
      </c>
      <c r="P628" s="1630"/>
      <c r="Q628" s="475"/>
      <c r="R628" s="1639"/>
      <c r="S628" s="1630"/>
      <c r="T628" s="475"/>
      <c r="U628" s="1639"/>
      <c r="V628" s="170"/>
      <c r="W628" s="170"/>
      <c r="X628" s="1394"/>
      <c r="Z628" s="1398"/>
      <c r="AB628" s="1402"/>
      <c r="AD628" s="962"/>
      <c r="AE628" s="963">
        <f>IF(AND(AD624="V",AD627="V"),2,IF(OR(AD624="V",AD627="V"),1,0))</f>
        <v>0</v>
      </c>
      <c r="AF628" s="962"/>
      <c r="AG628" s="963">
        <f>IF(OR(AF624="V",AF627="V"),1,0)</f>
        <v>0</v>
      </c>
      <c r="AH628" s="962"/>
      <c r="AI628" s="963"/>
      <c r="AK628" s="10"/>
      <c r="AL628" s="10"/>
      <c r="AM628" s="10"/>
      <c r="AN628" s="2097">
        <f>IF(AND($AD624="V",$AD627="F"),AN624,IF(AND($AD624="F",$AD627="V"),AN627,IF(AND($AD624="V",$AD627="V"),AN624+AN627,0)))</f>
        <v>0</v>
      </c>
      <c r="AO628" s="2097">
        <f>IF(AND($AF624="V",$AF627="F"),AO624,IF(AND($AF624="F",$AF627="V"),AO627,IF(AND($AF624="V",$AF627="V"),AO624+AO627,0)))</f>
        <v>0</v>
      </c>
      <c r="AP628" s="2097"/>
      <c r="AQ628" s="2097">
        <f>IF(AND($AD624="V",$AD627="F"),AQ624,IF(AND($AD624="F",$AD627="V"),AQ627,IF(AND($AD624="V",$AD627="V"),AQ624+AQ627,0)))</f>
        <v>0</v>
      </c>
      <c r="AR628" s="2097">
        <f>IF(AND($AD624="V",$AD627="F"),AR624,IF(AND($AD624="F",$AD627="V"),AR627,IF(AND($AD624="V",$AD627="V"),AR624+AR627,0)))</f>
        <v>0</v>
      </c>
      <c r="AS628" s="2097">
        <f>IF(AND($AF624="V",$AF627="F"),AS624,IF(AND($AF624="F",$AF627="V"),AS627,IF(AND($AF624="V",$AF627="V"),AS624+AS627,0)))</f>
        <v>0</v>
      </c>
      <c r="AT628" s="2097">
        <f>IF(AND($AF624="V",$AF627="F"),AT624,IF(AND($AF624="F",$AF627="V"),AT627,IF(AND($AF624="V",$AF627="V"),AT624+AT627,0)))</f>
        <v>0</v>
      </c>
      <c r="AU628" s="2097"/>
      <c r="AV628" s="2097"/>
    </row>
    <row r="629" spans="1:48" ht="32" customHeight="1" x14ac:dyDescent="0.2">
      <c r="B629" s="2030"/>
      <c r="C629" t="s">
        <v>243</v>
      </c>
      <c r="I629" s="146"/>
      <c r="L629" s="46"/>
      <c r="M629" s="46"/>
      <c r="N629" s="46"/>
      <c r="O629" s="1652"/>
      <c r="P629" s="146"/>
      <c r="R629" s="326"/>
      <c r="S629" s="146"/>
      <c r="U629" s="326"/>
      <c r="V629" s="46"/>
      <c r="X629" s="1394"/>
      <c r="Z629" s="1398"/>
      <c r="AB629" s="1402"/>
      <c r="AD629" s="960"/>
      <c r="AE629" s="961"/>
      <c r="AF629" s="960"/>
      <c r="AG629" s="961"/>
      <c r="AH629" s="960"/>
      <c r="AI629" s="961"/>
      <c r="AK629" s="10"/>
      <c r="AL629" s="10"/>
      <c r="AM629" s="10"/>
      <c r="AN629" s="975"/>
      <c r="AO629" s="975"/>
      <c r="AP629" s="975"/>
      <c r="AQ629" s="1806"/>
      <c r="AR629" s="1806"/>
      <c r="AS629" s="1806"/>
      <c r="AT629" s="1806"/>
      <c r="AU629" s="1806"/>
      <c r="AV629" s="1806"/>
    </row>
    <row r="630" spans="1:48" ht="32" customHeight="1" x14ac:dyDescent="0.2">
      <c r="B630" s="2030" t="str">
        <f>'Cpts miroirs des parents'!I19</f>
        <v>E: Interférence temps et/ou communication</v>
      </c>
      <c r="C630" s="964" t="str">
        <f>Test_Bible!A57</f>
        <v>B11b</v>
      </c>
      <c r="D630" s="22" t="str">
        <f>Test_Bible!B57</f>
        <v xml:space="preserve"> </v>
      </c>
      <c r="E630" s="965"/>
      <c r="F630" s="973">
        <f>Test_Bible!P57</f>
        <v>0</v>
      </c>
      <c r="G630" s="973">
        <f>Test_Bible!D57</f>
        <v>2</v>
      </c>
      <c r="H630" s="973">
        <f>F630*G630</f>
        <v>0</v>
      </c>
      <c r="I630" s="1622">
        <v>7</v>
      </c>
      <c r="J630" s="1615">
        <v>10</v>
      </c>
      <c r="K630" s="45" t="b">
        <f>IF(AND(F630&gt;=I630,F630&lt;=J630),TRUE,FALSE)</f>
        <v>0</v>
      </c>
      <c r="L630" s="32"/>
      <c r="M630" s="32"/>
      <c r="N630" s="32"/>
      <c r="O630" s="1632"/>
      <c r="P630" s="1647">
        <v>11</v>
      </c>
      <c r="Q630" s="1648">
        <v>11</v>
      </c>
      <c r="R630" s="1623" t="b">
        <f>IF(AND(F630&gt;=P630,F630&lt;=Q630),TRUE,FALSE)</f>
        <v>0</v>
      </c>
      <c r="S630" s="1622">
        <v>4</v>
      </c>
      <c r="T630" s="1615">
        <v>10</v>
      </c>
      <c r="U630" s="1623" t="b">
        <f>IF(AND(F630&gt;=S630,F630&lt;=T630),TRUE,FALSE)</f>
        <v>0</v>
      </c>
      <c r="V630" s="46"/>
      <c r="W630" s="1433"/>
      <c r="X630" s="1404">
        <v>4</v>
      </c>
      <c r="Y630" s="1405"/>
      <c r="Z630" s="1446">
        <v>11</v>
      </c>
      <c r="AA630" s="1405"/>
      <c r="AB630" s="1415">
        <v>2</v>
      </c>
      <c r="AD630" s="960"/>
      <c r="AE630" s="961"/>
      <c r="AF630" s="960"/>
      <c r="AG630" s="961"/>
      <c r="AH630" s="960"/>
      <c r="AI630" s="961"/>
      <c r="AK630" s="10"/>
      <c r="AL630" s="10"/>
      <c r="AM630" s="10"/>
      <c r="AN630" s="975">
        <f>IF($K630=TRUE,H630,0)</f>
        <v>0</v>
      </c>
      <c r="AO630" s="975">
        <f>IF($R630=TRUE,H630,0)</f>
        <v>0</v>
      </c>
      <c r="AP630" s="975">
        <f>IF($U630=TRUE,H630,0)</f>
        <v>0</v>
      </c>
      <c r="AQ630" s="1806">
        <f>IF(I630=11,0,G630*I630)</f>
        <v>14</v>
      </c>
      <c r="AR630" s="1806">
        <f>IF(J630=11,0,G630*J630)</f>
        <v>20</v>
      </c>
      <c r="AS630" s="1806">
        <f>IF(P630=11,0,G630*P630)</f>
        <v>0</v>
      </c>
      <c r="AT630" s="1806">
        <f>IF(Q630=11,0,G630*Q630)</f>
        <v>0</v>
      </c>
      <c r="AU630" s="1806">
        <f>IF(S630=11,0,S630*G630)</f>
        <v>8</v>
      </c>
      <c r="AV630" s="1806">
        <f>IF(T630=11,0,T630*G630)</f>
        <v>20</v>
      </c>
    </row>
    <row r="631" spans="1:48" ht="32" customHeight="1" thickBot="1" x14ac:dyDescent="0.25">
      <c r="B631" s="2030"/>
      <c r="C631" s="964"/>
      <c r="D631" s="972"/>
      <c r="E631" s="965"/>
      <c r="F631" s="973"/>
      <c r="G631" s="973"/>
      <c r="H631" s="973">
        <f>F631*G631</f>
        <v>0</v>
      </c>
      <c r="I631" s="1647">
        <v>11</v>
      </c>
      <c r="J631" s="1648">
        <v>11</v>
      </c>
      <c r="K631" s="45" t="b">
        <f>IF(AND(F631&gt;=I631,F631&lt;=J631),TRUE,FALSE)</f>
        <v>0</v>
      </c>
      <c r="L631" s="32"/>
      <c r="M631" s="32"/>
      <c r="N631" s="32"/>
      <c r="O631" s="1632"/>
      <c r="P631" s="1647">
        <v>11</v>
      </c>
      <c r="Q631" s="1648">
        <v>11</v>
      </c>
      <c r="R631" s="1623" t="b">
        <f>IF(AND(F631&gt;=P631,F631&lt;=Q631),TRUE,FALSE)</f>
        <v>0</v>
      </c>
      <c r="S631" s="1647">
        <v>11</v>
      </c>
      <c r="T631" s="1648">
        <v>11</v>
      </c>
      <c r="U631" s="1623" t="b">
        <f>IF(AND(F631&gt;=S631,F631&lt;=T631),TRUE,FALSE)</f>
        <v>0</v>
      </c>
      <c r="W631" s="1434"/>
      <c r="X631" s="1437">
        <v>11</v>
      </c>
      <c r="Y631" s="1441"/>
      <c r="Z631" s="1440">
        <v>11</v>
      </c>
      <c r="AA631" s="1441"/>
      <c r="AB631" s="1442">
        <v>11</v>
      </c>
      <c r="AD631" s="960"/>
      <c r="AE631" s="961"/>
      <c r="AF631" s="960"/>
      <c r="AG631" s="961"/>
      <c r="AH631" s="960"/>
      <c r="AI631" s="961"/>
      <c r="AK631" s="10"/>
      <c r="AL631" s="10"/>
      <c r="AM631" s="10"/>
      <c r="AN631" s="975">
        <f>IF($K631=TRUE,H631,0)</f>
        <v>0</v>
      </c>
      <c r="AO631" s="975">
        <f>IF($R631=TRUE,H631,0)</f>
        <v>0</v>
      </c>
      <c r="AP631" s="975">
        <f>IF($U631=TRUE,H631,0)</f>
        <v>0</v>
      </c>
      <c r="AQ631" s="1806">
        <f>IF(I631=11,0,G631*I631)</f>
        <v>0</v>
      </c>
      <c r="AR631" s="1806">
        <f>IF(J631=11,0,G631*J631)</f>
        <v>0</v>
      </c>
      <c r="AS631" s="1806">
        <f>IF(P631=11,0,G631*P631)</f>
        <v>0</v>
      </c>
      <c r="AT631" s="1806">
        <f>IF(Q631=11,0,G631*Q631)</f>
        <v>0</v>
      </c>
      <c r="AU631" s="1806">
        <f>IF(S631=11,0,S631*G631)</f>
        <v>0</v>
      </c>
      <c r="AV631" s="1806">
        <f>IF(T631=11,0,T631*G631)</f>
        <v>0</v>
      </c>
    </row>
    <row r="632" spans="1:48" ht="32" customHeight="1" thickBot="1" x14ac:dyDescent="0.35">
      <c r="B632" s="2030"/>
      <c r="E632" s="814"/>
      <c r="F632" s="96"/>
      <c r="G632" s="96"/>
      <c r="H632" s="47">
        <f>IF(AND(K630=TRUE,K631=FALSE),H630,IF(AND(K630=FALSE,K631=TRUE),H631,MAX(H630,H631)))</f>
        <v>0</v>
      </c>
      <c r="I632" s="1644"/>
      <c r="J632" s="1645"/>
      <c r="K632" s="1651" t="b">
        <f>IF(AND(K630=FALSE,K631=FALSE),FALSE,TRUE)</f>
        <v>0</v>
      </c>
      <c r="L632" s="1633"/>
      <c r="M632" s="1634"/>
      <c r="N632" s="1634"/>
      <c r="O632" s="1635"/>
      <c r="P632" s="1644"/>
      <c r="Q632" s="1645"/>
      <c r="R632" s="1651" t="b">
        <f>IF(AND(R630=FALSE,R631=FALSE),FALSE,TRUE)</f>
        <v>0</v>
      </c>
      <c r="S632" s="1656"/>
      <c r="T632" s="1657"/>
      <c r="U632" s="1658" t="b">
        <f>IF(AND(U630=FALSE,U631=FALSE),FALSE,TRUE)</f>
        <v>0</v>
      </c>
      <c r="V632" s="96"/>
      <c r="AD632" s="1564" t="str">
        <f>IF(K632=TRUE,"V","F")</f>
        <v>F</v>
      </c>
      <c r="AE632" s="1565"/>
      <c r="AF632" s="1564" t="str">
        <f>IF(R632=TRUE,"V","F")</f>
        <v>F</v>
      </c>
      <c r="AG632" s="1565"/>
      <c r="AH632" s="1564" t="str">
        <f>IF(U632=TRUE,"V","F")</f>
        <v>F</v>
      </c>
      <c r="AI632" s="1565"/>
      <c r="AK632" s="10"/>
      <c r="AL632" s="10"/>
      <c r="AM632" s="10"/>
      <c r="AN632" s="2102">
        <f>IF(AND($K630=TRUE,$K631=FALSE),AN630,IF(AND($K630=FALSE,$K631=TRUE),AN631,MAX(AN630,AN631)))</f>
        <v>0</v>
      </c>
      <c r="AO632" s="2102">
        <f>IF(AND($R630=TRUE,$R631=FALSE),AO630,IF(AND($R630=FALSE,$R631=TRUE),AO631,MAX(AO630,AO631)))</f>
        <v>0</v>
      </c>
      <c r="AP632" s="2102">
        <f>IF(AND($U630=TRUE,$U631=FALSE),AP630,IF(AND($U630=FALSE,$U631=TRUE),AP631,MAX(AP630,AP631)))</f>
        <v>0</v>
      </c>
      <c r="AQ632" s="2102">
        <f>IF(AND($K630=TRUE,$K631=FALSE),AQ630,IF(AND($K630=FALSE,$K631=TRUE),AQ631,MAX(AQ630,AQ631)))</f>
        <v>14</v>
      </c>
      <c r="AR632" s="2102">
        <f>IF(AND($K630=TRUE,$K631=FALSE),AR630,IF(AND($K630=FALSE,$K631=TRUE),AR631,MAX(AR630,AR631)))</f>
        <v>20</v>
      </c>
      <c r="AS632" s="2102">
        <f>IF(AND($R630=TRUE,$R631=FALSE),AS630,IF(AND($R630=FALSE,$R631=TRUE),AS631,MAX(AS630,AS631)))</f>
        <v>0</v>
      </c>
      <c r="AT632" s="2102">
        <f>IF(AND($R630=TRUE,$R631=FALSE),AT630,IF(AND($R630=FALSE,$R631=TRUE),AT631,MAX(AT630,AT631)))</f>
        <v>0</v>
      </c>
      <c r="AU632" s="2102">
        <f>IF(AND($U630=TRUE,$U631=FALSE),AU630,IF(AND($U630=FALSE,$U631=TRUE),AU631,MAX(AU630,AU631)))</f>
        <v>8</v>
      </c>
      <c r="AV632" s="2102">
        <f>IF(AND($U630=TRUE,$U631=FALSE),AV630,IF(AND($U630=FALSE,$U631=TRUE),AV631,MAX(AV630,AV631)))</f>
        <v>20</v>
      </c>
    </row>
    <row r="633" spans="1:48" ht="21" x14ac:dyDescent="0.25">
      <c r="B633" s="2030"/>
      <c r="AD633" s="1649"/>
      <c r="AE633" s="1650">
        <f>IF(AND(AD632="V",AD624="V"),AE628-1,AE628)</f>
        <v>0</v>
      </c>
      <c r="AF633" s="1649"/>
      <c r="AG633" s="1650">
        <f>IF(OR(AF624="V",AF627="V",AF632="V"),1,0)</f>
        <v>0</v>
      </c>
      <c r="AH633" s="1649"/>
      <c r="AI633" s="1650">
        <f>IF(AH624="V",1,IF(AH632="V",1,0))</f>
        <v>0</v>
      </c>
      <c r="AK633" s="10">
        <v>1</v>
      </c>
      <c r="AL633" s="10"/>
      <c r="AM633" s="10">
        <v>1</v>
      </c>
      <c r="AN633" s="2101">
        <f>IF($AD632="F",AN628,AN628+AN632)</f>
        <v>0</v>
      </c>
      <c r="AO633" s="2101">
        <f>IF($AF632="F",AO628,AO628+AO632)</f>
        <v>0</v>
      </c>
      <c r="AP633" s="2101">
        <f>IF(AND($AH624="V",$AH632="F"),AP624,IF(AND($AH624="F",$AH632="V"),AP632,IF(AND($AH624="V",$AH632="V"),AP624+AP632,0)))</f>
        <v>0</v>
      </c>
      <c r="AQ633" s="2101">
        <f>IF($AD632="F",AQ628,AQ628+AQ632)</f>
        <v>0</v>
      </c>
      <c r="AR633" s="2101">
        <f t="shared" ref="AR633" si="627">IF($AD632="F",AR628,AR628+AR632)</f>
        <v>0</v>
      </c>
      <c r="AS633" s="2101">
        <f t="shared" ref="AS633" si="628">IF($AF632="F",AS628,AS628+AS632)</f>
        <v>0</v>
      </c>
      <c r="AT633" s="2101">
        <f t="shared" ref="AT633" si="629">IF($AF632="F",AT628,AT628+AT632)</f>
        <v>0</v>
      </c>
      <c r="AU633" s="2101">
        <f t="shared" ref="AU633" si="630">IF(AND($AH624="V",$AH632="F"),AU624,IF(AND($AH624="F",$AH632="V"),AU632,IF(AND($AH624="V",$AH632="V"),AU624+AU632,0)))</f>
        <v>0</v>
      </c>
      <c r="AV633" s="2101">
        <f t="shared" ref="AV633" si="631">IF(AND($AH624="V",$AH632="F"),AV624,IF(AND($AH624="F",$AH632="V"),AV632,IF(AND($AH624="V",$AH632="V"),AV624+AV632,0)))</f>
        <v>0</v>
      </c>
    </row>
    <row r="634" spans="1:48" ht="27" customHeight="1" x14ac:dyDescent="0.2">
      <c r="B634" s="2030"/>
      <c r="AD634" s="1668"/>
      <c r="AE634" s="1669"/>
      <c r="AF634" s="1409"/>
    </row>
    <row r="635" spans="1:48" ht="27" customHeight="1" x14ac:dyDescent="0.2">
      <c r="A635" s="873"/>
      <c r="B635" s="2030"/>
      <c r="C635" s="873"/>
      <c r="D635" s="873"/>
      <c r="E635" s="873"/>
      <c r="F635" s="873"/>
      <c r="G635" s="873"/>
      <c r="H635" s="873"/>
      <c r="I635" s="873"/>
      <c r="J635" s="873"/>
      <c r="K635" s="873"/>
    </row>
    <row r="636" spans="1:48" ht="27" customHeight="1" x14ac:dyDescent="0.2">
      <c r="A636" s="873"/>
      <c r="B636" s="2030"/>
      <c r="C636" s="873"/>
      <c r="D636" s="873"/>
      <c r="E636" s="873"/>
      <c r="F636" s="873"/>
      <c r="G636" s="873"/>
      <c r="H636" s="873"/>
      <c r="I636" s="873"/>
      <c r="J636" s="873"/>
      <c r="K636" s="873"/>
      <c r="AQ636" s="2180" t="s">
        <v>734</v>
      </c>
      <c r="AR636" s="2180"/>
      <c r="AS636" s="2180" t="s">
        <v>733</v>
      </c>
      <c r="AT636" s="2180"/>
      <c r="AU636" s="2180" t="s">
        <v>735</v>
      </c>
      <c r="AV636" s="2180"/>
    </row>
    <row r="637" spans="1:48" ht="27" customHeight="1" thickBot="1" x14ac:dyDescent="0.25">
      <c r="A637" s="873"/>
      <c r="B637" s="2030"/>
      <c r="C637" s="873"/>
      <c r="D637" s="873"/>
      <c r="E637" s="873"/>
      <c r="F637" s="873"/>
      <c r="G637" s="873"/>
      <c r="H637" s="873"/>
      <c r="I637" s="873"/>
      <c r="J637" s="873"/>
      <c r="K637" s="873"/>
      <c r="AI637" s="2" t="s">
        <v>2088</v>
      </c>
      <c r="AN637" s="1" t="s">
        <v>734</v>
      </c>
      <c r="AO637" s="1" t="s">
        <v>733</v>
      </c>
      <c r="AP637" s="1" t="s">
        <v>735</v>
      </c>
      <c r="AQ637" s="2103" t="s">
        <v>1322</v>
      </c>
      <c r="AR637" s="2103" t="s">
        <v>1323</v>
      </c>
      <c r="AS637" s="2104" t="s">
        <v>1322</v>
      </c>
      <c r="AT637" s="2104" t="s">
        <v>1323</v>
      </c>
      <c r="AU637" s="2105" t="s">
        <v>1322</v>
      </c>
      <c r="AV637" s="2105" t="s">
        <v>1323</v>
      </c>
    </row>
    <row r="638" spans="1:48" ht="27" customHeight="1" x14ac:dyDescent="0.2">
      <c r="A638" s="873"/>
      <c r="B638" s="2030"/>
      <c r="C638" s="873"/>
      <c r="D638" s="873"/>
      <c r="E638" s="873"/>
      <c r="F638" s="873"/>
      <c r="G638" s="873"/>
      <c r="H638" s="873"/>
      <c r="I638" s="873"/>
      <c r="J638" s="873"/>
      <c r="K638" s="873"/>
      <c r="AE638" s="2106"/>
      <c r="AF638" s="678"/>
      <c r="AG638" s="2107" t="s">
        <v>1892</v>
      </c>
      <c r="AH638" s="678"/>
      <c r="AI638" s="678"/>
      <c r="AJ638" s="678"/>
      <c r="AK638" s="678"/>
      <c r="AL638" s="678"/>
      <c r="AM638" s="678"/>
      <c r="AN638" s="678">
        <f>AN34+AN54+AN73+AN92+AN111+AN130+AN150+AN169+AN188+AN207+AN226+AN245+AN264+AN283+AN302+AN321+AN340+AN359+AN378+AN398+AN418+AN437+AN456+AN475+AN494+AN513+AN540+AN560+AN580+AN600+AN620</f>
        <v>140</v>
      </c>
      <c r="AO638" s="678">
        <f t="shared" ref="AO638:AV638" si="632">AO34+AO54+AO73+AO92+AO111+AO130+AO150+AO169+AO188+AO207+AO226+AO245+AO264+AO283+AO302+AO321+AO340+AO359+AO378+AO398+AO418+AO437+AO456+AO475+AO494+AO513+AO540+AO560+AO580+AO600+AO620</f>
        <v>104</v>
      </c>
      <c r="AP638" s="678">
        <f t="shared" si="632"/>
        <v>72</v>
      </c>
      <c r="AQ638" s="2108">
        <f t="shared" si="632"/>
        <v>265</v>
      </c>
      <c r="AR638" s="2108">
        <f t="shared" si="632"/>
        <v>600</v>
      </c>
      <c r="AS638" s="2109">
        <f t="shared" si="632"/>
        <v>103</v>
      </c>
      <c r="AT638" s="2109">
        <f t="shared" si="632"/>
        <v>302</v>
      </c>
      <c r="AU638" s="2110">
        <f t="shared" si="632"/>
        <v>168</v>
      </c>
      <c r="AV638" s="2111">
        <f t="shared" si="632"/>
        <v>310</v>
      </c>
    </row>
    <row r="639" spans="1:48" ht="27" customHeight="1" x14ac:dyDescent="0.2">
      <c r="A639" s="873"/>
      <c r="B639" s="2030"/>
      <c r="C639" s="873"/>
      <c r="D639" s="873"/>
      <c r="E639" s="873"/>
      <c r="F639" s="873"/>
      <c r="G639" s="873"/>
      <c r="H639" s="873"/>
      <c r="I639" s="873"/>
      <c r="J639" s="873"/>
      <c r="K639" s="873"/>
      <c r="AE639" s="146"/>
      <c r="AG639" s="2" t="s">
        <v>247</v>
      </c>
      <c r="AN639">
        <f>AN37+AN57+AN76+AN95+AN114+AN134+AN153+AN172+AN191+AN210+AN229+AN248+AN267+AN286+AN305+AN324+AN343+AN362+AN381+AN402+AN421+AN440+AN459+AN478+AN497+AN516+AN543+AN563+AN583+AN603+AN623</f>
        <v>75</v>
      </c>
      <c r="AO639">
        <f t="shared" ref="AO639:AV640" si="633">AO37+AO57+AO76+AO95+AO114+AO134+AO153+AO172+AO191+AO210+AO229+AO248+AO267+AO286+AO305+AO324+AO343+AO362+AO381+AO402+AO421+AO440+AO459+AO478+AO497+AO516+AO543+AO563+AO583+AO603+AO623</f>
        <v>25</v>
      </c>
      <c r="AP639">
        <f t="shared" si="633"/>
        <v>68</v>
      </c>
      <c r="AQ639" s="2112">
        <f t="shared" si="633"/>
        <v>129</v>
      </c>
      <c r="AR639" s="2112">
        <f t="shared" si="633"/>
        <v>280</v>
      </c>
      <c r="AS639" s="2015">
        <f t="shared" si="633"/>
        <v>63</v>
      </c>
      <c r="AT639" s="2015">
        <f t="shared" si="633"/>
        <v>148</v>
      </c>
      <c r="AU639" s="2113">
        <f t="shared" si="633"/>
        <v>101</v>
      </c>
      <c r="AV639" s="2114">
        <f t="shared" si="633"/>
        <v>214</v>
      </c>
    </row>
    <row r="640" spans="1:48" ht="27" customHeight="1" thickBot="1" x14ac:dyDescent="0.25">
      <c r="A640" s="873"/>
      <c r="B640" s="2030"/>
      <c r="C640" s="873"/>
      <c r="E640" s="873"/>
      <c r="F640" s="873"/>
      <c r="G640" s="873"/>
      <c r="H640" s="873"/>
      <c r="I640" s="873"/>
      <c r="J640" s="873"/>
      <c r="K640" s="873"/>
      <c r="AE640" s="328"/>
      <c r="AF640" s="329"/>
      <c r="AG640" s="2115" t="s">
        <v>2087</v>
      </c>
      <c r="AH640" s="329"/>
      <c r="AI640" s="2116">
        <f>H38+H58+H77+H96+H115+H135+H154+H173+H192+H211+H230+H249+H268+H287+H306+H325+H344+H363+H382+H403+H422+H441+H460+H479+H498+H517+H544+H564+H584+H604+H624</f>
        <v>238</v>
      </c>
      <c r="AJ640" s="329"/>
      <c r="AK640" s="329"/>
      <c r="AL640" s="329"/>
      <c r="AM640" s="329"/>
      <c r="AN640" s="329">
        <f>AN38+AN58+AN77+AN96+AN115+AN135+AN154+AN173+AN192+AN211+AN230+AN249+AN268+AN287+AN306+AN325+AN344+AN363+AN382+AN403+AN422+AN441+AN460+AN479+AN498+AN517+AN544+AN564+AN584+AN604+AN624</f>
        <v>215</v>
      </c>
      <c r="AO640" s="329">
        <f t="shared" si="633"/>
        <v>108</v>
      </c>
      <c r="AP640" s="329">
        <f t="shared" si="633"/>
        <v>139</v>
      </c>
      <c r="AQ640" s="2117">
        <f t="shared" si="633"/>
        <v>302</v>
      </c>
      <c r="AR640" s="2117">
        <f t="shared" si="633"/>
        <v>660</v>
      </c>
      <c r="AS640" s="2118">
        <f t="shared" si="633"/>
        <v>142</v>
      </c>
      <c r="AT640" s="2118">
        <f t="shared" si="633"/>
        <v>384</v>
      </c>
      <c r="AU640" s="2119">
        <f t="shared" si="633"/>
        <v>202</v>
      </c>
      <c r="AV640" s="2120">
        <f t="shared" si="633"/>
        <v>400</v>
      </c>
    </row>
    <row r="641" spans="31:48" ht="27" customHeight="1" thickBot="1" x14ac:dyDescent="0.35">
      <c r="AE641" s="2121"/>
      <c r="AF641" s="670"/>
      <c r="AG641" s="2122" t="s">
        <v>344</v>
      </c>
      <c r="AH641" s="670"/>
      <c r="AI641" s="2123">
        <f>H41+H61+H80+H99+H118+H138+H157+H176+H195+H214+H233+H252+H271+H290+H309+H328+H347+H366+H386+H406+H425+H444+H463+H482+H501+H521+H547+H567+H587+H607+H627</f>
        <v>199</v>
      </c>
      <c r="AJ641" s="670"/>
      <c r="AK641" s="670"/>
      <c r="AL641" s="670"/>
      <c r="AM641" s="670"/>
      <c r="AN641" s="670">
        <f>AN41+AN61+AN80+AN99+AN118+AN138+AN157+AN176+AN195+AN214+AN233+AN252+AN271+AN290+AN309+AN328+AN347+AN366+AN386+AN406+AN425+AN444+AN463+AN482+AN501+AN521+AN547+AN567+AN587+AN607+AN627</f>
        <v>148</v>
      </c>
      <c r="AO641" s="670">
        <f t="shared" ref="AO641:AV641" si="634">AO41+AO61+AO80+AO99+AO118+AO138+AO157+AO176+AO195+AO214+AO233+AO252+AO271+AO290+AO309+AO328+AO347+AO366+AO386+AO406+AO425+AO444+AO463+AO482+AO501+AO521+AO547+AO567+AO587+AO607+AO627</f>
        <v>110</v>
      </c>
      <c r="AP641" s="670">
        <f t="shared" si="634"/>
        <v>0</v>
      </c>
      <c r="AQ641" s="2124">
        <f t="shared" si="634"/>
        <v>102</v>
      </c>
      <c r="AR641" s="2124">
        <f t="shared" si="634"/>
        <v>260</v>
      </c>
      <c r="AS641" s="2125">
        <f t="shared" si="634"/>
        <v>58</v>
      </c>
      <c r="AT641" s="2125">
        <f t="shared" si="634"/>
        <v>162</v>
      </c>
      <c r="AU641" s="2126">
        <f t="shared" si="634"/>
        <v>0</v>
      </c>
      <c r="AV641" s="2127">
        <f t="shared" si="634"/>
        <v>0</v>
      </c>
    </row>
    <row r="642" spans="31:48" ht="27" customHeight="1" x14ac:dyDescent="0.3">
      <c r="AE642" s="2106"/>
      <c r="AF642" s="2128"/>
      <c r="AG642" s="2129" t="s">
        <v>2090</v>
      </c>
      <c r="AH642" s="678"/>
      <c r="AI642" s="2130">
        <f>H42+H62+H81+H100+H119+H139+H158+H177+H196+H215+H234+H253+H272+H291+H310+H329+H348+H367+H387+H407+H426+H445+H464+H483+H502+H522+H548+H568+H588+H608+H628</f>
        <v>408</v>
      </c>
      <c r="AJ642" s="2128"/>
      <c r="AK642" s="2128"/>
      <c r="AL642" s="2128"/>
      <c r="AM642" s="2128"/>
      <c r="AN642" s="678">
        <f>AN42+AN62+AN81+AN100+AN119+AN139+AN158+AN177+AN196+AN215+AN234+AN253+AN272+AN291+AN310+AN329+AN348+AN367+AN387+AN407+AN426+AN445+AN464+AN483+AN502+AN522+AN548+AN568+AN588+AN608+AN628</f>
        <v>363</v>
      </c>
      <c r="AO642" s="678">
        <f t="shared" ref="AO642:AV642" si="635">AO42+AO62+AO81+AO100+AO119+AO139+AO158+AO177+AO196+AO215+AO234+AO253+AO272+AO291+AO310+AO329+AO348+AO367+AO387+AO407+AO426+AO445+AO464+AO483+AO502+AO522+AO548+AO568+AO588+AO608+AO628</f>
        <v>218</v>
      </c>
      <c r="AP642" s="678">
        <f t="shared" si="635"/>
        <v>0</v>
      </c>
      <c r="AQ642" s="2108">
        <f t="shared" si="635"/>
        <v>257</v>
      </c>
      <c r="AR642" s="2108">
        <f t="shared" si="635"/>
        <v>600</v>
      </c>
      <c r="AS642" s="2109">
        <f t="shared" si="635"/>
        <v>111</v>
      </c>
      <c r="AT642" s="2109">
        <f t="shared" si="635"/>
        <v>350</v>
      </c>
      <c r="AU642" s="2110">
        <f t="shared" si="635"/>
        <v>0</v>
      </c>
      <c r="AV642" s="2111">
        <f t="shared" si="635"/>
        <v>0</v>
      </c>
    </row>
    <row r="643" spans="31:48" ht="27" customHeight="1" x14ac:dyDescent="0.3">
      <c r="AE643" s="146"/>
      <c r="AG643" s="2" t="s">
        <v>488</v>
      </c>
      <c r="AI643" s="72">
        <f>H46+H66+H85+H104+H123+H143+H162+H181+H200+H219+H238+H257+H276+H295+H314+H333+H352+H371+H391+H411+H430+H449+H468+H487+H506+H526+H552+H572+H592+H612+H632</f>
        <v>65</v>
      </c>
      <c r="AJ643" s="72">
        <f>I46+I66+I85+I104+I123+I143+I162+I181+I200+I219+I238+I257+I276+I295+I314+I333+I352+I371+I391+I411+I430+I449+I468+I487+I506+I526+I552+I572+I592+I612+I632</f>
        <v>0</v>
      </c>
      <c r="AK643" s="72">
        <f>J46+J66+J85+J104+J123+J143+J162+J181+J200+J219+J238+J257+J276+J295+J314+J333+J352+J371+J391+J411+J430+J449+J468+J487+J506+J526+J552+J572+J592+J612+J632</f>
        <v>0</v>
      </c>
      <c r="AL643" s="72">
        <f>K46+K66+K85+K104+K123+K143+K162+K181+K200+K219+K238+K257+K276+K295+K314+K333+K352+K371+K391+K411+K430+K449+K468+K487+K506+K526+K552+K572+K592+K612+K632</f>
        <v>2</v>
      </c>
      <c r="AM643" s="72">
        <f>L46+L66+L85+L104+L123+L143+L162+L181+L200+L219+L238+L257+L276+L295+L314+L333+L352+L371+L391+L411+L430+L449+L468+L487+L506+L526+L552+L572+L592+L612+L632</f>
        <v>0</v>
      </c>
      <c r="AN643" s="72">
        <f>AN46+AN66+AN85+AN104+AN123+AN143+AN162+AN181+AN200+AN219+AN238+AN257+AN276+AN295+AN314+AN333+AN352+AN371+AN391+AN411+AN430+AN449+AN468+AN487+AN506+AN526+AN552+AN572+AN592+AN612+AN632</f>
        <v>16</v>
      </c>
      <c r="AO643" s="72">
        <f t="shared" ref="AO643:AV644" si="636">AO46+AO66+AO85+AO104+AO123+AO143+AO162+AO181+AO200+AO219+AO238+AO257+AO276+AO295+AO314+AO333+AO352+AO371+AO391+AO411+AO430+AO449+AO468+AO487+AO506+AO526+AO552+AO572+AO592+AO612+AO632</f>
        <v>8</v>
      </c>
      <c r="AP643" s="72">
        <f t="shared" si="636"/>
        <v>34</v>
      </c>
      <c r="AQ643" s="2131">
        <f t="shared" si="636"/>
        <v>89</v>
      </c>
      <c r="AR643" s="2131">
        <f t="shared" si="636"/>
        <v>200</v>
      </c>
      <c r="AS643" s="2132">
        <f t="shared" si="636"/>
        <v>20</v>
      </c>
      <c r="AT643" s="2132">
        <f t="shared" si="636"/>
        <v>68</v>
      </c>
      <c r="AU643" s="2133">
        <f t="shared" si="636"/>
        <v>110</v>
      </c>
      <c r="AV643" s="2134">
        <f t="shared" si="636"/>
        <v>219</v>
      </c>
    </row>
    <row r="644" spans="31:48" ht="27" customHeight="1" thickBot="1" x14ac:dyDescent="0.35">
      <c r="AE644" s="328"/>
      <c r="AF644" s="329"/>
      <c r="AG644" s="2115" t="s">
        <v>2089</v>
      </c>
      <c r="AH644" s="329"/>
      <c r="AI644" s="329"/>
      <c r="AJ644" s="329"/>
      <c r="AK644" s="329"/>
      <c r="AL644" s="329"/>
      <c r="AM644" s="329"/>
      <c r="AN644" s="2116">
        <f>AN47+AN67+AN86+AN105+AN124+AN144+AN163+AN182+AN201+AN220+AN239+AN258+AN277+AN296+AN315+AN334+AN353+AN372+AN392+AN412+AN431+AN450+AN469+AN488+AN507+AN527+AN553+AN573+AN593+AN613+AN633</f>
        <v>379</v>
      </c>
      <c r="AO644" s="2116">
        <f t="shared" si="636"/>
        <v>226</v>
      </c>
      <c r="AP644" s="2116">
        <f t="shared" si="636"/>
        <v>152</v>
      </c>
      <c r="AQ644" s="2135">
        <f t="shared" si="636"/>
        <v>273</v>
      </c>
      <c r="AR644" s="2135">
        <f t="shared" si="636"/>
        <v>640</v>
      </c>
      <c r="AS644" s="2136">
        <f t="shared" si="636"/>
        <v>115</v>
      </c>
      <c r="AT644" s="2136">
        <f t="shared" si="636"/>
        <v>370</v>
      </c>
      <c r="AU644" s="2137">
        <f t="shared" si="636"/>
        <v>110</v>
      </c>
      <c r="AV644" s="2138">
        <f t="shared" si="636"/>
        <v>260</v>
      </c>
    </row>
    <row r="645" spans="31:48" ht="27" customHeight="1" x14ac:dyDescent="0.3">
      <c r="AI645" s="2"/>
    </row>
    <row r="646" spans="31:48" ht="27" customHeight="1" x14ac:dyDescent="0.3"/>
    <row r="647" spans="31:48" ht="27" customHeight="1" x14ac:dyDescent="0.3"/>
  </sheetData>
  <dataConsolidate/>
  <mergeCells count="296">
    <mergeCell ref="AN19:AP19"/>
    <mergeCell ref="AQ19:AU19"/>
    <mergeCell ref="AQ20:AR20"/>
    <mergeCell ref="AS20:AT20"/>
    <mergeCell ref="A514:A515"/>
    <mergeCell ref="P68:R68"/>
    <mergeCell ref="P49:R49"/>
    <mergeCell ref="P29:R29"/>
    <mergeCell ref="I29:K29"/>
    <mergeCell ref="I49:K49"/>
    <mergeCell ref="I68:K68"/>
    <mergeCell ref="I106:K106"/>
    <mergeCell ref="P106:R106"/>
    <mergeCell ref="I125:K125"/>
    <mergeCell ref="P125:R125"/>
    <mergeCell ref="P490:R490"/>
    <mergeCell ref="L432:N432"/>
    <mergeCell ref="I433:K433"/>
    <mergeCell ref="L433:O433"/>
    <mergeCell ref="P433:R433"/>
    <mergeCell ref="L373:N373"/>
    <mergeCell ref="I374:K374"/>
    <mergeCell ref="L374:O374"/>
    <mergeCell ref="P374:R374"/>
    <mergeCell ref="AK19:AM19"/>
    <mergeCell ref="P596:R596"/>
    <mergeCell ref="S596:U596"/>
    <mergeCell ref="I616:K616"/>
    <mergeCell ref="L616:O616"/>
    <mergeCell ref="P616:R616"/>
    <mergeCell ref="S616:U616"/>
    <mergeCell ref="I556:K556"/>
    <mergeCell ref="L556:O556"/>
    <mergeCell ref="P556:R556"/>
    <mergeCell ref="S556:U556"/>
    <mergeCell ref="I576:K576"/>
    <mergeCell ref="L576:O576"/>
    <mergeCell ref="P576:R576"/>
    <mergeCell ref="S576:U576"/>
    <mergeCell ref="I536:K536"/>
    <mergeCell ref="L536:O536"/>
    <mergeCell ref="P536:R536"/>
    <mergeCell ref="S536:U536"/>
    <mergeCell ref="L489:N489"/>
    <mergeCell ref="I490:K490"/>
    <mergeCell ref="L490:O490"/>
    <mergeCell ref="I87:K87"/>
    <mergeCell ref="P87:R87"/>
    <mergeCell ref="S490:U490"/>
    <mergeCell ref="L470:N470"/>
    <mergeCell ref="I471:K471"/>
    <mergeCell ref="L471:O471"/>
    <mergeCell ref="P471:R471"/>
    <mergeCell ref="S471:U471"/>
    <mergeCell ref="L451:N451"/>
    <mergeCell ref="I452:K452"/>
    <mergeCell ref="L452:O452"/>
    <mergeCell ref="P452:R452"/>
    <mergeCell ref="S452:U452"/>
    <mergeCell ref="S433:U433"/>
    <mergeCell ref="L413:N413"/>
    <mergeCell ref="I414:K414"/>
    <mergeCell ref="L414:O414"/>
    <mergeCell ref="P414:R414"/>
    <mergeCell ref="S414:U414"/>
    <mergeCell ref="L393:N393"/>
    <mergeCell ref="I394:K394"/>
    <mergeCell ref="L394:O394"/>
    <mergeCell ref="P394:R394"/>
    <mergeCell ref="S394:U394"/>
    <mergeCell ref="S374:U374"/>
    <mergeCell ref="L354:N354"/>
    <mergeCell ref="I355:K355"/>
    <mergeCell ref="L355:O355"/>
    <mergeCell ref="P355:R355"/>
    <mergeCell ref="S355:U355"/>
    <mergeCell ref="L335:N335"/>
    <mergeCell ref="I336:K336"/>
    <mergeCell ref="L336:O336"/>
    <mergeCell ref="P336:R336"/>
    <mergeCell ref="S336:U336"/>
    <mergeCell ref="S317:U317"/>
    <mergeCell ref="L297:N297"/>
    <mergeCell ref="I298:K298"/>
    <mergeCell ref="L298:O298"/>
    <mergeCell ref="P298:R298"/>
    <mergeCell ref="S298:U298"/>
    <mergeCell ref="L278:N278"/>
    <mergeCell ref="I279:K279"/>
    <mergeCell ref="L279:O279"/>
    <mergeCell ref="P279:R279"/>
    <mergeCell ref="S279:U279"/>
    <mergeCell ref="L316:N316"/>
    <mergeCell ref="I317:K317"/>
    <mergeCell ref="L317:O317"/>
    <mergeCell ref="P317:R317"/>
    <mergeCell ref="L259:N259"/>
    <mergeCell ref="I260:K260"/>
    <mergeCell ref="L260:O260"/>
    <mergeCell ref="P260:R260"/>
    <mergeCell ref="S260:U260"/>
    <mergeCell ref="L240:N240"/>
    <mergeCell ref="I241:K241"/>
    <mergeCell ref="L241:O241"/>
    <mergeCell ref="P241:R241"/>
    <mergeCell ref="S241:U241"/>
    <mergeCell ref="L221:N221"/>
    <mergeCell ref="I222:K222"/>
    <mergeCell ref="L222:O222"/>
    <mergeCell ref="P222:R222"/>
    <mergeCell ref="S222:U222"/>
    <mergeCell ref="L202:N202"/>
    <mergeCell ref="I203:K203"/>
    <mergeCell ref="L203:O203"/>
    <mergeCell ref="P203:R203"/>
    <mergeCell ref="S203:U203"/>
    <mergeCell ref="L183:N183"/>
    <mergeCell ref="I184:K184"/>
    <mergeCell ref="L184:O184"/>
    <mergeCell ref="P184:R184"/>
    <mergeCell ref="S184:U184"/>
    <mergeCell ref="I183:K183"/>
    <mergeCell ref="P183:R183"/>
    <mergeCell ref="L164:N164"/>
    <mergeCell ref="I165:K165"/>
    <mergeCell ref="L165:O165"/>
    <mergeCell ref="P165:R165"/>
    <mergeCell ref="S165:U165"/>
    <mergeCell ref="L145:N145"/>
    <mergeCell ref="I146:K146"/>
    <mergeCell ref="L146:O146"/>
    <mergeCell ref="P146:R146"/>
    <mergeCell ref="S146:U146"/>
    <mergeCell ref="I145:K145"/>
    <mergeCell ref="P145:R145"/>
    <mergeCell ref="I164:K164"/>
    <mergeCell ref="P164:R164"/>
    <mergeCell ref="S69:U69"/>
    <mergeCell ref="L125:N125"/>
    <mergeCell ref="I126:K126"/>
    <mergeCell ref="L126:O126"/>
    <mergeCell ref="P126:R126"/>
    <mergeCell ref="S126:U126"/>
    <mergeCell ref="L106:N106"/>
    <mergeCell ref="I107:K107"/>
    <mergeCell ref="L107:O107"/>
    <mergeCell ref="P107:R107"/>
    <mergeCell ref="S107:U107"/>
    <mergeCell ref="CF263:CF264"/>
    <mergeCell ref="CG263:CG264"/>
    <mergeCell ref="CF17:CF18"/>
    <mergeCell ref="CG17:CG18"/>
    <mergeCell ref="CC18:CE18"/>
    <mergeCell ref="CF19:CF24"/>
    <mergeCell ref="CG19:CG24"/>
    <mergeCell ref="CF28:CF29"/>
    <mergeCell ref="CG28:CG29"/>
    <mergeCell ref="CF10:CF11"/>
    <mergeCell ref="CG10:CG11"/>
    <mergeCell ref="CF12:CF13"/>
    <mergeCell ref="CG12:CG13"/>
    <mergeCell ref="CF15:CF16"/>
    <mergeCell ref="CG15:CG16"/>
    <mergeCell ref="CF6:CF7"/>
    <mergeCell ref="CG6:CG7"/>
    <mergeCell ref="CF8:CF9"/>
    <mergeCell ref="CG8:CG9"/>
    <mergeCell ref="CC9:CE9"/>
    <mergeCell ref="F535:J535"/>
    <mergeCell ref="L535:N535"/>
    <mergeCell ref="F555:J555"/>
    <mergeCell ref="L555:N555"/>
    <mergeCell ref="L49:N49"/>
    <mergeCell ref="I50:K50"/>
    <mergeCell ref="L50:O50"/>
    <mergeCell ref="P50:R50"/>
    <mergeCell ref="S50:U50"/>
    <mergeCell ref="I30:K30"/>
    <mergeCell ref="P30:R30"/>
    <mergeCell ref="L30:O30"/>
    <mergeCell ref="S30:U30"/>
    <mergeCell ref="L29:N29"/>
    <mergeCell ref="L87:N87"/>
    <mergeCell ref="I88:K88"/>
    <mergeCell ref="L88:O88"/>
    <mergeCell ref="P88:R88"/>
    <mergeCell ref="S88:U88"/>
    <mergeCell ref="L68:N68"/>
    <mergeCell ref="I69:K69"/>
    <mergeCell ref="L69:O69"/>
    <mergeCell ref="P69:R69"/>
    <mergeCell ref="I509:K509"/>
    <mergeCell ref="L509:O509"/>
    <mergeCell ref="P509:R509"/>
    <mergeCell ref="S509:U509"/>
    <mergeCell ref="F615:J615"/>
    <mergeCell ref="L615:N615"/>
    <mergeCell ref="F575:J575"/>
    <mergeCell ref="L575:N575"/>
    <mergeCell ref="F595:J595"/>
    <mergeCell ref="L595:N595"/>
    <mergeCell ref="I596:K596"/>
    <mergeCell ref="L596:O596"/>
    <mergeCell ref="AQ636:AR636"/>
    <mergeCell ref="AS636:AT636"/>
    <mergeCell ref="AU636:AV636"/>
    <mergeCell ref="AQ30:AR30"/>
    <mergeCell ref="AS30:AT30"/>
    <mergeCell ref="AU30:AV30"/>
    <mergeCell ref="AQ50:AR50"/>
    <mergeCell ref="AS50:AT50"/>
    <mergeCell ref="AU50:AV50"/>
    <mergeCell ref="AQ69:AR69"/>
    <mergeCell ref="AS69:AT69"/>
    <mergeCell ref="AU69:AV69"/>
    <mergeCell ref="AQ88:AR88"/>
    <mergeCell ref="AS88:AT88"/>
    <mergeCell ref="AU88:AV88"/>
    <mergeCell ref="AQ107:AR107"/>
    <mergeCell ref="AS107:AT107"/>
    <mergeCell ref="AU107:AV107"/>
    <mergeCell ref="AQ146:AR146"/>
    <mergeCell ref="AS146:AT146"/>
    <mergeCell ref="AU146:AV146"/>
    <mergeCell ref="AQ165:AR165"/>
    <mergeCell ref="AS165:AT165"/>
    <mergeCell ref="AU165:AV165"/>
    <mergeCell ref="AQ184:AR184"/>
    <mergeCell ref="AS184:AT184"/>
    <mergeCell ref="AU184:AV184"/>
    <mergeCell ref="AQ203:AR203"/>
    <mergeCell ref="AS203:AT203"/>
    <mergeCell ref="AU203:AV203"/>
    <mergeCell ref="AQ222:AR222"/>
    <mergeCell ref="AS222:AT222"/>
    <mergeCell ref="AU222:AV222"/>
    <mergeCell ref="AQ241:AR241"/>
    <mergeCell ref="AS241:AT241"/>
    <mergeCell ref="AU241:AV241"/>
    <mergeCell ref="AQ260:AR260"/>
    <mergeCell ref="AS260:AT260"/>
    <mergeCell ref="AU260:AV260"/>
    <mergeCell ref="AQ279:AR279"/>
    <mergeCell ref="AS279:AT279"/>
    <mergeCell ref="AU279:AV279"/>
    <mergeCell ref="AQ298:AR298"/>
    <mergeCell ref="AS298:AT298"/>
    <mergeCell ref="AU298:AV298"/>
    <mergeCell ref="AQ317:AR317"/>
    <mergeCell ref="AS317:AT317"/>
    <mergeCell ref="AU317:AV317"/>
    <mergeCell ref="AQ336:AR336"/>
    <mergeCell ref="AS336:AT336"/>
    <mergeCell ref="AU336:AV336"/>
    <mergeCell ref="AQ355:AR355"/>
    <mergeCell ref="AS355:AT355"/>
    <mergeCell ref="AU355:AV355"/>
    <mergeCell ref="AQ394:AR394"/>
    <mergeCell ref="AS394:AT394"/>
    <mergeCell ref="AU394:AV394"/>
    <mergeCell ref="AQ471:AR471"/>
    <mergeCell ref="AS471:AT471"/>
    <mergeCell ref="AU471:AV471"/>
    <mergeCell ref="AQ490:AR490"/>
    <mergeCell ref="AS490:AT490"/>
    <mergeCell ref="AU490:AV490"/>
    <mergeCell ref="AQ414:AR414"/>
    <mergeCell ref="AS414:AT414"/>
    <mergeCell ref="AU414:AV414"/>
    <mergeCell ref="AQ433:AR433"/>
    <mergeCell ref="AS433:AT433"/>
    <mergeCell ref="AU433:AV433"/>
    <mergeCell ref="AQ596:AR596"/>
    <mergeCell ref="AS596:AT596"/>
    <mergeCell ref="AU596:AV596"/>
    <mergeCell ref="AQ616:AR616"/>
    <mergeCell ref="AS616:AT616"/>
    <mergeCell ref="AU616:AV616"/>
    <mergeCell ref="AQ374:AR374"/>
    <mergeCell ref="AS374:AT374"/>
    <mergeCell ref="AU374:AV374"/>
    <mergeCell ref="AQ509:AR509"/>
    <mergeCell ref="AS509:AT509"/>
    <mergeCell ref="AU509:AV509"/>
    <mergeCell ref="AQ536:AR536"/>
    <mergeCell ref="AS536:AT536"/>
    <mergeCell ref="AU536:AV536"/>
    <mergeCell ref="AQ556:AR556"/>
    <mergeCell ref="AS556:AT556"/>
    <mergeCell ref="AU556:AV556"/>
    <mergeCell ref="AQ576:AR576"/>
    <mergeCell ref="AS576:AT576"/>
    <mergeCell ref="AU576:AV576"/>
    <mergeCell ref="AQ452:AR452"/>
    <mergeCell ref="AS452:AT452"/>
    <mergeCell ref="AU452:AV452"/>
  </mergeCells>
  <pageMargins left="0.7" right="0.7" top="0.75" bottom="0.75" header="0.3" footer="0.3"/>
  <pageSetup scale="41" fitToHeight="8" orientation="landscape"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8AB85-9914-2741-97DB-75C9075756E2}">
  <sheetPr>
    <pageSetUpPr fitToPage="1"/>
  </sheetPr>
  <dimension ref="A1:AY34"/>
  <sheetViews>
    <sheetView topLeftCell="A12" zoomScale="85" zoomScaleNormal="85" workbookViewId="0">
      <selection activeCell="B13" sqref="B13"/>
    </sheetView>
    <sheetView workbookViewId="1"/>
  </sheetViews>
  <sheetFormatPr baseColWidth="10" defaultColWidth="11" defaultRowHeight="26" x14ac:dyDescent="0.3"/>
  <cols>
    <col min="1" max="1" width="22.83203125" style="657" customWidth="1"/>
    <col min="2" max="2" width="59.1640625" customWidth="1"/>
    <col min="3" max="3" width="62" customWidth="1"/>
    <col min="4" max="4" width="12" customWidth="1"/>
    <col min="5" max="5" width="13.33203125" customWidth="1"/>
    <col min="6" max="6" width="62" customWidth="1"/>
    <col min="7" max="7" width="13.1640625" customWidth="1"/>
    <col min="8" max="8" width="12" customWidth="1"/>
    <col min="9" max="9" width="8" bestFit="1" customWidth="1"/>
    <col min="10" max="10" width="87.1640625" bestFit="1" customWidth="1"/>
    <col min="11" max="11" width="31" bestFit="1" customWidth="1"/>
    <col min="12" max="12" width="11.5" customWidth="1"/>
    <col min="13" max="14" width="15" customWidth="1"/>
    <col min="15" max="19" width="11.5" customWidth="1"/>
    <col min="20" max="20" width="31.5" customWidth="1"/>
    <col min="21" max="21" width="4.1640625" customWidth="1"/>
    <col min="22" max="22" width="6" customWidth="1"/>
    <col min="23" max="26" width="8.6640625" customWidth="1"/>
    <col min="27" max="27" width="9.5" customWidth="1"/>
    <col min="28" max="28" width="8.6640625" customWidth="1"/>
    <col min="29" max="29" width="10.6640625" customWidth="1"/>
    <col min="30" max="30" width="8" customWidth="1"/>
    <col min="31" max="31" width="5.1640625" hidden="1" customWidth="1"/>
    <col min="32" max="37" width="62.5" customWidth="1"/>
    <col min="38" max="38" width="8.6640625" customWidth="1"/>
    <col min="45" max="48" width="27.6640625" customWidth="1"/>
    <col min="49" max="51" width="26" customWidth="1"/>
  </cols>
  <sheetData>
    <row r="1" spans="1:51" x14ac:dyDescent="0.3">
      <c r="B1" s="563" t="s">
        <v>811</v>
      </c>
      <c r="C1" s="50"/>
      <c r="D1" s="50"/>
      <c r="E1" s="50"/>
      <c r="F1" s="50"/>
      <c r="G1" s="50"/>
      <c r="H1" s="50"/>
      <c r="I1" s="50"/>
      <c r="J1" s="50"/>
      <c r="K1" s="50"/>
      <c r="L1" s="50"/>
      <c r="M1" s="50"/>
      <c r="N1" s="50"/>
      <c r="O1" s="50"/>
      <c r="P1" s="50"/>
      <c r="Q1" s="50"/>
      <c r="R1" s="50"/>
      <c r="S1" s="50"/>
      <c r="T1" s="50"/>
      <c r="AG1" s="63"/>
      <c r="AI1" s="63"/>
      <c r="AK1" s="63"/>
    </row>
    <row r="2" spans="1:51" x14ac:dyDescent="0.3">
      <c r="B2" s="563"/>
      <c r="C2" s="50"/>
      <c r="D2" s="50"/>
      <c r="E2" s="50"/>
      <c r="F2" s="50"/>
      <c r="G2" s="50"/>
      <c r="H2" s="50"/>
      <c r="I2" s="50"/>
      <c r="J2" s="50"/>
      <c r="K2" s="50"/>
      <c r="L2" s="50"/>
      <c r="M2" s="50"/>
      <c r="N2" s="50"/>
      <c r="O2" s="50"/>
      <c r="P2" s="50"/>
      <c r="Q2" s="50"/>
      <c r="R2" s="50"/>
      <c r="S2" s="50"/>
      <c r="T2" s="50"/>
      <c r="AG2" s="63"/>
      <c r="AI2" s="63"/>
      <c r="AK2" s="63"/>
    </row>
    <row r="3" spans="1:51" x14ac:dyDescent="0.3">
      <c r="B3" s="50" t="s">
        <v>1270</v>
      </c>
      <c r="C3" s="50"/>
      <c r="D3" s="50"/>
      <c r="E3" s="50"/>
      <c r="F3" s="50"/>
      <c r="G3" s="50"/>
      <c r="H3" s="50"/>
      <c r="I3" s="50"/>
      <c r="J3" s="50"/>
      <c r="K3" s="50"/>
      <c r="L3" s="50"/>
      <c r="M3" s="50"/>
      <c r="N3" s="50"/>
      <c r="O3" s="50"/>
      <c r="P3" s="50"/>
      <c r="Q3" s="50"/>
      <c r="R3" s="50"/>
      <c r="S3" s="50"/>
      <c r="T3" s="50"/>
      <c r="AF3" s="818"/>
      <c r="AG3" s="844"/>
      <c r="AH3" s="7"/>
      <c r="AI3" s="816"/>
      <c r="AJ3" s="816"/>
      <c r="AK3" s="845"/>
    </row>
    <row r="4" spans="1:51" ht="31" customHeight="1" x14ac:dyDescent="0.3">
      <c r="B4" s="50" t="s">
        <v>812</v>
      </c>
      <c r="J4" s="2279" t="s">
        <v>1294</v>
      </c>
      <c r="AD4" s="7"/>
      <c r="AE4" s="816"/>
      <c r="AF4" s="110"/>
      <c r="AG4" s="477"/>
      <c r="AH4" s="113"/>
      <c r="AI4" s="481"/>
      <c r="AJ4" s="113"/>
      <c r="AK4" s="482"/>
      <c r="AL4" s="113"/>
      <c r="AS4" t="s">
        <v>835</v>
      </c>
      <c r="AU4" s="510"/>
      <c r="AW4" t="s">
        <v>835</v>
      </c>
      <c r="AY4" s="510"/>
    </row>
    <row r="5" spans="1:51" ht="50" customHeight="1" x14ac:dyDescent="0.3">
      <c r="J5" s="2280"/>
      <c r="U5" s="50"/>
      <c r="V5" s="50"/>
      <c r="W5" s="835"/>
      <c r="X5" s="836"/>
      <c r="Y5" s="836" t="s">
        <v>243</v>
      </c>
      <c r="Z5" s="836"/>
      <c r="AA5" s="836"/>
      <c r="AB5" s="836"/>
      <c r="AC5" s="50"/>
      <c r="AD5" s="50" t="s">
        <v>813</v>
      </c>
      <c r="AL5" s="113"/>
      <c r="AM5" s="72"/>
      <c r="AS5" t="s">
        <v>836</v>
      </c>
      <c r="AW5" t="s">
        <v>839</v>
      </c>
    </row>
    <row r="6" spans="1:51" ht="50" customHeight="1" x14ac:dyDescent="0.3">
      <c r="B6" s="843" t="s">
        <v>827</v>
      </c>
      <c r="J6" s="2280"/>
      <c r="U6" s="834" t="s">
        <v>293</v>
      </c>
      <c r="V6" s="834"/>
      <c r="W6" s="837">
        <v>0</v>
      </c>
      <c r="X6" s="837">
        <v>1</v>
      </c>
      <c r="Y6" s="837">
        <v>2</v>
      </c>
      <c r="Z6" s="837">
        <v>4</v>
      </c>
      <c r="AA6" s="837">
        <v>7</v>
      </c>
      <c r="AB6" s="837">
        <v>10</v>
      </c>
      <c r="AC6" s="814"/>
      <c r="AD6" s="50"/>
      <c r="AE6" s="50"/>
      <c r="AF6" s="837">
        <v>0</v>
      </c>
      <c r="AG6" s="837">
        <v>1</v>
      </c>
      <c r="AH6" s="837">
        <v>2</v>
      </c>
      <c r="AI6" s="837">
        <v>4</v>
      </c>
      <c r="AJ6" s="837">
        <v>7</v>
      </c>
      <c r="AK6" s="837">
        <v>10</v>
      </c>
      <c r="AL6" s="113"/>
      <c r="AM6" s="72"/>
      <c r="AT6" s="1" t="s">
        <v>837</v>
      </c>
      <c r="AU6" s="1" t="s">
        <v>838</v>
      </c>
      <c r="AX6" s="1" t="s">
        <v>850</v>
      </c>
      <c r="AY6" s="1"/>
    </row>
    <row r="7" spans="1:51" x14ac:dyDescent="0.3">
      <c r="U7" s="834"/>
      <c r="V7" s="834"/>
      <c r="W7" s="837"/>
      <c r="X7" s="837"/>
      <c r="Y7" s="837"/>
      <c r="Z7" s="837"/>
      <c r="AA7" s="837"/>
      <c r="AB7" s="837"/>
      <c r="AC7" s="814"/>
      <c r="AD7" s="50"/>
      <c r="AE7" s="50"/>
      <c r="AF7" s="5">
        <v>1</v>
      </c>
      <c r="AG7" s="841">
        <v>2</v>
      </c>
      <c r="AH7" s="5">
        <v>3</v>
      </c>
      <c r="AI7" s="5">
        <v>4</v>
      </c>
      <c r="AJ7" s="5">
        <v>5</v>
      </c>
      <c r="AK7" s="5">
        <v>6</v>
      </c>
      <c r="AL7" s="113"/>
      <c r="AM7" s="72"/>
      <c r="AS7">
        <f>B12</f>
        <v>0</v>
      </c>
      <c r="AT7" s="6">
        <f>D12</f>
        <v>0</v>
      </c>
      <c r="AU7" s="6">
        <f>G12</f>
        <v>0</v>
      </c>
      <c r="AW7">
        <f>AS7</f>
        <v>0</v>
      </c>
      <c r="AX7" s="114">
        <f>I12</f>
        <v>0</v>
      </c>
      <c r="AY7" s="114"/>
    </row>
    <row r="8" spans="1:51" ht="74" customHeight="1" x14ac:dyDescent="0.35">
      <c r="B8" s="982"/>
      <c r="L8" s="63"/>
      <c r="M8" s="942"/>
      <c r="N8" s="942"/>
      <c r="O8" s="942"/>
      <c r="P8" s="942"/>
      <c r="Q8" s="942"/>
      <c r="R8" s="942"/>
      <c r="S8" s="942"/>
      <c r="U8" s="834"/>
      <c r="V8" s="838">
        <v>0</v>
      </c>
      <c r="W8" s="939">
        <v>0</v>
      </c>
      <c r="X8" s="939">
        <v>-1</v>
      </c>
      <c r="Y8" s="856">
        <v>-2</v>
      </c>
      <c r="Z8" s="856">
        <v>-4</v>
      </c>
      <c r="AA8" s="856">
        <v>-7</v>
      </c>
      <c r="AB8" s="856">
        <v>-10</v>
      </c>
      <c r="AD8" s="838">
        <v>0</v>
      </c>
      <c r="AE8" s="842">
        <v>1</v>
      </c>
      <c r="AF8" s="839" t="s">
        <v>815</v>
      </c>
      <c r="AG8" s="839" t="s">
        <v>815</v>
      </c>
      <c r="AH8" s="839" t="s">
        <v>858</v>
      </c>
      <c r="AI8" s="839" t="s">
        <v>818</v>
      </c>
      <c r="AJ8" s="839" t="s">
        <v>823</v>
      </c>
      <c r="AK8" s="846" t="s">
        <v>823</v>
      </c>
      <c r="AL8" s="113"/>
      <c r="AM8" s="72"/>
      <c r="AS8" t="str">
        <f>B13</f>
        <v>Interrogatoires au retour de garde</v>
      </c>
      <c r="AT8" s="6">
        <f t="shared" ref="AT8:AT19" si="0">D13</f>
        <v>2</v>
      </c>
      <c r="AU8" s="6">
        <f>G13</f>
        <v>1</v>
      </c>
      <c r="AW8" t="str">
        <f>AS8</f>
        <v>Interrogatoires au retour de garde</v>
      </c>
      <c r="AX8" s="114">
        <f>I13</f>
        <v>1</v>
      </c>
      <c r="AY8" s="114"/>
    </row>
    <row r="9" spans="1:51" ht="74" customHeight="1" x14ac:dyDescent="0.3">
      <c r="B9" s="843"/>
      <c r="L9" s="103"/>
      <c r="M9" s="103"/>
      <c r="N9" s="103" t="s">
        <v>1297</v>
      </c>
      <c r="O9" s="103"/>
      <c r="P9" s="509"/>
      <c r="Q9" s="509"/>
      <c r="R9" s="509"/>
      <c r="S9" s="841"/>
      <c r="U9" s="834"/>
      <c r="V9" s="838">
        <v>1</v>
      </c>
      <c r="W9" s="939">
        <v>0</v>
      </c>
      <c r="X9" s="939">
        <f>V9-X6</f>
        <v>0</v>
      </c>
      <c r="Y9" s="856">
        <f>V9-Y6</f>
        <v>-1</v>
      </c>
      <c r="Z9" s="856">
        <f>V9-Z6</f>
        <v>-3</v>
      </c>
      <c r="AA9" s="856">
        <f>V9-AA6</f>
        <v>-6</v>
      </c>
      <c r="AB9" s="856">
        <f>V9-AB6</f>
        <v>-9</v>
      </c>
      <c r="AD9" s="838"/>
      <c r="AE9" s="842"/>
      <c r="AF9" s="839"/>
      <c r="AG9" s="839"/>
      <c r="AH9" s="839"/>
      <c r="AI9" s="839"/>
      <c r="AJ9" s="839"/>
      <c r="AK9" s="846"/>
      <c r="AL9" s="113"/>
      <c r="AM9" s="72"/>
      <c r="AS9" t="str">
        <f>B14</f>
        <v>Exigences de coparentalité</v>
      </c>
      <c r="AT9" s="6">
        <f t="shared" si="0"/>
        <v>2</v>
      </c>
      <c r="AU9" s="6">
        <f>G14</f>
        <v>2</v>
      </c>
      <c r="AW9" t="str">
        <f>AS9</f>
        <v>Exigences de coparentalité</v>
      </c>
      <c r="AX9" s="114">
        <f>I14</f>
        <v>0</v>
      </c>
      <c r="AY9" s="114"/>
    </row>
    <row r="10" spans="1:51" ht="63" customHeight="1" x14ac:dyDescent="0.3">
      <c r="C10" s="849"/>
      <c r="D10" s="541"/>
      <c r="E10" s="541"/>
      <c r="F10" s="850"/>
      <c r="G10" s="850"/>
      <c r="H10" s="850"/>
      <c r="L10" s="444"/>
      <c r="M10" s="444"/>
      <c r="N10" s="1500" t="s">
        <v>1298</v>
      </c>
      <c r="O10" s="444"/>
      <c r="P10" s="841"/>
      <c r="Q10" s="841"/>
      <c r="R10" s="841"/>
      <c r="S10" s="841"/>
      <c r="U10" s="834"/>
      <c r="V10" s="838">
        <v>2</v>
      </c>
      <c r="W10" s="856">
        <v>2</v>
      </c>
      <c r="X10" s="856">
        <v>1</v>
      </c>
      <c r="Y10" s="856">
        <v>0</v>
      </c>
      <c r="Z10" s="940">
        <v>-2</v>
      </c>
      <c r="AA10" s="856">
        <v>-5</v>
      </c>
      <c r="AB10" s="856">
        <v>-8</v>
      </c>
      <c r="AD10" s="838">
        <v>2</v>
      </c>
      <c r="AE10" s="842">
        <v>3</v>
      </c>
      <c r="AF10" s="839" t="s">
        <v>814</v>
      </c>
      <c r="AG10" s="839" t="s">
        <v>814</v>
      </c>
      <c r="AH10" s="840" t="s">
        <v>824</v>
      </c>
      <c r="AI10" s="839" t="s">
        <v>820</v>
      </c>
      <c r="AJ10" s="839" t="s">
        <v>823</v>
      </c>
      <c r="AK10" s="839" t="s">
        <v>823</v>
      </c>
      <c r="AL10" s="113"/>
      <c r="AM10" s="72"/>
      <c r="AS10" t="str">
        <f>B15</f>
        <v>Valeur du co-parent et en compétition</v>
      </c>
      <c r="AT10" s="6">
        <f t="shared" si="0"/>
        <v>10</v>
      </c>
      <c r="AU10" s="6">
        <f>G15</f>
        <v>4</v>
      </c>
      <c r="AW10" t="str">
        <f>AS10</f>
        <v>Valeur du co-parent et en compétition</v>
      </c>
      <c r="AX10" s="114">
        <f>I15</f>
        <v>6</v>
      </c>
      <c r="AY10" s="114"/>
    </row>
    <row r="11" spans="1:51" ht="68" customHeight="1" x14ac:dyDescent="0.3">
      <c r="C11" s="851" t="s">
        <v>1906</v>
      </c>
      <c r="D11" s="851" t="s">
        <v>831</v>
      </c>
      <c r="E11" s="851" t="s">
        <v>833</v>
      </c>
      <c r="F11" s="851" t="s">
        <v>1907</v>
      </c>
      <c r="G11" s="851" t="s">
        <v>832</v>
      </c>
      <c r="H11" s="851" t="s">
        <v>833</v>
      </c>
      <c r="I11" s="851" t="s">
        <v>830</v>
      </c>
      <c r="J11" s="883" t="s">
        <v>834</v>
      </c>
      <c r="K11" s="884" t="s">
        <v>857</v>
      </c>
      <c r="L11" s="949"/>
      <c r="M11" s="949" t="s">
        <v>1295</v>
      </c>
      <c r="N11" s="949" t="s">
        <v>1296</v>
      </c>
      <c r="O11" s="949"/>
      <c r="P11" s="949"/>
      <c r="Q11" s="949"/>
      <c r="R11" s="949"/>
      <c r="S11" s="949"/>
      <c r="U11" s="834"/>
      <c r="V11" s="838">
        <v>4</v>
      </c>
      <c r="W11" s="856">
        <v>4</v>
      </c>
      <c r="X11" s="856">
        <v>3</v>
      </c>
      <c r="Y11" s="940">
        <v>2</v>
      </c>
      <c r="Z11" s="856">
        <v>0</v>
      </c>
      <c r="AA11" s="856">
        <v>-3</v>
      </c>
      <c r="AB11" s="856">
        <v>-6</v>
      </c>
      <c r="AD11" s="838">
        <v>4</v>
      </c>
      <c r="AE11" s="842">
        <v>4</v>
      </c>
      <c r="AF11" s="839" t="s">
        <v>822</v>
      </c>
      <c r="AG11" s="839" t="s">
        <v>821</v>
      </c>
      <c r="AH11" s="839" t="s">
        <v>825</v>
      </c>
      <c r="AI11" s="840" t="s">
        <v>817</v>
      </c>
      <c r="AJ11" s="839" t="s">
        <v>823</v>
      </c>
      <c r="AK11" s="839" t="s">
        <v>823</v>
      </c>
      <c r="AL11" s="113"/>
      <c r="AM11" s="72"/>
      <c r="AS11" s="7" t="str">
        <f>B18</f>
        <v>Réaction en présence de l'autre parent</v>
      </c>
      <c r="AT11" s="6" t="e">
        <f>#REF!</f>
        <v>#REF!</v>
      </c>
      <c r="AU11" s="6">
        <f>G18</f>
        <v>2</v>
      </c>
      <c r="AV11" s="7"/>
      <c r="AW11" s="7" t="str">
        <f t="shared" ref="AW11:AW18" si="1">AS11</f>
        <v>Réaction en présence de l'autre parent</v>
      </c>
      <c r="AX11" s="6">
        <f>I18</f>
        <v>5</v>
      </c>
      <c r="AY11" s="114"/>
    </row>
    <row r="12" spans="1:51" s="7" customFormat="1" ht="137" customHeight="1" x14ac:dyDescent="0.2">
      <c r="A12" s="941"/>
      <c r="B12" s="1675"/>
      <c r="C12" s="847"/>
      <c r="D12" s="855"/>
      <c r="E12" s="541"/>
      <c r="F12" s="1676"/>
      <c r="G12" s="855"/>
      <c r="H12" s="541"/>
      <c r="I12" s="855"/>
      <c r="J12" s="854"/>
      <c r="K12" s="842"/>
      <c r="L12" s="910"/>
      <c r="M12" s="1499"/>
      <c r="N12" s="1499"/>
      <c r="O12" s="910"/>
      <c r="P12" s="910"/>
      <c r="Q12" s="910"/>
      <c r="R12" s="910"/>
      <c r="S12" s="910"/>
      <c r="T12" s="842"/>
      <c r="U12" s="842"/>
      <c r="V12" s="910">
        <v>7</v>
      </c>
      <c r="W12" s="856">
        <v>7</v>
      </c>
      <c r="X12" s="856">
        <v>6</v>
      </c>
      <c r="Y12" s="856">
        <v>5</v>
      </c>
      <c r="Z12" s="856">
        <v>3</v>
      </c>
      <c r="AA12" s="856">
        <v>0</v>
      </c>
      <c r="AB12" s="856">
        <v>-3</v>
      </c>
      <c r="AD12" s="910">
        <v>7</v>
      </c>
      <c r="AE12" s="842">
        <v>5</v>
      </c>
      <c r="AF12" s="839" t="s">
        <v>819</v>
      </c>
      <c r="AG12" s="839" t="s">
        <v>819</v>
      </c>
      <c r="AH12" s="839" t="s">
        <v>826</v>
      </c>
      <c r="AI12" s="839" t="s">
        <v>826</v>
      </c>
      <c r="AJ12" s="839" t="s">
        <v>816</v>
      </c>
      <c r="AK12" s="839" t="s">
        <v>816</v>
      </c>
      <c r="AL12" s="113"/>
      <c r="AM12" s="562"/>
      <c r="AS12" s="7" t="str">
        <f>B19</f>
        <v>Reproche et dénigrement de l'autre devant l'enfant</v>
      </c>
      <c r="AT12" s="6">
        <f>D27</f>
        <v>4</v>
      </c>
      <c r="AU12" s="6">
        <f>G19</f>
        <v>2</v>
      </c>
      <c r="AW12" s="7" t="str">
        <f t="shared" si="1"/>
        <v>Reproche et dénigrement de l'autre devant l'enfant</v>
      </c>
      <c r="AX12" s="6">
        <f>I19</f>
        <v>5</v>
      </c>
    </row>
    <row r="13" spans="1:51" s="7" customFormat="1" ht="126" customHeight="1" x14ac:dyDescent="0.2">
      <c r="A13" s="941"/>
      <c r="B13" s="848" t="str">
        <f>'Cpts miroirs des parents'!B9</f>
        <v>Interrogatoires au retour de garde</v>
      </c>
      <c r="C13" s="847" t="str">
        <f>Test_Bible!B185</f>
        <v>L'autre parent questionne votre enfant à son retour de garde afin de connaître la routine (repas, dodo, activités, etc.) chez vous.</v>
      </c>
      <c r="D13" s="852">
        <f>Test_Bible!P185</f>
        <v>2</v>
      </c>
      <c r="E13" s="541">
        <f>VLOOKUP(D13,$AD$8:$AE$13,2)</f>
        <v>3</v>
      </c>
      <c r="F13" s="847" t="str">
        <f>Test_Bible!B125</f>
        <v>Vous questionnez votre enfant à son retour de garde afin de connaître la routine (repas, dodo, activités, etc.) chez l'autre parent.</v>
      </c>
      <c r="G13" s="852">
        <f>Test_Bible!P125</f>
        <v>1</v>
      </c>
      <c r="H13" s="541">
        <f t="shared" ref="H13:H18" si="2">HLOOKUP(G13,$AF$6:$AK$7,2)</f>
        <v>2</v>
      </c>
      <c r="I13" s="853">
        <f t="shared" ref="I13:I18" si="3">D13-G13</f>
        <v>1</v>
      </c>
      <c r="J13" s="854" t="str">
        <f>IF(OR(D13=0,G13=0),"",VLOOKUP(E13,$AE$8:$AK$13,H13+1))</f>
        <v>Conservez cette attitude tout en restant attentif à ce que l'attitude de l'autre parent ne se dégrade pas</v>
      </c>
      <c r="K13" s="842" t="str">
        <f t="shared" ref="K13:K19" si="4">IF(OR(D13&gt;=7,G13&gt;=4),"Conseils prioritaires",IF(AND(D13&lt;=3,G13&lt;=2),"Adéquat","à surveiller"))</f>
        <v>Adéquat</v>
      </c>
      <c r="L13" s="950"/>
      <c r="M13" s="1499">
        <f>D13</f>
        <v>2</v>
      </c>
      <c r="N13" s="1499">
        <f>I13</f>
        <v>1</v>
      </c>
      <c r="O13" s="950"/>
      <c r="P13" s="950"/>
      <c r="Q13" s="950"/>
      <c r="R13" s="950"/>
      <c r="S13" s="950"/>
      <c r="T13" s="842"/>
      <c r="U13" s="951"/>
      <c r="V13" s="838">
        <v>10</v>
      </c>
      <c r="W13" s="856">
        <v>10</v>
      </c>
      <c r="X13" s="856">
        <v>9</v>
      </c>
      <c r="Y13" s="856">
        <v>8</v>
      </c>
      <c r="Z13" s="856">
        <v>6</v>
      </c>
      <c r="AA13" s="856">
        <v>3</v>
      </c>
      <c r="AB13" s="856">
        <v>0</v>
      </c>
      <c r="AD13" s="838">
        <v>10</v>
      </c>
      <c r="AE13" s="842">
        <v>6</v>
      </c>
      <c r="AF13" s="839" t="s">
        <v>819</v>
      </c>
      <c r="AG13" s="839" t="s">
        <v>819</v>
      </c>
      <c r="AH13" s="839" t="s">
        <v>826</v>
      </c>
      <c r="AI13" s="839" t="s">
        <v>826</v>
      </c>
      <c r="AJ13" s="839" t="s">
        <v>816</v>
      </c>
      <c r="AK13" s="839" t="s">
        <v>816</v>
      </c>
      <c r="AL13" s="113"/>
      <c r="AM13" s="562"/>
      <c r="AS13" s="7" t="str">
        <f>B20</f>
        <v>Prise de décision sans consentement</v>
      </c>
      <c r="AT13" s="6" t="e">
        <f>#REF!</f>
        <v>#REF!</v>
      </c>
      <c r="AU13" s="6">
        <f>G20</f>
        <v>4</v>
      </c>
      <c r="AW13" s="7" t="str">
        <f t="shared" si="1"/>
        <v>Prise de décision sans consentement</v>
      </c>
      <c r="AX13" s="6">
        <f>I20</f>
        <v>-3</v>
      </c>
    </row>
    <row r="14" spans="1:51" s="7" customFormat="1" ht="123" customHeight="1" x14ac:dyDescent="0.2">
      <c r="A14" s="941"/>
      <c r="B14" s="848" t="str">
        <f>'Cpts miroirs des parents'!B12</f>
        <v>Exigences de coparentalité</v>
      </c>
      <c r="C14" s="847" t="str">
        <f>Test_Bible!B207</f>
        <v>Dans quelle mesure diriez-vous que l'autre parent accepte ou vit bien avec les exigences de la coparentalité (logistique horaire, transport, vacances, etc.) ?</v>
      </c>
      <c r="D14" s="852">
        <f>Test_Bible!P207</f>
        <v>2</v>
      </c>
      <c r="E14" s="541">
        <f>VLOOKUP(D14,$AD$8:$AE$13,2)</f>
        <v>3</v>
      </c>
      <c r="F14" s="847" t="str">
        <f>Test_Bible!B138</f>
        <v>Dans quelle mesure acceptez-vous ou êtes-vous serein·e face aux exigences de la coparentalité (logistique horaire, transport, vacances, etc.) ?</v>
      </c>
      <c r="G14" s="852">
        <f>Test_Bible!P138</f>
        <v>2</v>
      </c>
      <c r="H14" s="541">
        <f t="shared" si="2"/>
        <v>3</v>
      </c>
      <c r="I14" s="853">
        <f t="shared" si="3"/>
        <v>0</v>
      </c>
      <c r="J14" s="854" t="str">
        <f>VLOOKUP(E14,$AE$8:$AK$13,H14+1)</f>
        <v xml:space="preserve"> L'attitude des deux parents est comparable, mais pas toujours adéquate pour l'enfant. Outillez vous pour prévenir l'impact chez l'enfant.</v>
      </c>
      <c r="K14" s="842" t="str">
        <f t="shared" si="4"/>
        <v>Adéquat</v>
      </c>
      <c r="L14" s="950"/>
      <c r="M14" s="1499">
        <f>D14</f>
        <v>2</v>
      </c>
      <c r="N14" s="1499">
        <f>I14</f>
        <v>0</v>
      </c>
      <c r="O14" s="950"/>
      <c r="P14" s="950"/>
      <c r="Q14" s="950"/>
      <c r="R14" s="950"/>
      <c r="S14" s="950"/>
      <c r="U14" s="842"/>
      <c r="V14" s="842"/>
      <c r="W14" s="952"/>
      <c r="X14" s="952"/>
      <c r="Y14" s="952"/>
      <c r="Z14" s="952"/>
      <c r="AA14" s="952"/>
      <c r="AB14" s="842"/>
      <c r="AC14" s="842"/>
      <c r="AD14" s="842"/>
      <c r="AE14" s="842"/>
      <c r="AF14" s="953"/>
      <c r="AG14" s="954"/>
      <c r="AH14" s="954"/>
      <c r="AI14" s="954"/>
      <c r="AJ14" s="954"/>
      <c r="AL14" s="113"/>
      <c r="AM14" s="562"/>
      <c r="AS14" s="7" t="str">
        <f>B21</f>
        <v>Liberté du choix de l'enfant</v>
      </c>
      <c r="AT14" s="6">
        <f>D18</f>
        <v>7</v>
      </c>
      <c r="AU14" s="6">
        <f>G21</f>
        <v>2</v>
      </c>
      <c r="AW14" s="7" t="str">
        <f t="shared" si="1"/>
        <v>Liberté du choix de l'enfant</v>
      </c>
      <c r="AX14" s="6">
        <f>I21</f>
        <v>-2</v>
      </c>
    </row>
    <row r="15" spans="1:51" s="7" customFormat="1" ht="93" customHeight="1" x14ac:dyDescent="0.2">
      <c r="A15" s="941"/>
      <c r="B15" s="848" t="str">
        <f>'Cpts miroirs des parents'!B14&amp;" et "&amp;'Cpts miroirs des parents'!B15</f>
        <v>Valeur du co-parent et en compétition</v>
      </c>
      <c r="C15" s="847" t="str">
        <f>Test_Bible!B205&amp;" et "&amp;Test_Bible!B206</f>
        <v>Dans quelle mesure diriez-vous que l'autre parent vous considère comme étant son égal·e sur le plan parental ?  et L'autre parent sent qu’il est en compétition avec vous pour l’amour de votre enfant.</v>
      </c>
      <c r="D15" s="852">
        <f>MAX(Test_Bible!P205,Test_Bible!P206)</f>
        <v>10</v>
      </c>
      <c r="E15" s="541">
        <f>VLOOKUP(MAX(D15:D15),$AD$8:$AE$13,2)</f>
        <v>6</v>
      </c>
      <c r="F15" s="847" t="str">
        <f>Test_Bible!B137</f>
        <v>Dans quelle mesure considérez-vous l'autre parent comme étant votre égal·e sur le plan parental ?</v>
      </c>
      <c r="G15" s="852">
        <f>Test_Bible!P137</f>
        <v>4</v>
      </c>
      <c r="H15" s="541">
        <f t="shared" si="2"/>
        <v>4</v>
      </c>
      <c r="I15" s="853">
        <f t="shared" si="3"/>
        <v>6</v>
      </c>
      <c r="J15" s="854" t="str">
        <f>VLOOKUP(E15,$AE$8:$AK$13,H15+1)</f>
        <v>L'autre parent a un attitude néfaste. Restez aussi attentif.ve à votre attitude. Outillez-vous pour répondre à l'autre parent et aux réactions de l'enfant.</v>
      </c>
      <c r="K15" s="842" t="str">
        <f t="shared" si="4"/>
        <v>Conseils prioritaires</v>
      </c>
      <c r="L15" s="910"/>
      <c r="M15" s="1499">
        <f>D15</f>
        <v>10</v>
      </c>
      <c r="N15" s="1499">
        <f>I15</f>
        <v>6</v>
      </c>
      <c r="O15" s="910"/>
      <c r="P15" s="910"/>
      <c r="Q15" s="910"/>
      <c r="R15" s="910"/>
      <c r="S15" s="910"/>
      <c r="U15" s="842"/>
      <c r="V15" s="842"/>
      <c r="W15" s="952"/>
      <c r="X15" s="952"/>
      <c r="Y15" s="952"/>
      <c r="Z15" s="952"/>
      <c r="AA15" s="952"/>
      <c r="AB15" s="842"/>
      <c r="AC15" s="842"/>
      <c r="AD15" s="842"/>
      <c r="AE15" s="842"/>
      <c r="AF15" s="953"/>
      <c r="AG15" s="954"/>
      <c r="AH15" s="954"/>
      <c r="AI15" s="954"/>
      <c r="AJ15" s="954"/>
      <c r="AL15" s="113"/>
      <c r="AM15" s="562"/>
      <c r="AS15" s="7" t="str">
        <f>B22</f>
        <v>Impose sa présence hors de son temps de garde</v>
      </c>
      <c r="AT15" s="6">
        <f>D19</f>
        <v>7</v>
      </c>
      <c r="AU15" s="6">
        <f>G22</f>
        <v>1</v>
      </c>
      <c r="AW15" s="7" t="str">
        <f t="shared" si="1"/>
        <v>Impose sa présence hors de son temps de garde</v>
      </c>
      <c r="AX15" s="6">
        <f>I22</f>
        <v>6</v>
      </c>
    </row>
    <row r="16" spans="1:51" s="7" customFormat="1" ht="93" customHeight="1" x14ac:dyDescent="0.2">
      <c r="A16" s="941"/>
      <c r="B16" s="848" t="str">
        <f>'Cpts miroirs des parents'!B17</f>
        <v>Compromis à faire</v>
      </c>
      <c r="C16" s="847" t="str">
        <f>'Cpts miroirs des parents'!D17</f>
        <v>L'autre parent (coparent) accepte de faire des compromis afin d'assurer une bonne entente de garde.</v>
      </c>
      <c r="D16" s="852">
        <f>Test_Bible!P163</f>
        <v>2</v>
      </c>
      <c r="E16" s="541">
        <f>VLOOKUP(D16,$AD$8:$AE$13,2)</f>
        <v>3</v>
      </c>
      <c r="F16" s="847" t="str">
        <f>'Cpts miroirs des parents'!H17</f>
        <v>Vous devez faire des compromis afin d'assurer une bonne entente de garde.</v>
      </c>
      <c r="G16" s="852">
        <f>Test_Bible!P123</f>
        <v>7</v>
      </c>
      <c r="H16" s="541">
        <f t="shared" si="2"/>
        <v>5</v>
      </c>
      <c r="I16" s="853">
        <f t="shared" si="3"/>
        <v>-5</v>
      </c>
      <c r="J16" s="854" t="str">
        <f>VLOOKUP(E16,$AE$8:$AK$13,H16+1)</f>
        <v>Votre attitude nuit grandement à votre coparentalité et affecte la santé de l'enfant. Demandez de l'aide.</v>
      </c>
      <c r="K16" s="842" t="str">
        <f t="shared" si="4"/>
        <v>Conseils prioritaires</v>
      </c>
      <c r="L16" s="910"/>
      <c r="M16" s="1499">
        <f t="shared" ref="M16" si="5">D16</f>
        <v>2</v>
      </c>
      <c r="N16" s="1499">
        <f t="shared" ref="N16" si="6">I16</f>
        <v>-5</v>
      </c>
      <c r="O16" s="910"/>
      <c r="P16" s="910"/>
      <c r="Q16" s="910"/>
      <c r="R16" s="910"/>
      <c r="S16" s="910"/>
      <c r="U16" s="842"/>
      <c r="V16" s="842"/>
      <c r="W16" s="952"/>
      <c r="X16" s="952"/>
      <c r="Y16" s="952"/>
      <c r="Z16" s="952"/>
      <c r="AA16" s="952"/>
      <c r="AB16" s="842"/>
      <c r="AC16" s="842"/>
      <c r="AD16" s="842"/>
      <c r="AE16" s="842"/>
      <c r="AF16" s="953"/>
      <c r="AG16" s="954"/>
      <c r="AH16" s="954"/>
      <c r="AI16" s="954"/>
      <c r="AJ16" s="954"/>
      <c r="AL16" s="113"/>
      <c r="AM16" s="562"/>
      <c r="AT16" s="6"/>
      <c r="AU16" s="6"/>
      <c r="AX16" s="6"/>
    </row>
    <row r="17" spans="1:50" s="7" customFormat="1" ht="93" customHeight="1" x14ac:dyDescent="0.2">
      <c r="A17" s="941"/>
      <c r="B17" s="848" t="str">
        <f>'Cpts miroirs des parents'!B19</f>
        <v>Respect de l'ordonnance de garde</v>
      </c>
      <c r="C17" s="847" t="str">
        <f>'Cpts miroirs des parents'!D19</f>
        <v>Est-ce que l'autre parent (coparent) respecte les ordonnances ou les jugements de la Cour ?</v>
      </c>
      <c r="D17" s="852">
        <f>Test_Bible!P56</f>
        <v>0</v>
      </c>
      <c r="E17" s="541">
        <f>VLOOKUP(D17,$AD$8:$AE$13,2)</f>
        <v>1</v>
      </c>
      <c r="F17" s="847" t="str">
        <f>'Cpts miroirs des parents'!H19</f>
        <v>De votre côté-vous, respectez-vous les ordonnances et l'entente de garde ?</v>
      </c>
      <c r="G17" s="852">
        <f>Test_Bible!P57</f>
        <v>0</v>
      </c>
      <c r="H17" s="541">
        <f t="shared" si="2"/>
        <v>1</v>
      </c>
      <c r="I17" s="853">
        <f t="shared" si="3"/>
        <v>0</v>
      </c>
      <c r="J17" s="854" t="str">
        <f>VLOOKUP(E17,$AE$8:$AK$13,H17+1)</f>
        <v>L'attitude des deux parents est positive pour l'enfant</v>
      </c>
      <c r="K17" s="842" t="str">
        <f t="shared" si="4"/>
        <v>Adéquat</v>
      </c>
      <c r="L17" s="910"/>
      <c r="M17" s="1499">
        <f t="shared" ref="M17" si="7">D17</f>
        <v>0</v>
      </c>
      <c r="N17" s="1499">
        <f t="shared" ref="N17" si="8">I17</f>
        <v>0</v>
      </c>
      <c r="O17" s="910"/>
      <c r="P17" s="910"/>
      <c r="Q17" s="910"/>
      <c r="R17" s="910"/>
      <c r="S17" s="910"/>
      <c r="U17" s="842"/>
      <c r="V17" s="842"/>
      <c r="W17" s="952"/>
      <c r="X17" s="952"/>
      <c r="Y17" s="952"/>
      <c r="Z17" s="952"/>
      <c r="AA17" s="952"/>
      <c r="AB17" s="842"/>
      <c r="AC17" s="842"/>
      <c r="AD17" s="842"/>
      <c r="AE17" s="842"/>
      <c r="AF17" s="953"/>
      <c r="AG17" s="954"/>
      <c r="AH17" s="954"/>
      <c r="AI17" s="954"/>
      <c r="AJ17" s="954"/>
      <c r="AL17" s="113"/>
      <c r="AM17" s="562"/>
      <c r="AT17" s="6"/>
      <c r="AU17" s="6"/>
      <c r="AX17" s="6"/>
    </row>
    <row r="18" spans="1:50" ht="93" customHeight="1" x14ac:dyDescent="0.3">
      <c r="A18" s="2278" t="s">
        <v>953</v>
      </c>
      <c r="B18" s="848" t="str">
        <f>'Cpts miroirs des parents'!B21</f>
        <v>Réaction en présence de l'autre parent</v>
      </c>
      <c r="C18" s="847" t="str">
        <f>Test_Bible!B182</f>
        <v>L’autre parent vous salue lors de changements de garde, à l'école ou lors d'événements culturels ou sportifs.</v>
      </c>
      <c r="D18" s="852">
        <f>Test_Bible!P182</f>
        <v>7</v>
      </c>
      <c r="E18" s="541">
        <f>VLOOKUP(D18,$AD$8:$AE$13,2)</f>
        <v>5</v>
      </c>
      <c r="F18" s="847" t="str">
        <f>Test_Bible!B124</f>
        <v xml:space="preserve">Vous saluez ou allez vers l'autre parent lors de changements de garde, à l'école ou lors d'événements culturels ou sportifs. </v>
      </c>
      <c r="G18" s="852">
        <f>Test_Bible!P124</f>
        <v>2</v>
      </c>
      <c r="H18" s="541">
        <f t="shared" si="2"/>
        <v>3</v>
      </c>
      <c r="I18" s="853">
        <f t="shared" si="3"/>
        <v>5</v>
      </c>
      <c r="J18" s="854" t="str">
        <f t="shared" ref="J18:J26" si="9">VLOOKUP(E18,$AE$8:$AK$13,H18+1)</f>
        <v>L'autre parent a un attitude néfaste. Restez aussi attentif.ve à votre attitude. Outillez-vous pour répondre à l'autre parent et aux réactions de l'enfant.</v>
      </c>
      <c r="K18" s="842" t="str">
        <f t="shared" si="4"/>
        <v>Conseils prioritaires</v>
      </c>
      <c r="L18" s="942"/>
      <c r="M18" s="942"/>
      <c r="N18" s="942"/>
      <c r="O18" s="942"/>
      <c r="P18" s="942"/>
      <c r="Q18" s="942"/>
      <c r="R18" s="942"/>
      <c r="S18" s="942"/>
      <c r="T18" s="50"/>
      <c r="U18" s="115"/>
      <c r="AC18" s="7"/>
      <c r="AD18" s="816"/>
      <c r="AE18" s="110"/>
      <c r="AF18" s="477"/>
      <c r="AG18" s="113"/>
      <c r="AH18" s="481"/>
      <c r="AI18" s="113"/>
      <c r="AJ18" s="482"/>
      <c r="AK18" s="113"/>
      <c r="AL18" s="72"/>
      <c r="AS18" t="str">
        <f>B26</f>
        <v>Maturité de l'enfant face à ses choix</v>
      </c>
      <c r="AT18" s="6">
        <f t="shared" si="0"/>
        <v>2</v>
      </c>
      <c r="AU18" s="6">
        <f>G26</f>
        <v>2</v>
      </c>
      <c r="AW18" t="str">
        <f t="shared" si="1"/>
        <v>Maturité de l'enfant face à ses choix</v>
      </c>
      <c r="AX18" s="114">
        <f>I26</f>
        <v>-1</v>
      </c>
    </row>
    <row r="19" spans="1:50" ht="93" customHeight="1" x14ac:dyDescent="0.3">
      <c r="A19" s="2278"/>
      <c r="B19" s="848" t="str">
        <f>'Cpts miroirs des parents'!B23</f>
        <v>Reproche et dénigrement de l'autre devant l'enfant</v>
      </c>
      <c r="C19" s="847" t="str">
        <f>Test_Bible!B186</f>
        <v>L’autre parent vous dénigre en la présence de votre enfant.</v>
      </c>
      <c r="D19" s="852">
        <f>Test_Bible!P186</f>
        <v>7</v>
      </c>
      <c r="E19" s="541">
        <f t="shared" ref="E19:E26" si="10">VLOOKUP(D19,$AD$8:$AE$13,2)</f>
        <v>5</v>
      </c>
      <c r="F19" s="847" t="str">
        <f>Test_Bible!B134</f>
        <v>Il vous arrive de faire des reproches à l'autre parent devant votre enfant.</v>
      </c>
      <c r="G19" s="852">
        <f>Test_Bible!P134</f>
        <v>2</v>
      </c>
      <c r="H19" s="541">
        <f t="shared" ref="H19:H26" si="11">HLOOKUP(G19,$AF$6:$AK$7,2)</f>
        <v>3</v>
      </c>
      <c r="I19" s="853">
        <f t="shared" ref="I19:I26" si="12">D19-G19</f>
        <v>5</v>
      </c>
      <c r="J19" s="854" t="str">
        <f t="shared" si="9"/>
        <v>L'autre parent a un attitude néfaste. Restez aussi attentif.ve à votre attitude. Outillez-vous pour répondre à l'autre parent et aux réactions de l'enfant.</v>
      </c>
      <c r="K19" s="842" t="str">
        <f t="shared" si="4"/>
        <v>Conseils prioritaires</v>
      </c>
      <c r="L19" s="942"/>
      <c r="M19" s="942"/>
      <c r="N19" s="942"/>
      <c r="O19" s="942"/>
      <c r="P19" s="942"/>
      <c r="Q19" s="942"/>
      <c r="R19" s="942"/>
      <c r="S19" s="942"/>
      <c r="T19" s="50"/>
      <c r="U19" s="115"/>
      <c r="AC19" s="7"/>
      <c r="AD19" s="816"/>
      <c r="AE19" s="110"/>
      <c r="AF19" s="477"/>
      <c r="AG19" s="113"/>
      <c r="AH19" s="481"/>
      <c r="AI19" s="113"/>
      <c r="AJ19" s="482"/>
      <c r="AK19" s="113"/>
      <c r="AL19" s="72"/>
      <c r="AS19" t="str">
        <f>B27</f>
        <v>Transport d'objets entre les deux domiciles</v>
      </c>
      <c r="AT19" s="6">
        <f t="shared" si="0"/>
        <v>7</v>
      </c>
      <c r="AU19" s="6">
        <f>G27</f>
        <v>1</v>
      </c>
      <c r="AW19" t="str">
        <f>AS19</f>
        <v>Transport d'objets entre les deux domiciles</v>
      </c>
      <c r="AX19" s="114">
        <f>I27</f>
        <v>3</v>
      </c>
    </row>
    <row r="20" spans="1:50" ht="93" customHeight="1" x14ac:dyDescent="0.3">
      <c r="A20" s="2278"/>
      <c r="B20" s="848" t="str">
        <f>'Cpts miroirs des parents'!B25</f>
        <v>Prise de décision sans consentement</v>
      </c>
      <c r="C20" s="847" t="str">
        <f>Test_Bible!B193</f>
        <v>L'autre parent impose des changements d’horaires sans vous consulter au préalable et sans votre autorisation.</v>
      </c>
      <c r="D20" s="852">
        <f>Test_Bible!P193</f>
        <v>1</v>
      </c>
      <c r="E20" s="541">
        <f t="shared" si="10"/>
        <v>1</v>
      </c>
      <c r="F20" s="847" t="str">
        <f>Test_Bible!B140</f>
        <v>Il vous arrive de prendre des décisions sans consulter l'autre parent.</v>
      </c>
      <c r="G20" s="852">
        <f>Test_Bible!P140</f>
        <v>4</v>
      </c>
      <c r="H20" s="541">
        <f t="shared" si="11"/>
        <v>4</v>
      </c>
      <c r="I20" s="853">
        <f t="shared" si="12"/>
        <v>-3</v>
      </c>
      <c r="J20" s="854" t="str">
        <f t="shared" si="9"/>
        <v>Restez attentif.ve aux raisons qui vous poussent à agir. Drmandez de l'aide.</v>
      </c>
      <c r="K20" s="842" t="str">
        <f t="shared" ref="K20:K26" si="13">IF(OR(D20&gt;=7,G20&gt;=4),"Conseils prioritaires",IF(AND(D20&lt;=3,G20&lt;=2),"Adéquat","à surveiller"))</f>
        <v>Conseils prioritaires</v>
      </c>
      <c r="L20" s="910"/>
      <c r="M20" s="910"/>
      <c r="N20" s="910"/>
      <c r="O20" s="910"/>
      <c r="P20" s="910"/>
      <c r="Q20" s="910"/>
      <c r="R20" s="910"/>
      <c r="S20" s="910"/>
      <c r="T20" s="50"/>
      <c r="U20" s="115"/>
      <c r="AC20" s="7"/>
      <c r="AD20" s="816"/>
      <c r="AE20" s="110"/>
      <c r="AF20" s="477"/>
      <c r="AG20" s="113"/>
      <c r="AH20" s="481"/>
      <c r="AI20" s="113"/>
      <c r="AJ20" s="482"/>
      <c r="AK20" s="113"/>
      <c r="AL20" s="72"/>
      <c r="AT20" s="114"/>
      <c r="AU20" s="114"/>
    </row>
    <row r="21" spans="1:50" ht="93" customHeight="1" x14ac:dyDescent="0.3">
      <c r="A21" s="2278"/>
      <c r="B21" s="848" t="str">
        <f>'Cpts miroirs des parents'!B27</f>
        <v>Liberté du choix de l'enfant</v>
      </c>
      <c r="C21" s="847" t="str">
        <f>Test_Bible!B249</f>
        <v/>
      </c>
      <c r="D21" s="852">
        <f>Test_Bible!P249</f>
        <v>0</v>
      </c>
      <c r="E21" s="541">
        <f t="shared" si="10"/>
        <v>1</v>
      </c>
      <c r="F21" s="847" t="str">
        <f>Test_Bible!B136</f>
        <v>Vous laissez à votre enfant le droit de choisir la fréquence des visites et le temps qu'il passe chez l'autre parent.</v>
      </c>
      <c r="G21" s="852">
        <f>Test_Bible!P136</f>
        <v>2</v>
      </c>
      <c r="H21" s="541">
        <f t="shared" si="11"/>
        <v>3</v>
      </c>
      <c r="I21" s="853">
        <f t="shared" si="12"/>
        <v>-2</v>
      </c>
      <c r="J21" s="854" t="str">
        <f t="shared" si="9"/>
        <v>Restez attentif.ve aux raisons qui vous poussent à agir.</v>
      </c>
      <c r="K21" s="842" t="str">
        <f t="shared" si="13"/>
        <v>Adéquat</v>
      </c>
      <c r="L21" s="910"/>
      <c r="M21" s="910"/>
      <c r="N21" s="910"/>
      <c r="O21" s="910"/>
      <c r="P21" s="910"/>
      <c r="Q21" s="910"/>
      <c r="R21" s="910"/>
      <c r="S21" s="910"/>
      <c r="T21" s="50"/>
      <c r="U21" s="115"/>
      <c r="AC21" s="7"/>
      <c r="AD21" s="816"/>
      <c r="AE21" s="110"/>
      <c r="AF21" s="477"/>
      <c r="AG21" s="113"/>
      <c r="AH21" s="481"/>
      <c r="AI21" s="113"/>
      <c r="AJ21" s="482"/>
      <c r="AK21" s="113"/>
      <c r="AL21" s="72"/>
    </row>
    <row r="22" spans="1:50" ht="93" customHeight="1" x14ac:dyDescent="0.3">
      <c r="A22" s="2278"/>
      <c r="B22" s="848" t="str">
        <f>'Cpts miroirs des parents'!B29</f>
        <v>Impose sa présence hors de son temps de garde</v>
      </c>
      <c r="C22" s="847" t="str">
        <f>Test_Bible!B198</f>
        <v>À quelle fréquence l’autre parent communique-t-il ou elle avec votre enfant durant votre temps de garde ? (tél., textos, réseaux sociaux, etc.)</v>
      </c>
      <c r="D22" s="852">
        <f>Test_Bible!P198</f>
        <v>7</v>
      </c>
      <c r="E22" s="541">
        <f t="shared" si="10"/>
        <v>5</v>
      </c>
      <c r="F22" s="847" t="str">
        <f>Test_Bible!B135</f>
        <v>À quelle fréquence communiquez-vous avec votre enfant lorsqu’il ou elle est chez l‘autre parent ?</v>
      </c>
      <c r="G22" s="852">
        <f>Test_Bible!P135</f>
        <v>1</v>
      </c>
      <c r="H22" s="541">
        <f t="shared" si="11"/>
        <v>2</v>
      </c>
      <c r="I22" s="853">
        <f t="shared" si="12"/>
        <v>6</v>
      </c>
      <c r="J22" s="854" t="str">
        <f t="shared" si="9"/>
        <v>L'attitude de l'autre parent impacte fort probablement votre coparentalité et nuit à l'enfant. Apprenez à intervenir adéquatement auprès de l'enfant pour le protéger.</v>
      </c>
      <c r="K22" s="842" t="str">
        <f t="shared" si="13"/>
        <v>Conseils prioritaires</v>
      </c>
      <c r="L22" s="50"/>
      <c r="M22" s="50"/>
      <c r="N22" s="50"/>
      <c r="O22" s="50"/>
      <c r="P22" s="50"/>
      <c r="Q22" s="50"/>
      <c r="R22" s="50"/>
      <c r="S22" s="50"/>
      <c r="T22" s="50"/>
      <c r="U22" s="115"/>
      <c r="AC22" s="7"/>
      <c r="AD22" s="816"/>
      <c r="AE22" s="110"/>
      <c r="AF22" s="477"/>
      <c r="AG22" s="113"/>
      <c r="AH22" s="481"/>
      <c r="AI22" s="113"/>
      <c r="AJ22" s="482"/>
      <c r="AK22" s="113"/>
      <c r="AL22" s="72"/>
    </row>
    <row r="23" spans="1:50" ht="93" customHeight="1" x14ac:dyDescent="0.3">
      <c r="A23" s="2278"/>
      <c r="B23" s="848" t="str">
        <f>'Cpts miroirs des parents'!B31</f>
        <v>Intervention à la suite d'un retour de garde</v>
      </c>
      <c r="C23" s="847" t="str">
        <f>Test_Bible!B180</f>
        <v>Arrive-t-il que l'autre parent vous accable de reproches par courriel ou texto au retour des enfants (après votre tour de garde) ?</v>
      </c>
      <c r="D23" s="852">
        <f>Test_Bible!P180</f>
        <v>2</v>
      </c>
      <c r="E23" s="541">
        <f t="shared" si="10"/>
        <v>3</v>
      </c>
      <c r="F23" s="847" t="str">
        <f>Test_Bible!B126</f>
        <v xml:space="preserve">Vous faites un retour sur les interventions de l'autre parent (nutrition, hygiène, logistique, etc.) au retour des enfants, par courriel ou message texte. </v>
      </c>
      <c r="G23" s="852">
        <f>Test_Bible!P126</f>
        <v>4</v>
      </c>
      <c r="H23" s="541">
        <f t="shared" si="11"/>
        <v>4</v>
      </c>
      <c r="I23" s="853">
        <f t="shared" si="12"/>
        <v>-2</v>
      </c>
      <c r="J23" s="854" t="str">
        <f t="shared" si="9"/>
        <v>Votre attitude pourrait nuire à votre coparentalité et affecter la santé de l'enfant. Demandez de l'aide.</v>
      </c>
      <c r="K23" s="842" t="str">
        <f t="shared" si="13"/>
        <v>Conseils prioritaires</v>
      </c>
      <c r="L23" s="50"/>
      <c r="M23" s="50"/>
      <c r="N23" s="50"/>
      <c r="O23" s="50"/>
      <c r="P23" s="50"/>
      <c r="Q23" s="50"/>
      <c r="R23" s="50"/>
      <c r="S23" s="50"/>
      <c r="T23" s="50"/>
      <c r="U23" s="115"/>
      <c r="AC23" s="7"/>
      <c r="AD23" s="816"/>
      <c r="AE23" s="110"/>
      <c r="AF23" s="477"/>
      <c r="AG23" s="113"/>
      <c r="AH23" s="481"/>
      <c r="AI23" s="113"/>
      <c r="AJ23" s="482"/>
      <c r="AK23" s="113"/>
      <c r="AL23" s="72"/>
    </row>
    <row r="24" spans="1:50" ht="93" customHeight="1" x14ac:dyDescent="0.3">
      <c r="A24" s="2278"/>
      <c r="B24" s="848" t="str">
        <f>'Cpts miroirs des parents'!B33</f>
        <v>Fait lire les communications à l'enfant</v>
      </c>
      <c r="C24" s="847" t="str">
        <f>Test_Bible!B246</f>
        <v>L'autre parent fait lire vos échanges et communications (courriels, textos, etc.) à votre enfant.</v>
      </c>
      <c r="D24" s="852">
        <f>Test_Bible!P246</f>
        <v>7</v>
      </c>
      <c r="E24" s="541">
        <f t="shared" si="10"/>
        <v>5</v>
      </c>
      <c r="F24" s="847" t="str">
        <f>Test_Bible!B151</f>
        <v>Il est important que votre enfant soit au courant des enjeux de la séparation et/ou du conflit qui vous oppose à l'autre parent.</v>
      </c>
      <c r="G24" s="852">
        <f>Test_Bible!P151</f>
        <v>1</v>
      </c>
      <c r="H24" s="541">
        <f t="shared" si="11"/>
        <v>2</v>
      </c>
      <c r="I24" s="853">
        <f t="shared" si="12"/>
        <v>6</v>
      </c>
      <c r="J24" s="854" t="str">
        <f t="shared" si="9"/>
        <v>L'attitude de l'autre parent impacte fort probablement votre coparentalité et nuit à l'enfant. Apprenez à intervenir adéquatement auprès de l'enfant pour le protéger.</v>
      </c>
      <c r="K24" s="842" t="str">
        <f t="shared" si="13"/>
        <v>Conseils prioritaires</v>
      </c>
      <c r="L24" s="50"/>
      <c r="M24" s="50"/>
      <c r="N24" s="50"/>
      <c r="O24" s="50"/>
      <c r="P24" s="50"/>
      <c r="Q24" s="50"/>
      <c r="R24" s="50"/>
      <c r="S24" s="50"/>
      <c r="T24" s="50"/>
      <c r="U24" s="115"/>
      <c r="AC24" s="7"/>
      <c r="AD24" s="816"/>
      <c r="AE24" s="110"/>
      <c r="AF24" s="477"/>
      <c r="AG24" s="113"/>
      <c r="AH24" s="481"/>
      <c r="AI24" s="113"/>
      <c r="AJ24" s="482"/>
      <c r="AK24" s="113"/>
      <c r="AL24" s="72"/>
    </row>
    <row r="25" spans="1:50" ht="93" customHeight="1" x14ac:dyDescent="0.3">
      <c r="A25" s="2278"/>
      <c r="B25" s="848" t="str">
        <f>'Cpts miroirs des parents'!B35</f>
        <v>L'enfant comme messager de la logisitque</v>
      </c>
      <c r="C25" s="847" t="str">
        <f>Test_Bible!B248</f>
        <v>L’autre parent refuse de vous parler et demande à votre enfant de faire les messages et autres demandes entourant la logistique familiale.</v>
      </c>
      <c r="D25" s="852">
        <f>Test_Bible!P248</f>
        <v>7</v>
      </c>
      <c r="E25" s="541">
        <f t="shared" si="10"/>
        <v>5</v>
      </c>
      <c r="F25" s="847" t="str">
        <f>Test_Bible!B149</f>
        <v>Le contexte de coparentalité vous contraint à demander à votre enfant de faire les messages et demandes entourant la logistique familiale.</v>
      </c>
      <c r="G25" s="852">
        <f>Test_Bible!P149</f>
        <v>4</v>
      </c>
      <c r="H25" s="541">
        <f t="shared" si="11"/>
        <v>4</v>
      </c>
      <c r="I25" s="853">
        <f t="shared" si="12"/>
        <v>3</v>
      </c>
      <c r="J25" s="854" t="str">
        <f t="shared" si="9"/>
        <v>L'autre parent a un attitude néfaste. Restez aussi attentif.ve à votre attitude. Outillez-vous pour répondre à l'autre parent et aux réactions de l'enfant.</v>
      </c>
      <c r="K25" s="842" t="str">
        <f t="shared" si="13"/>
        <v>Conseils prioritaires</v>
      </c>
      <c r="L25" s="50"/>
      <c r="M25" s="50"/>
      <c r="N25" s="50"/>
      <c r="O25" s="50"/>
      <c r="P25" s="50"/>
      <c r="Q25" s="50"/>
      <c r="R25" s="50"/>
      <c r="S25" s="50"/>
      <c r="T25" s="50"/>
      <c r="U25" s="115"/>
      <c r="AC25" s="7"/>
      <c r="AD25" s="816"/>
      <c r="AE25" s="110"/>
      <c r="AF25" s="477"/>
      <c r="AG25" s="113"/>
      <c r="AH25" s="481"/>
      <c r="AI25" s="113"/>
      <c r="AJ25" s="482"/>
      <c r="AK25" s="113"/>
      <c r="AL25" s="72"/>
    </row>
    <row r="26" spans="1:50" ht="99" customHeight="1" x14ac:dyDescent="0.3">
      <c r="A26" s="2278"/>
      <c r="B26" s="848" t="str">
        <f>'Cpts miroirs des parents'!B37</f>
        <v>Maturité de l'enfant face à ses choix</v>
      </c>
      <c r="C26" s="847" t="str">
        <f>Test_Bible!B183</f>
        <v xml:space="preserve">L'autre parent est d'avis que votre enfant est assez mature pour choisir où il doit vivre et avec quel parent.  </v>
      </c>
      <c r="D26" s="852">
        <f>Test_Bible!P183</f>
        <v>1</v>
      </c>
      <c r="E26" s="541">
        <f t="shared" si="10"/>
        <v>1</v>
      </c>
      <c r="F26" s="847" t="str">
        <f>Test_Bible!B150</f>
        <v>Un enfant de 12 ans est assez mature pour choisir où et avec qui il veut vivre.</v>
      </c>
      <c r="G26" s="852">
        <f>Test_Bible!P150</f>
        <v>2</v>
      </c>
      <c r="H26" s="541">
        <f t="shared" si="11"/>
        <v>3</v>
      </c>
      <c r="I26" s="853">
        <f t="shared" si="12"/>
        <v>-1</v>
      </c>
      <c r="J26" s="854" t="str">
        <f t="shared" si="9"/>
        <v>Restez attentif.ve aux raisons qui vous poussent à agir.</v>
      </c>
      <c r="K26" s="842" t="str">
        <f t="shared" si="13"/>
        <v>Adéquat</v>
      </c>
      <c r="L26" s="50"/>
      <c r="M26" s="50"/>
      <c r="N26" s="50"/>
      <c r="O26" s="50"/>
      <c r="P26" s="50"/>
      <c r="Q26" s="50"/>
      <c r="R26" s="50"/>
      <c r="S26" s="50"/>
      <c r="T26" s="50"/>
      <c r="U26" s="115"/>
      <c r="AC26" s="7"/>
      <c r="AD26" s="816"/>
      <c r="AE26" s="110"/>
      <c r="AF26" s="477"/>
      <c r="AG26" s="113"/>
      <c r="AH26" s="481"/>
      <c r="AI26" s="113"/>
      <c r="AJ26" s="482"/>
      <c r="AK26" s="113"/>
      <c r="AL26" s="72"/>
    </row>
    <row r="27" spans="1:50" s="7" customFormat="1" ht="104" customHeight="1" x14ac:dyDescent="0.2">
      <c r="A27" s="941"/>
      <c r="B27" s="848" t="str">
        <f>'Cpts miroirs des parents'!B39</f>
        <v>Transport d'objets entre les deux domiciles</v>
      </c>
      <c r="C27" s="847" t="str">
        <f>Test_Bible!B218</f>
        <v xml:space="preserve">L’autre parent permet à votre enfant d'apporter des objets (jouets ou cadeaux reçus) provenant de chez vous. </v>
      </c>
      <c r="D27" s="852">
        <f>Test_Bible!P218</f>
        <v>4</v>
      </c>
      <c r="E27" s="541">
        <f>VLOOKUP(D27,$AD$8:$AE$13,2)</f>
        <v>4</v>
      </c>
      <c r="F27" s="847" t="str">
        <f>Test_Bible!B139</f>
        <v>Vous acceptez que les vêtements et/ou jouets de votre enfant se promènent d’une maison à l’autre.</v>
      </c>
      <c r="G27" s="852">
        <f>Test_Bible!P139</f>
        <v>1</v>
      </c>
      <c r="H27" s="541">
        <f>HLOOKUP(G27,$AF$6:$AK$7,2)</f>
        <v>2</v>
      </c>
      <c r="I27" s="853">
        <f>D27-G27</f>
        <v>3</v>
      </c>
      <c r="J27" s="854" t="str">
        <f>VLOOKUP(E27,$AE$8:$AK$13,H27+1)</f>
        <v>Conservez cette attitude tout en restant attentif à ce que l'attitude de l'autre parent ne se dégrade pas. Apprenez à intervenir adéquatement auprès de l'enfant pour le protéger.</v>
      </c>
      <c r="K27" s="842" t="str">
        <f>IF(OR(D27&gt;=7,G27&gt;=4),"Conseils prioritaires",IF(AND(D27&lt;=3,G27&lt;=2),"Adéquat","à surveiller"))</f>
        <v>à surveiller</v>
      </c>
      <c r="L27" s="842"/>
      <c r="M27" s="1499">
        <f>D27</f>
        <v>4</v>
      </c>
      <c r="N27" s="1499">
        <f>I27</f>
        <v>3</v>
      </c>
      <c r="O27" s="842"/>
      <c r="P27" s="842"/>
      <c r="Q27" s="842"/>
      <c r="R27" s="842"/>
      <c r="S27" s="842"/>
      <c r="U27" s="842"/>
      <c r="V27" s="842"/>
      <c r="W27" s="952"/>
      <c r="X27" s="952"/>
      <c r="Y27" s="952"/>
      <c r="Z27" s="952"/>
      <c r="AA27" s="952"/>
      <c r="AB27" s="842"/>
      <c r="AC27" s="842"/>
      <c r="AD27" s="842"/>
      <c r="AE27" s="842"/>
      <c r="AF27" s="953"/>
      <c r="AG27" s="954"/>
      <c r="AH27" s="954"/>
      <c r="AI27" s="954"/>
      <c r="AJ27" s="954"/>
      <c r="AL27" s="113"/>
      <c r="AM27" s="562"/>
      <c r="AS27" t="str">
        <f>B24</f>
        <v>Fait lire les communications à l'enfant</v>
      </c>
      <c r="AT27" s="6">
        <f>D21</f>
        <v>0</v>
      </c>
      <c r="AU27" s="6">
        <f>G24</f>
        <v>1</v>
      </c>
      <c r="AV27"/>
      <c r="AW27" t="str">
        <f>AS27</f>
        <v>Fait lire les communications à l'enfant</v>
      </c>
      <c r="AX27" s="114">
        <f>I24</f>
        <v>6</v>
      </c>
    </row>
    <row r="28" spans="1:50" x14ac:dyDescent="0.3">
      <c r="B28" s="50"/>
      <c r="C28" s="50"/>
      <c r="D28" s="886"/>
      <c r="E28" s="50"/>
      <c r="F28" s="50"/>
      <c r="G28" s="886"/>
      <c r="H28" s="50"/>
      <c r="I28" s="887"/>
      <c r="J28" s="1287"/>
      <c r="K28" s="50"/>
      <c r="L28" s="50"/>
      <c r="M28" s="50"/>
      <c r="N28" s="50"/>
      <c r="O28" s="50"/>
      <c r="P28" s="50"/>
      <c r="Q28" s="50"/>
      <c r="R28" s="50"/>
      <c r="S28" s="50"/>
      <c r="T28" s="50"/>
      <c r="U28" s="115"/>
      <c r="AC28" s="7"/>
      <c r="AD28" s="816"/>
      <c r="AE28" s="110"/>
      <c r="AF28" s="477"/>
      <c r="AG28" s="113"/>
      <c r="AH28" s="481"/>
      <c r="AI28" s="113"/>
      <c r="AJ28" s="482"/>
      <c r="AK28" s="113"/>
      <c r="AL28" s="72"/>
    </row>
    <row r="29" spans="1:50" x14ac:dyDescent="0.3">
      <c r="B29" s="50"/>
      <c r="C29" s="50"/>
      <c r="D29" s="886"/>
      <c r="E29" s="50"/>
      <c r="F29" s="50"/>
      <c r="G29" s="886"/>
      <c r="H29" s="50"/>
      <c r="I29" s="887"/>
      <c r="J29" s="1287"/>
      <c r="K29" s="50"/>
      <c r="L29" s="50"/>
      <c r="M29" s="50"/>
      <c r="N29" s="50"/>
      <c r="O29" s="50"/>
      <c r="P29" s="50"/>
      <c r="Q29" s="50"/>
      <c r="R29" s="50"/>
      <c r="S29" s="50"/>
      <c r="T29" s="50"/>
      <c r="U29" s="115"/>
      <c r="AC29" s="7"/>
      <c r="AD29" s="816"/>
      <c r="AE29" s="110"/>
      <c r="AF29" s="477"/>
      <c r="AG29" s="113"/>
      <c r="AH29" s="481"/>
      <c r="AI29" s="113"/>
      <c r="AJ29" s="482"/>
      <c r="AK29" s="113"/>
      <c r="AL29" s="72"/>
    </row>
    <row r="30" spans="1:50" x14ac:dyDescent="0.3">
      <c r="B30" s="50"/>
      <c r="C30" s="50"/>
      <c r="D30" s="50"/>
      <c r="E30" s="50"/>
      <c r="F30" s="50"/>
      <c r="G30" s="50"/>
      <c r="H30" s="50"/>
      <c r="I30" s="50"/>
      <c r="J30" s="50"/>
      <c r="K30" s="50"/>
      <c r="L30" s="50"/>
      <c r="M30" s="50"/>
      <c r="N30" s="50"/>
      <c r="O30" s="50"/>
      <c r="P30" s="50"/>
      <c r="Q30" s="50"/>
      <c r="R30" s="50"/>
      <c r="S30" s="50"/>
      <c r="T30" s="50"/>
      <c r="U30" s="115"/>
      <c r="AC30" s="7"/>
      <c r="AD30" s="816"/>
      <c r="AE30" s="110"/>
      <c r="AF30" s="477"/>
      <c r="AG30" s="113"/>
      <c r="AH30" s="481"/>
      <c r="AI30" s="113"/>
      <c r="AJ30" s="482"/>
      <c r="AK30" s="113"/>
      <c r="AL30" s="72"/>
    </row>
    <row r="31" spans="1:50" x14ac:dyDescent="0.3">
      <c r="B31" s="50"/>
      <c r="C31" s="50"/>
      <c r="D31" s="50"/>
      <c r="E31" s="50"/>
      <c r="F31" s="50"/>
      <c r="G31" s="50"/>
      <c r="H31" s="50"/>
      <c r="I31" s="50"/>
      <c r="J31" s="50"/>
      <c r="K31" s="50"/>
      <c r="L31" s="50"/>
      <c r="M31" s="50"/>
      <c r="N31" s="50"/>
      <c r="O31" s="50"/>
      <c r="P31" s="50"/>
      <c r="Q31" s="50"/>
      <c r="R31" s="50"/>
      <c r="S31" s="50"/>
      <c r="T31" s="50"/>
      <c r="AC31" s="7"/>
      <c r="AD31" s="816"/>
      <c r="AE31" s="110"/>
      <c r="AF31" s="477"/>
      <c r="AG31" s="113"/>
      <c r="AH31" s="481"/>
      <c r="AI31" s="113"/>
      <c r="AJ31" s="482"/>
      <c r="AK31" s="113"/>
    </row>
    <row r="32" spans="1:50" x14ac:dyDescent="0.3">
      <c r="B32" s="563"/>
      <c r="C32" s="50"/>
      <c r="D32" s="50"/>
      <c r="E32" s="50"/>
      <c r="F32" s="50"/>
      <c r="G32" s="50"/>
      <c r="H32" s="50"/>
      <c r="I32" s="50"/>
      <c r="J32" s="50"/>
      <c r="K32" s="50"/>
      <c r="L32" s="50"/>
      <c r="M32" s="50"/>
      <c r="N32" s="50"/>
      <c r="O32" s="50"/>
      <c r="P32" s="50"/>
      <c r="Q32" s="50"/>
      <c r="R32" s="50"/>
      <c r="S32" s="50"/>
      <c r="T32" s="50"/>
      <c r="AC32" s="7"/>
      <c r="AD32" s="816"/>
      <c r="AE32" s="110"/>
      <c r="AF32" s="477"/>
      <c r="AG32" s="113"/>
      <c r="AH32" s="481"/>
      <c r="AI32" s="113"/>
      <c r="AJ32" s="482"/>
      <c r="AK32" s="113"/>
    </row>
    <row r="33" spans="2:37" x14ac:dyDescent="0.3">
      <c r="B33" s="50"/>
      <c r="C33" s="50"/>
      <c r="D33" s="50"/>
      <c r="E33" s="50"/>
      <c r="F33" s="50"/>
      <c r="G33" s="50"/>
      <c r="H33" s="50"/>
      <c r="I33" s="50"/>
      <c r="J33" s="50"/>
      <c r="K33" s="50"/>
      <c r="L33" s="50"/>
      <c r="M33" s="50"/>
      <c r="N33" s="50"/>
      <c r="O33" s="50"/>
      <c r="P33" s="50"/>
      <c r="Q33" s="50"/>
      <c r="R33" s="50"/>
      <c r="S33" s="50"/>
      <c r="T33" s="50"/>
      <c r="AC33" s="7"/>
      <c r="AD33" s="816"/>
      <c r="AE33" s="110"/>
      <c r="AF33" s="477"/>
      <c r="AG33" s="113"/>
      <c r="AH33" s="481"/>
      <c r="AI33" s="113"/>
      <c r="AJ33" s="482"/>
      <c r="AK33" s="113"/>
    </row>
    <row r="34" spans="2:37" x14ac:dyDescent="0.3">
      <c r="B34" s="63"/>
      <c r="C34" s="63"/>
      <c r="D34" s="63"/>
      <c r="E34" s="63"/>
      <c r="F34" s="63"/>
      <c r="G34" s="63"/>
      <c r="H34" s="63"/>
      <c r="I34" s="63"/>
      <c r="J34" s="63"/>
      <c r="K34" s="63"/>
      <c r="L34" s="63"/>
      <c r="M34" s="63"/>
      <c r="N34" s="63"/>
      <c r="O34" s="63"/>
      <c r="P34" s="63"/>
      <c r="Q34" s="63"/>
      <c r="R34" s="63"/>
      <c r="S34" s="63"/>
      <c r="T34" s="63"/>
      <c r="AC34" s="7"/>
      <c r="AD34" s="816"/>
      <c r="AE34" s="110"/>
      <c r="AF34" s="477"/>
      <c r="AG34" s="113"/>
      <c r="AH34" s="481"/>
      <c r="AI34" s="113"/>
      <c r="AJ34" s="482"/>
      <c r="AK34" s="113"/>
    </row>
  </sheetData>
  <dataConsolidate/>
  <mergeCells count="2">
    <mergeCell ref="A18:A26"/>
    <mergeCell ref="J4:J6"/>
  </mergeCells>
  <conditionalFormatting sqref="K12:K27">
    <cfRule type="containsText" dxfId="14" priority="3" operator="containsText" text="Conseils prioritaires">
      <formula>NOT(ISERROR(SEARCH("Conseils prioritaires",K12)))</formula>
    </cfRule>
  </conditionalFormatting>
  <conditionalFormatting sqref="K12:K27">
    <cfRule type="cellIs" dxfId="13" priority="1" operator="equal">
      <formula>"Adéquat"</formula>
    </cfRule>
    <cfRule type="containsText" dxfId="12" priority="2" operator="containsText" text="à surveiller">
      <formula>NOT(ISERROR(SEARCH("à surveiller",K12)))</formula>
    </cfRule>
  </conditionalFormatting>
  <conditionalFormatting sqref="K12:K27">
    <cfRule type="iconSet" priority="28">
      <iconSet>
        <cfvo type="percent" val="0"/>
        <cfvo type="percent" val="33"/>
        <cfvo type="percent" val="67"/>
      </iconSet>
    </cfRule>
  </conditionalFormatting>
  <pageMargins left="0.7" right="0.7" top="0.75" bottom="0.75" header="0.3" footer="0.3"/>
  <pageSetup scale="10" fitToHeight="8" orientation="landscape"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C5C6-F3D7-8342-B6F4-AA8A48415574}">
  <dimension ref="A1:AN72"/>
  <sheetViews>
    <sheetView topLeftCell="T1" workbookViewId="0">
      <selection activeCell="Y3" sqref="Y3:AH4"/>
    </sheetView>
    <sheetView workbookViewId="1"/>
  </sheetViews>
  <sheetFormatPr baseColWidth="10" defaultColWidth="12.1640625" defaultRowHeight="16" x14ac:dyDescent="0.2"/>
  <cols>
    <col min="1" max="1" width="28.1640625" customWidth="1"/>
    <col min="2" max="2" width="11.1640625" customWidth="1"/>
    <col min="3" max="3" width="95.5" customWidth="1"/>
    <col min="4" max="5" width="16.5" customWidth="1"/>
    <col min="6" max="6" width="18" customWidth="1"/>
    <col min="7" max="7" width="34.6640625" customWidth="1"/>
    <col min="8" max="8" width="12" customWidth="1"/>
    <col min="15" max="15" width="55.1640625" customWidth="1"/>
    <col min="16" max="16" width="5.83203125" bestFit="1" customWidth="1"/>
    <col min="17" max="17" width="5.83203125" customWidth="1"/>
    <col min="18" max="18" width="12" bestFit="1" customWidth="1"/>
    <col min="22" max="22" width="14.5" customWidth="1"/>
  </cols>
  <sheetData>
    <row r="1" spans="1:40" ht="21" x14ac:dyDescent="0.25">
      <c r="A1" s="63" t="s">
        <v>726</v>
      </c>
      <c r="T1" s="13"/>
      <c r="U1" s="13"/>
      <c r="V1" s="786"/>
      <c r="X1" t="s">
        <v>954</v>
      </c>
    </row>
    <row r="2" spans="1:40" ht="47" customHeight="1" x14ac:dyDescent="0.2">
      <c r="A2" t="s">
        <v>727</v>
      </c>
      <c r="X2" t="s">
        <v>955</v>
      </c>
    </row>
    <row r="3" spans="1:40" ht="21" x14ac:dyDescent="0.25">
      <c r="A3" s="63"/>
      <c r="B3" t="s">
        <v>728</v>
      </c>
      <c r="O3" t="s">
        <v>862</v>
      </c>
      <c r="T3" t="s">
        <v>2116</v>
      </c>
      <c r="Y3">
        <v>1</v>
      </c>
      <c r="Z3">
        <v>2</v>
      </c>
      <c r="AA3">
        <v>3</v>
      </c>
      <c r="AB3">
        <v>4</v>
      </c>
      <c r="AC3">
        <v>5</v>
      </c>
      <c r="AD3">
        <v>6</v>
      </c>
      <c r="AE3">
        <v>7</v>
      </c>
      <c r="AF3">
        <v>8</v>
      </c>
      <c r="AG3">
        <v>9</v>
      </c>
      <c r="AH3">
        <v>10</v>
      </c>
    </row>
    <row r="4" spans="1:40" ht="21" x14ac:dyDescent="0.25">
      <c r="A4" s="63"/>
      <c r="B4" t="s">
        <v>730</v>
      </c>
      <c r="T4" s="114"/>
      <c r="U4" s="114"/>
      <c r="V4" s="1127"/>
      <c r="Y4">
        <v>10</v>
      </c>
      <c r="Z4">
        <v>9</v>
      </c>
      <c r="AA4">
        <v>8</v>
      </c>
      <c r="AB4">
        <v>7</v>
      </c>
      <c r="AC4">
        <v>6</v>
      </c>
      <c r="AD4">
        <v>5</v>
      </c>
      <c r="AE4">
        <v>4</v>
      </c>
      <c r="AF4">
        <v>3</v>
      </c>
      <c r="AG4">
        <v>2</v>
      </c>
      <c r="AH4">
        <v>1</v>
      </c>
    </row>
    <row r="5" spans="1:40" ht="25" customHeight="1" x14ac:dyDescent="0.25">
      <c r="A5" s="63"/>
      <c r="B5" t="s">
        <v>731</v>
      </c>
      <c r="P5" s="8" t="s">
        <v>288</v>
      </c>
      <c r="Q5" s="8" t="s">
        <v>290</v>
      </c>
      <c r="R5" s="786" t="s">
        <v>927</v>
      </c>
      <c r="T5" s="1" t="s">
        <v>288</v>
      </c>
      <c r="X5" s="786"/>
    </row>
    <row r="6" spans="1:40" ht="20" customHeight="1" x14ac:dyDescent="0.25">
      <c r="B6" t="s">
        <v>729</v>
      </c>
      <c r="H6" s="48" t="s">
        <v>736</v>
      </c>
      <c r="I6" s="48"/>
      <c r="J6" s="48"/>
      <c r="K6" s="48"/>
      <c r="L6" s="48"/>
      <c r="N6" s="5" t="s">
        <v>1630</v>
      </c>
      <c r="O6" t="str">
        <f>A13</f>
        <v>Complicité du parent répondant et de l'enfant</v>
      </c>
      <c r="P6" s="114">
        <f>MAX(D12:D13)</f>
        <v>9</v>
      </c>
      <c r="Q6" s="114">
        <f>D14</f>
        <v>2</v>
      </c>
      <c r="R6" s="114">
        <f>E15</f>
        <v>-7</v>
      </c>
      <c r="T6" s="72">
        <f>P6</f>
        <v>9</v>
      </c>
      <c r="V6" s="1292"/>
      <c r="W6" s="1293" t="s">
        <v>1237</v>
      </c>
      <c r="X6" s="1292"/>
      <c r="AF6" s="1294" t="s">
        <v>1238</v>
      </c>
      <c r="AG6" s="1295"/>
      <c r="AH6" s="1295"/>
      <c r="AI6" s="1295"/>
      <c r="AJ6" s="1295"/>
      <c r="AK6" s="1295"/>
      <c r="AL6" s="1295"/>
      <c r="AM6" s="1295"/>
    </row>
    <row r="7" spans="1:40" ht="20" customHeight="1" x14ac:dyDescent="0.25">
      <c r="H7" s="48" t="s">
        <v>741</v>
      </c>
      <c r="I7" s="48"/>
      <c r="J7" s="48"/>
      <c r="K7" s="48"/>
      <c r="L7" s="48"/>
      <c r="N7" s="5" t="s">
        <v>2115</v>
      </c>
      <c r="O7" t="str">
        <f>A22</f>
        <v>Relation de l'enfant avec la famille élargie du parent répondant</v>
      </c>
      <c r="P7" s="114">
        <f>D21</f>
        <v>2</v>
      </c>
      <c r="Q7" s="114">
        <f>D22</f>
        <v>7</v>
      </c>
      <c r="R7" s="114">
        <f>E23</f>
        <v>-5</v>
      </c>
      <c r="T7">
        <f>HLOOKUP(P7,$Y$3:$AH$4,2)</f>
        <v>9</v>
      </c>
      <c r="V7" s="1292" t="s">
        <v>1235</v>
      </c>
      <c r="AG7" t="s">
        <v>577</v>
      </c>
    </row>
    <row r="8" spans="1:40" ht="22" customHeight="1" x14ac:dyDescent="0.2">
      <c r="A8" s="9" t="s">
        <v>1884</v>
      </c>
      <c r="H8" s="2013" t="s">
        <v>1882</v>
      </c>
      <c r="I8" s="2011"/>
      <c r="J8" s="2011"/>
      <c r="K8" s="2011"/>
      <c r="L8" s="2015" t="s">
        <v>830</v>
      </c>
      <c r="N8" s="5"/>
      <c r="V8" s="1292" t="s">
        <v>1229</v>
      </c>
      <c r="AH8" t="s">
        <v>513</v>
      </c>
      <c r="AI8" t="s">
        <v>514</v>
      </c>
      <c r="AJ8" t="s">
        <v>515</v>
      </c>
      <c r="AK8" t="s">
        <v>516</v>
      </c>
      <c r="AL8" t="s">
        <v>517</v>
      </c>
      <c r="AM8" t="s">
        <v>578</v>
      </c>
    </row>
    <row r="9" spans="1:40" ht="24" x14ac:dyDescent="0.3">
      <c r="B9" s="315" t="s">
        <v>357</v>
      </c>
      <c r="C9" s="67"/>
      <c r="D9" s="67"/>
      <c r="E9" s="67"/>
      <c r="H9" s="2011">
        <v>0</v>
      </c>
      <c r="I9" s="2011" t="s">
        <v>1881</v>
      </c>
      <c r="J9" s="2011"/>
      <c r="K9" s="2011"/>
      <c r="L9" s="2011"/>
      <c r="N9" s="5" t="s">
        <v>1630</v>
      </c>
      <c r="O9" t="str">
        <f>A29</f>
        <v>Idéalisation du co-parent par l'enfant</v>
      </c>
      <c r="P9" s="114">
        <f>D29</f>
        <v>0</v>
      </c>
      <c r="Q9" s="114">
        <f>D30</f>
        <v>7</v>
      </c>
      <c r="R9" s="114">
        <f>E31</f>
        <v>7</v>
      </c>
      <c r="T9" s="72">
        <f>P9</f>
        <v>0</v>
      </c>
      <c r="V9" s="1292" t="s">
        <v>1232</v>
      </c>
      <c r="AG9" s="111"/>
      <c r="AH9" s="631">
        <v>0</v>
      </c>
      <c r="AI9" s="631">
        <v>1</v>
      </c>
      <c r="AJ9" s="631">
        <v>2</v>
      </c>
      <c r="AK9" s="631">
        <v>4</v>
      </c>
      <c r="AL9" s="631">
        <v>7</v>
      </c>
      <c r="AM9" s="631">
        <v>10</v>
      </c>
    </row>
    <row r="10" spans="1:40" ht="51" x14ac:dyDescent="0.2">
      <c r="A10" t="s">
        <v>860</v>
      </c>
      <c r="B10" s="10"/>
      <c r="C10" s="64" t="s">
        <v>214</v>
      </c>
      <c r="D10" s="64"/>
      <c r="E10" s="64"/>
      <c r="H10" s="2011">
        <v>1</v>
      </c>
      <c r="I10" s="2011" t="s">
        <v>1879</v>
      </c>
      <c r="J10" s="2011"/>
      <c r="K10" s="2011"/>
      <c r="L10" s="2012">
        <v>-1</v>
      </c>
      <c r="N10" s="5" t="s">
        <v>1630</v>
      </c>
      <c r="O10" t="str">
        <f>A37</f>
        <v>Fusion de l'enfant et du co-parent</v>
      </c>
      <c r="P10" s="114">
        <f>MAX(D35,D36)</f>
        <v>2</v>
      </c>
      <c r="Q10" s="114">
        <f>D37</f>
        <v>5</v>
      </c>
      <c r="R10" s="114">
        <f>E38</f>
        <v>5</v>
      </c>
      <c r="T10" s="72">
        <f t="shared" ref="T10:T11" si="0">P10</f>
        <v>2</v>
      </c>
      <c r="V10" s="1292" t="s">
        <v>1231</v>
      </c>
      <c r="AF10" s="2" t="s">
        <v>513</v>
      </c>
      <c r="AG10" s="631">
        <v>0</v>
      </c>
      <c r="AH10" s="634"/>
      <c r="AI10" s="635" t="s">
        <v>584</v>
      </c>
      <c r="AJ10" s="781" t="s">
        <v>590</v>
      </c>
      <c r="AK10" s="780" t="s">
        <v>595</v>
      </c>
      <c r="AL10" s="778" t="s">
        <v>585</v>
      </c>
      <c r="AM10" s="778" t="s">
        <v>585</v>
      </c>
      <c r="AN10" s="2282" t="s">
        <v>579</v>
      </c>
    </row>
    <row r="11" spans="1:40" ht="23" customHeight="1" x14ac:dyDescent="0.2">
      <c r="B11" s="10"/>
      <c r="C11" s="33"/>
      <c r="D11" s="33" t="s">
        <v>231</v>
      </c>
      <c r="E11" s="33" t="s">
        <v>197</v>
      </c>
      <c r="F11" s="26" t="s">
        <v>743</v>
      </c>
      <c r="G11" s="26"/>
      <c r="H11" s="2011">
        <v>2</v>
      </c>
      <c r="I11" s="2011" t="s">
        <v>1878</v>
      </c>
      <c r="J11" s="2011"/>
      <c r="K11" s="2011"/>
      <c r="L11" s="2012">
        <v>-2</v>
      </c>
      <c r="N11" s="5" t="s">
        <v>1630</v>
      </c>
      <c r="O11" t="str">
        <f>A43</f>
        <v>Complicité du co-parent et de l'enfant</v>
      </c>
      <c r="P11" s="114">
        <f>D42</f>
        <v>4</v>
      </c>
      <c r="Q11" s="114">
        <f>D43</f>
        <v>7</v>
      </c>
      <c r="R11" s="114">
        <f>E44</f>
        <v>3</v>
      </c>
      <c r="S11" s="934"/>
      <c r="T11" s="72">
        <f t="shared" si="0"/>
        <v>4</v>
      </c>
      <c r="V11" s="1292" t="s">
        <v>1236</v>
      </c>
      <c r="AF11" s="2" t="s">
        <v>514</v>
      </c>
      <c r="AG11" s="637">
        <v>1</v>
      </c>
      <c r="AH11" s="635" t="s">
        <v>584</v>
      </c>
      <c r="AI11" s="634"/>
      <c r="AJ11" s="781" t="s">
        <v>590</v>
      </c>
      <c r="AK11" s="780" t="s">
        <v>595</v>
      </c>
      <c r="AL11" s="778" t="s">
        <v>585</v>
      </c>
      <c r="AM11" s="778" t="s">
        <v>585</v>
      </c>
      <c r="AN11" s="2282"/>
    </row>
    <row r="12" spans="1:40" ht="27" customHeight="1" x14ac:dyDescent="0.2">
      <c r="B12" s="38" t="s">
        <v>53</v>
      </c>
      <c r="C12" s="764" t="str">
        <f>Test_Bible!B98</f>
        <v xml:space="preserve">Quel était le degré de complicité entre vous et votre enfant ? </v>
      </c>
      <c r="D12" s="790">
        <f>Test_Bible!P98</f>
        <v>9</v>
      </c>
      <c r="E12" s="789"/>
      <c r="H12" s="2011">
        <v>3</v>
      </c>
      <c r="I12" s="2011" t="s">
        <v>1878</v>
      </c>
      <c r="J12" s="2011"/>
      <c r="K12" s="2011"/>
      <c r="L12" s="2012">
        <v>-3</v>
      </c>
      <c r="N12" s="5"/>
      <c r="V12" s="1292" t="s">
        <v>1230</v>
      </c>
      <c r="AF12" s="2" t="s">
        <v>515</v>
      </c>
      <c r="AG12" s="638">
        <v>2</v>
      </c>
      <c r="AH12" s="635" t="s">
        <v>590</v>
      </c>
      <c r="AI12" s="635" t="s">
        <v>590</v>
      </c>
      <c r="AJ12" s="634"/>
      <c r="AK12" s="780" t="s">
        <v>595</v>
      </c>
      <c r="AL12" s="779" t="s">
        <v>596</v>
      </c>
      <c r="AM12" s="778" t="s">
        <v>585</v>
      </c>
      <c r="AN12" s="2282"/>
    </row>
    <row r="13" spans="1:40" ht="37" customHeight="1" x14ac:dyDescent="0.2">
      <c r="A13" s="13" t="s">
        <v>864</v>
      </c>
      <c r="B13" s="38" t="s">
        <v>56</v>
      </c>
      <c r="C13" s="764" t="str">
        <f>Test_Bible!B99</f>
        <v>Dans quelle mesure diriez-vous que votre enfant vous confiait ses joies, ses peines ou questionnements divers ?</v>
      </c>
      <c r="D13" s="790">
        <f>Test_Bible!P99</f>
        <v>7</v>
      </c>
      <c r="E13" s="789"/>
      <c r="H13" s="2011">
        <v>4</v>
      </c>
      <c r="I13" s="2011" t="s">
        <v>1877</v>
      </c>
      <c r="J13" s="2011"/>
      <c r="K13" s="2011"/>
      <c r="L13" s="2012" t="s">
        <v>1880</v>
      </c>
      <c r="N13" s="5" t="s">
        <v>2115</v>
      </c>
      <c r="O13" t="str">
        <f>A51</f>
        <v>Perception des rôles parentaux</v>
      </c>
      <c r="P13" s="114">
        <f>MAX(D49,D50)</f>
        <v>2</v>
      </c>
      <c r="Q13" s="114">
        <f>MAX(D51,D52)</f>
        <v>4</v>
      </c>
      <c r="R13" s="114">
        <f>E53</f>
        <v>-2</v>
      </c>
      <c r="T13">
        <f t="shared" ref="T13:T14" si="1">HLOOKUP(P13,$Y$3:$AH$4,2)</f>
        <v>9</v>
      </c>
      <c r="V13" s="1292" t="s">
        <v>1233</v>
      </c>
      <c r="AF13" s="70" t="s">
        <v>516</v>
      </c>
      <c r="AG13" s="596">
        <v>4</v>
      </c>
      <c r="AH13" s="635" t="s">
        <v>593</v>
      </c>
      <c r="AI13" s="635" t="s">
        <v>593</v>
      </c>
      <c r="AJ13" s="635" t="s">
        <v>590</v>
      </c>
      <c r="AK13" s="634"/>
      <c r="AL13" s="779" t="s">
        <v>596</v>
      </c>
      <c r="AM13" s="778" t="s">
        <v>585</v>
      </c>
      <c r="AN13" s="2282"/>
    </row>
    <row r="14" spans="1:40" ht="30" customHeight="1" x14ac:dyDescent="0.2">
      <c r="B14" s="765" t="s">
        <v>156</v>
      </c>
      <c r="C14" s="100" t="str">
        <f>Test_Bible!B263</f>
        <v>Comment qualifieriez-vous votre relation et votre degré de complicité avec votre enfant, aujourd’hui (temps présent) ?</v>
      </c>
      <c r="D14" s="888">
        <f>Test_Bible!P263</f>
        <v>2</v>
      </c>
      <c r="E14" s="551"/>
      <c r="H14" s="2014" t="s">
        <v>1883</v>
      </c>
      <c r="I14" s="1453"/>
      <c r="J14" s="1453"/>
      <c r="K14" s="1453"/>
      <c r="L14" s="1453"/>
      <c r="N14" s="5" t="s">
        <v>2115</v>
      </c>
      <c r="O14" t="str">
        <f>A57</f>
        <v>Critique et dénigrement</v>
      </c>
      <c r="P14" s="114">
        <f>D57</f>
        <v>1</v>
      </c>
      <c r="Q14" s="114">
        <f>D58</f>
        <v>7</v>
      </c>
      <c r="R14" s="114">
        <f>E59</f>
        <v>-6</v>
      </c>
      <c r="T14">
        <f t="shared" si="1"/>
        <v>10</v>
      </c>
      <c r="V14" s="1292" t="s">
        <v>1234</v>
      </c>
      <c r="AF14" s="70" t="s">
        <v>517</v>
      </c>
      <c r="AG14" s="596">
        <v>7</v>
      </c>
      <c r="AH14" s="635" t="s">
        <v>595</v>
      </c>
      <c r="AI14" s="635" t="s">
        <v>595</v>
      </c>
      <c r="AJ14" s="635" t="s">
        <v>593</v>
      </c>
      <c r="AK14" s="635" t="s">
        <v>590</v>
      </c>
      <c r="AL14" s="634"/>
      <c r="AM14" s="778" t="s">
        <v>585</v>
      </c>
      <c r="AN14" s="2282"/>
    </row>
    <row r="15" spans="1:40" ht="20" customHeight="1" x14ac:dyDescent="0.2">
      <c r="B15" s="7"/>
      <c r="C15" s="37" t="s">
        <v>284</v>
      </c>
      <c r="D15" s="37"/>
      <c r="E15" s="890">
        <f>D14-MAX(D12,D13)</f>
        <v>-7</v>
      </c>
      <c r="H15" s="1453">
        <v>0</v>
      </c>
      <c r="I15" s="1453" t="s">
        <v>1881</v>
      </c>
      <c r="J15" s="1453"/>
      <c r="K15" s="1453"/>
      <c r="L15" s="1453"/>
      <c r="AF15" s="70" t="s">
        <v>578</v>
      </c>
      <c r="AG15" s="596">
        <v>10</v>
      </c>
      <c r="AH15" s="635" t="s">
        <v>596</v>
      </c>
      <c r="AI15" s="635" t="s">
        <v>596</v>
      </c>
      <c r="AJ15" s="635" t="s">
        <v>595</v>
      </c>
      <c r="AK15" s="635" t="s">
        <v>593</v>
      </c>
      <c r="AL15" s="635" t="s">
        <v>590</v>
      </c>
      <c r="AM15" s="634"/>
    </row>
    <row r="16" spans="1:40" ht="20" customHeight="1" x14ac:dyDescent="0.2">
      <c r="B16" s="7"/>
      <c r="C16" s="16"/>
      <c r="D16" s="16"/>
      <c r="E16" s="16"/>
      <c r="H16" s="1453">
        <v>1</v>
      </c>
      <c r="I16" s="1453" t="s">
        <v>737</v>
      </c>
      <c r="J16" s="1453"/>
      <c r="K16" s="1453"/>
      <c r="L16" s="1670">
        <v>1</v>
      </c>
      <c r="AG16" s="8"/>
      <c r="AH16" s="2283" t="s">
        <v>597</v>
      </c>
      <c r="AI16" s="2283"/>
      <c r="AJ16" s="2283"/>
      <c r="AK16" s="2283"/>
      <c r="AL16" s="2283"/>
      <c r="AN16" s="639" t="s">
        <v>598</v>
      </c>
    </row>
    <row r="17" spans="1:25" ht="20" customHeight="1" x14ac:dyDescent="0.2">
      <c r="B17" s="7"/>
      <c r="C17" s="16"/>
      <c r="D17" s="16"/>
      <c r="E17" s="16"/>
      <c r="H17" s="1453">
        <v>2</v>
      </c>
      <c r="I17" s="1453" t="s">
        <v>738</v>
      </c>
      <c r="J17" s="1453"/>
      <c r="K17" s="1453"/>
      <c r="L17" s="1670">
        <v>2</v>
      </c>
      <c r="P17" s="114"/>
      <c r="Q17" s="114"/>
      <c r="R17" s="114"/>
    </row>
    <row r="18" spans="1:25" ht="20" customHeight="1" x14ac:dyDescent="0.3">
      <c r="B18" s="315" t="s">
        <v>725</v>
      </c>
      <c r="C18" s="16"/>
      <c r="D18" s="16"/>
      <c r="E18" s="16"/>
      <c r="H18" s="1453">
        <v>3</v>
      </c>
      <c r="I18" s="1453" t="s">
        <v>739</v>
      </c>
      <c r="J18" s="1453"/>
      <c r="K18" s="1453"/>
      <c r="L18" s="1670">
        <v>3</v>
      </c>
      <c r="P18" s="114"/>
      <c r="Q18" s="114"/>
      <c r="R18" s="114"/>
    </row>
    <row r="19" spans="1:25" ht="21" x14ac:dyDescent="0.25">
      <c r="A19" s="13" t="s">
        <v>861</v>
      </c>
      <c r="B19" s="10"/>
      <c r="C19" s="64" t="s">
        <v>356</v>
      </c>
      <c r="D19" s="64"/>
      <c r="E19" s="64"/>
      <c r="H19" s="1453">
        <v>4</v>
      </c>
      <c r="I19" s="1453" t="s">
        <v>742</v>
      </c>
      <c r="J19" s="1453"/>
      <c r="K19" s="1453"/>
      <c r="L19" s="1670" t="s">
        <v>1876</v>
      </c>
      <c r="O19" s="48"/>
      <c r="P19" s="48"/>
      <c r="Q19" s="48"/>
      <c r="R19" s="1127"/>
      <c r="W19" s="114"/>
      <c r="X19" s="114"/>
      <c r="Y19" s="114"/>
    </row>
    <row r="20" spans="1:25" ht="16" customHeight="1" x14ac:dyDescent="0.2">
      <c r="B20" s="10"/>
      <c r="C20" s="33"/>
      <c r="D20" s="33" t="s">
        <v>231</v>
      </c>
      <c r="E20" s="33" t="s">
        <v>197</v>
      </c>
      <c r="H20" s="2017" t="s">
        <v>288</v>
      </c>
      <c r="I20" s="2016"/>
      <c r="J20" s="2016"/>
      <c r="K20" s="2016"/>
      <c r="L20" s="2016"/>
      <c r="W20" s="114"/>
      <c r="X20" s="114"/>
      <c r="Y20" s="114"/>
    </row>
    <row r="21" spans="1:25" ht="17" x14ac:dyDescent="0.2">
      <c r="B21" s="766" t="s">
        <v>555</v>
      </c>
      <c r="C21" s="767" t="str">
        <f>Test_Bible!B337</f>
        <v>Comment était la relation de votre enfant avec la famille élargie avant la séparation ?</v>
      </c>
      <c r="D21" s="889">
        <f>Test_Bible!P337</f>
        <v>2</v>
      </c>
      <c r="E21" s="889"/>
      <c r="F21" s="477" t="str">
        <f>Test_Bible!C337</f>
        <v xml:space="preserve">Excellente / Très bonne / Bonne / Moyenne / Faible / Mauvaise / S.O.   </v>
      </c>
      <c r="H21" s="2017">
        <v>0</v>
      </c>
      <c r="I21" s="2016" t="s">
        <v>740</v>
      </c>
      <c r="J21" s="2016"/>
      <c r="K21" s="2016"/>
      <c r="L21" s="2016"/>
      <c r="R21" t="s">
        <v>830</v>
      </c>
      <c r="S21" t="s">
        <v>318</v>
      </c>
      <c r="Y21" s="114"/>
    </row>
    <row r="22" spans="1:25" ht="51" x14ac:dyDescent="0.2">
      <c r="A22" s="13" t="s">
        <v>863</v>
      </c>
      <c r="B22" s="768" t="s">
        <v>195</v>
      </c>
      <c r="C22" s="769" t="str">
        <f>Test_Bible!B336</f>
        <v>Dans quelle mesure diriez-vous que votre enfant accepte les contacts avec votre famille élargie  (cousin.es, grands-parents, etc.) ?</v>
      </c>
      <c r="D22" s="888">
        <f>Test_Bible!P336</f>
        <v>7</v>
      </c>
      <c r="E22" s="888"/>
      <c r="F22" s="477" t="str">
        <f>Test_Bible!C336</f>
        <v xml:space="preserve">Jamais / Rarement / Occasionnellement / Régulièrement / Souvent / Toujours / S.O. </v>
      </c>
      <c r="H22" s="7"/>
      <c r="O22" s="2" t="s">
        <v>1871</v>
      </c>
      <c r="P22" s="72">
        <f>AVERAGE(T13:T14)</f>
        <v>9.5</v>
      </c>
      <c r="Q22" s="72">
        <f>AVERAGE(Q13:Q14)</f>
        <v>5.5</v>
      </c>
      <c r="R22" s="72">
        <f>AVERAGE(R13:R14)</f>
        <v>-4</v>
      </c>
      <c r="S22" t="str">
        <f>IF(P22=0,$I$21,IF(R22&gt;0,VLOOKUP(R22,$H$9:$I$13,2),VLOOKUP(ABS(R22),$H$15:$I$19,2)))</f>
        <v>il y a eu une dégradation majeure</v>
      </c>
    </row>
    <row r="23" spans="1:25" ht="17" x14ac:dyDescent="0.2">
      <c r="B23" s="7"/>
      <c r="C23" s="37" t="s">
        <v>284</v>
      </c>
      <c r="D23" s="37"/>
      <c r="E23" s="890">
        <f>D21-D22</f>
        <v>-5</v>
      </c>
      <c r="O23" s="2" t="s">
        <v>1873</v>
      </c>
      <c r="P23" s="72">
        <f>AVERAGE(T9:T11)</f>
        <v>2</v>
      </c>
      <c r="Q23" s="72">
        <f>AVERAGE(Q9:Q11)</f>
        <v>6.333333333333333</v>
      </c>
      <c r="R23" s="72">
        <f>AVERAGE(R9:R11)</f>
        <v>5</v>
      </c>
      <c r="S23" t="str">
        <f>IF(P23=0,$I$21,IF(R23&gt;0,VLOOKUP(R23,$H$9:$I$13,2),VLOOKUP(ABS(R23),$H$15:$I$19,2)))</f>
        <v>il y a eu une amélioration majeure</v>
      </c>
    </row>
    <row r="24" spans="1:25" x14ac:dyDescent="0.2">
      <c r="B24" s="7"/>
      <c r="C24" s="16"/>
      <c r="D24" s="16"/>
      <c r="E24" s="16"/>
      <c r="O24" s="2" t="s">
        <v>1872</v>
      </c>
      <c r="P24" s="72">
        <f>T6</f>
        <v>9</v>
      </c>
      <c r="Q24" s="72">
        <f>Q6</f>
        <v>2</v>
      </c>
      <c r="R24" s="72">
        <f>Q24-P24</f>
        <v>-7</v>
      </c>
      <c r="S24" t="str">
        <f>IF(P24=0,$I$21,IF(R24&gt;0,VLOOKUP(R24,$H$9:$I$13,2),VLOOKUP(ABS(R24),$H$15:$I$19,2)))</f>
        <v>il y a eu une dégradation majeure</v>
      </c>
    </row>
    <row r="25" spans="1:25" x14ac:dyDescent="0.2">
      <c r="B25" s="7"/>
      <c r="C25" s="323"/>
      <c r="D25" s="323"/>
      <c r="E25" s="323"/>
      <c r="O25" s="2" t="s">
        <v>1874</v>
      </c>
      <c r="P25" s="72">
        <f>T7</f>
        <v>9</v>
      </c>
      <c r="Q25" s="72">
        <f>Q7</f>
        <v>7</v>
      </c>
      <c r="R25" s="72">
        <f>Q25-P25</f>
        <v>-2</v>
      </c>
      <c r="S25" t="str">
        <f>IF(P25=0,$I$21,IF(R25&gt;0,VLOOKUP(R25,$H$9:$I$13,2),VLOOKUP(ABS(R25),$H$15:$I$19,2)))</f>
        <v xml:space="preserve">il y a eu une faible dégradation </v>
      </c>
    </row>
    <row r="26" spans="1:25" ht="24" x14ac:dyDescent="0.3">
      <c r="B26" s="315" t="s">
        <v>358</v>
      </c>
    </row>
    <row r="27" spans="1:25" x14ac:dyDescent="0.2">
      <c r="A27" t="s">
        <v>450</v>
      </c>
      <c r="B27" s="22"/>
      <c r="C27" s="64" t="s">
        <v>721</v>
      </c>
      <c r="D27" s="64"/>
      <c r="E27" s="64"/>
    </row>
    <row r="28" spans="1:25" x14ac:dyDescent="0.2">
      <c r="B28" s="22"/>
      <c r="C28" s="33"/>
      <c r="D28" s="33" t="s">
        <v>231</v>
      </c>
      <c r="E28" s="33" t="s">
        <v>197</v>
      </c>
    </row>
    <row r="29" spans="1:25" ht="34" x14ac:dyDescent="0.2">
      <c r="A29" s="13" t="s">
        <v>865</v>
      </c>
      <c r="B29" s="763" t="s">
        <v>57</v>
      </c>
      <c r="C29" s="764" t="str">
        <f>Test_Bible!B102</f>
        <v xml:space="preserve"> </v>
      </c>
      <c r="D29" s="790">
        <f>Test_Bible!P102</f>
        <v>0</v>
      </c>
      <c r="E29" s="790"/>
      <c r="H29" s="105"/>
    </row>
    <row r="30" spans="1:25" ht="17" x14ac:dyDescent="0.2">
      <c r="B30" s="770" t="s">
        <v>157</v>
      </c>
      <c r="C30" s="100" t="str">
        <f>Test_Bible!B264</f>
        <v>Dans quelle mesure diriez-vous que votre enfant idéalise (aujourd'hui) l’autre parent ?</v>
      </c>
      <c r="D30" s="888">
        <f>Test_Bible!P264</f>
        <v>7</v>
      </c>
      <c r="E30" s="888"/>
    </row>
    <row r="31" spans="1:25" ht="17" x14ac:dyDescent="0.2">
      <c r="C31" s="37" t="s">
        <v>284</v>
      </c>
      <c r="D31" s="37"/>
      <c r="E31" s="890">
        <f>D30-D29</f>
        <v>7</v>
      </c>
    </row>
    <row r="33" spans="1:7" x14ac:dyDescent="0.2">
      <c r="B33" s="59"/>
      <c r="C33" s="64" t="s">
        <v>722</v>
      </c>
      <c r="D33" s="64"/>
      <c r="E33" s="64"/>
    </row>
    <row r="34" spans="1:7" ht="17" x14ac:dyDescent="0.2">
      <c r="A34" t="s">
        <v>450</v>
      </c>
      <c r="B34" s="59"/>
      <c r="C34" s="33"/>
      <c r="D34" s="33" t="s">
        <v>231</v>
      </c>
      <c r="E34" s="33" t="s">
        <v>197</v>
      </c>
      <c r="F34" s="26" t="s">
        <v>743</v>
      </c>
      <c r="G34" s="26"/>
    </row>
    <row r="35" spans="1:7" ht="17" x14ac:dyDescent="0.2">
      <c r="B35" s="763" t="s">
        <v>59</v>
      </c>
      <c r="C35" s="764" t="str">
        <f>Test_Bible!B101</f>
        <v xml:space="preserve"> </v>
      </c>
      <c r="D35" s="790">
        <f>Test_Bible!P101</f>
        <v>0</v>
      </c>
      <c r="E35" s="790"/>
    </row>
    <row r="36" spans="1:7" ht="17" x14ac:dyDescent="0.2">
      <c r="B36" s="771" t="s">
        <v>349</v>
      </c>
      <c r="C36" s="299" t="str">
        <f>Test_Bible!B265</f>
        <v>Dans quelle mesure diriez-vous que la relation entre votre enfant et l'autre parent est fusionnelle ?</v>
      </c>
      <c r="D36" s="889">
        <f>Test_Bible!P265</f>
        <v>2</v>
      </c>
      <c r="E36" s="544"/>
      <c r="F36" s="2281"/>
      <c r="G36" s="26"/>
    </row>
    <row r="37" spans="1:7" ht="34" x14ac:dyDescent="0.2">
      <c r="A37" s="13" t="s">
        <v>866</v>
      </c>
      <c r="B37" s="574" t="s">
        <v>92</v>
      </c>
      <c r="C37" s="574" t="str">
        <f>Test_Bible!B166</f>
        <v>Selon vous, dans quelle mesure l'autre parent entretien une relation fusionnelle avec votre enfant ?</v>
      </c>
      <c r="D37" s="474">
        <f>Test_Bible!P166</f>
        <v>5</v>
      </c>
      <c r="E37" s="474"/>
      <c r="F37" s="2281"/>
      <c r="G37" s="26"/>
    </row>
    <row r="38" spans="1:7" ht="17" x14ac:dyDescent="0.2">
      <c r="C38" s="37" t="s">
        <v>284</v>
      </c>
      <c r="D38" s="37"/>
      <c r="E38" s="890">
        <f>MAX(D36,D37)-D35</f>
        <v>5</v>
      </c>
    </row>
    <row r="39" spans="1:7" x14ac:dyDescent="0.2">
      <c r="C39" s="16"/>
      <c r="D39" s="16"/>
      <c r="E39" s="16"/>
    </row>
    <row r="40" spans="1:7" x14ac:dyDescent="0.2">
      <c r="B40" s="59"/>
      <c r="C40" s="64" t="s">
        <v>724</v>
      </c>
      <c r="D40" s="64"/>
      <c r="E40" s="64"/>
    </row>
    <row r="41" spans="1:7" x14ac:dyDescent="0.2">
      <c r="A41" t="s">
        <v>450</v>
      </c>
      <c r="B41" s="59"/>
      <c r="C41" s="33"/>
      <c r="D41" s="33" t="s">
        <v>231</v>
      </c>
      <c r="E41" s="33" t="s">
        <v>197</v>
      </c>
    </row>
    <row r="42" spans="1:7" ht="17" x14ac:dyDescent="0.2">
      <c r="B42" s="38" t="s">
        <v>58</v>
      </c>
      <c r="C42" s="764" t="str">
        <f>Test_Bible!B100</f>
        <v>Quel était le degré de complicité entre votre enfant et l'autre parent ?</v>
      </c>
      <c r="D42" s="790">
        <f>Test_Bible!P100</f>
        <v>4</v>
      </c>
      <c r="E42" s="891"/>
    </row>
    <row r="43" spans="1:7" ht="34" x14ac:dyDescent="0.2">
      <c r="A43" s="13" t="s">
        <v>867</v>
      </c>
      <c r="B43" s="574" t="s">
        <v>91</v>
      </c>
      <c r="C43" s="574" t="str">
        <f>Test_Bible!B165</f>
        <v xml:space="preserve">Comment qualifieriez-vous la relation et le degré de complicité entre votre enfant et l'autre parent, aujourd'hui (temps présent) ? </v>
      </c>
      <c r="D43" s="474">
        <f>Test_Bible!P165</f>
        <v>7</v>
      </c>
      <c r="E43" s="892"/>
    </row>
    <row r="44" spans="1:7" ht="17" x14ac:dyDescent="0.2">
      <c r="C44" s="37" t="s">
        <v>284</v>
      </c>
      <c r="D44" s="37"/>
      <c r="E44" s="890">
        <f>D43-D42</f>
        <v>3</v>
      </c>
    </row>
    <row r="45" spans="1:7" x14ac:dyDescent="0.2">
      <c r="C45" s="16"/>
      <c r="D45" s="16"/>
      <c r="E45" s="16"/>
    </row>
    <row r="46" spans="1:7" ht="24" x14ac:dyDescent="0.3">
      <c r="A46" s="3"/>
      <c r="B46" s="315" t="s">
        <v>723</v>
      </c>
    </row>
    <row r="47" spans="1:7" ht="17" x14ac:dyDescent="0.2">
      <c r="A47" s="13" t="s">
        <v>861</v>
      </c>
      <c r="B47" s="12"/>
      <c r="C47" s="64" t="s">
        <v>363</v>
      </c>
      <c r="D47" s="64"/>
      <c r="E47" s="64"/>
    </row>
    <row r="48" spans="1:7" ht="16" customHeight="1" x14ac:dyDescent="0.2">
      <c r="B48" s="12"/>
      <c r="C48" s="33"/>
      <c r="D48" s="33" t="s">
        <v>231</v>
      </c>
      <c r="E48" s="33" t="s">
        <v>197</v>
      </c>
      <c r="F48" s="26" t="s">
        <v>743</v>
      </c>
      <c r="G48" s="26"/>
    </row>
    <row r="49" spans="1:7" ht="17" x14ac:dyDescent="0.2">
      <c r="B49" s="763" t="str">
        <f>BIBLE!E47</f>
        <v>H06</v>
      </c>
      <c r="C49" s="764" t="str">
        <f>Test_Bible!B106</f>
        <v xml:space="preserve">Dans quelle mesure diriez-vous que l'autre parent percevait votre rôle parental aussi important que le sien ? </v>
      </c>
      <c r="D49" s="790">
        <f>Test_Bible!P106</f>
        <v>2</v>
      </c>
      <c r="E49" s="790"/>
      <c r="F49" s="2150" t="s">
        <v>2117</v>
      </c>
      <c r="G49" s="477" t="str">
        <f>Test_Bible!C106</f>
        <v>Très élevée / Élevée / Moyenne / Faible / Très faible / Nulle / S.O.</v>
      </c>
    </row>
    <row r="50" spans="1:7" ht="39" customHeight="1" x14ac:dyDescent="0.2">
      <c r="B50" s="22" t="str">
        <f>BIBLE!E48</f>
        <v>H06a</v>
      </c>
      <c r="C50" s="767" t="str">
        <f>Test_Bible!B107</f>
        <v xml:space="preserve"> </v>
      </c>
      <c r="D50" s="889">
        <f>Test_Bible!P107</f>
        <v>0</v>
      </c>
      <c r="E50" s="889"/>
      <c r="F50" s="26" t="s">
        <v>1033</v>
      </c>
      <c r="G50" s="26"/>
    </row>
    <row r="51" spans="1:7" ht="30" customHeight="1" x14ac:dyDescent="0.2">
      <c r="A51" t="s">
        <v>868</v>
      </c>
      <c r="B51" s="414" t="s">
        <v>129</v>
      </c>
      <c r="C51" s="782" t="str">
        <f>Test_Bible!B208</f>
        <v>L'identité et la valeur sociale de l'autre parent passe par sa paternité ou sa maternité.</v>
      </c>
      <c r="D51" s="474">
        <f>Test_Bible!P208</f>
        <v>2</v>
      </c>
      <c r="E51" s="421"/>
      <c r="F51" s="2150" t="s">
        <v>2117</v>
      </c>
      <c r="G51" s="477" t="str">
        <f>Test_Bible!C208</f>
        <v>Nulle / Très faible / Faible / Moyenne / Élevée / Très élevée / S.O.</v>
      </c>
    </row>
    <row r="52" spans="1:7" ht="25" customHeight="1" x14ac:dyDescent="0.2">
      <c r="B52" s="782" t="s">
        <v>127</v>
      </c>
      <c r="C52" s="782" t="str">
        <f>Test_Bible!B205</f>
        <v xml:space="preserve">Dans quelle mesure diriez-vous que l'autre parent vous considère comme étant son égal·e sur le plan parental ? </v>
      </c>
      <c r="D52" s="474">
        <f>Test_Bible!P205</f>
        <v>4</v>
      </c>
      <c r="E52" s="474"/>
      <c r="F52" s="2150" t="s">
        <v>2117</v>
      </c>
      <c r="G52" s="477" t="str">
        <f>Test_Bible!C205</f>
        <v>Totalement / Grandement / Moyennement / Un peu / Très peu / Pas du tout / S.O.</v>
      </c>
    </row>
    <row r="53" spans="1:7" ht="17" x14ac:dyDescent="0.2">
      <c r="C53" s="37" t="s">
        <v>284</v>
      </c>
      <c r="D53" s="37"/>
      <c r="E53" s="890">
        <f>MAX(D49,D50)-MAX(D51,D52)</f>
        <v>-2</v>
      </c>
    </row>
    <row r="55" spans="1:7" ht="17" x14ac:dyDescent="0.2">
      <c r="A55" s="13" t="s">
        <v>861</v>
      </c>
      <c r="B55" s="12"/>
      <c r="C55" s="64" t="s">
        <v>364</v>
      </c>
      <c r="D55" s="64"/>
      <c r="E55" s="64"/>
    </row>
    <row r="56" spans="1:7" x14ac:dyDescent="0.2">
      <c r="B56" s="12"/>
      <c r="C56" s="33"/>
      <c r="D56" s="33" t="s">
        <v>231</v>
      </c>
      <c r="E56" s="33" t="s">
        <v>197</v>
      </c>
    </row>
    <row r="57" spans="1:7" ht="17" x14ac:dyDescent="0.2">
      <c r="A57" t="s">
        <v>869</v>
      </c>
      <c r="B57" s="763" t="s">
        <v>60</v>
      </c>
      <c r="C57" s="764" t="str">
        <f>Test_Bible!B104</f>
        <v>Arrivait-il que l'autre parent vous critique ou vous dénigre devant votre enfant ?</v>
      </c>
      <c r="D57" s="790">
        <f>Test_Bible!P104</f>
        <v>1</v>
      </c>
      <c r="E57" s="790"/>
      <c r="F57" s="2150" t="s">
        <v>2117</v>
      </c>
      <c r="G57" s="477" t="str">
        <f>Test_Bible!C104</f>
        <v xml:space="preserve">Jamais / Rarement / Occasionnellement / Régulièrement / Souvent / Toujours / S.O. </v>
      </c>
    </row>
    <row r="58" spans="1:7" ht="17" x14ac:dyDescent="0.2">
      <c r="B58" s="574" t="s">
        <v>109</v>
      </c>
      <c r="C58" s="574" t="str">
        <f>Test_Bible!B186</f>
        <v>L’autre parent vous dénigre en la présence de votre enfant.</v>
      </c>
      <c r="D58" s="474">
        <f>Test_Bible!P186</f>
        <v>7</v>
      </c>
      <c r="E58" s="474"/>
      <c r="F58" s="2150" t="s">
        <v>2117</v>
      </c>
      <c r="G58" s="477" t="str">
        <f>Test_Bible!C186</f>
        <v xml:space="preserve">Jamais / Rarement / Occasionnellement / Régulièrement / Souvent / Toujours / S.O. </v>
      </c>
    </row>
    <row r="59" spans="1:7" ht="17" x14ac:dyDescent="0.2">
      <c r="C59" s="37" t="s">
        <v>284</v>
      </c>
      <c r="D59" s="37"/>
      <c r="E59" s="890">
        <f>D57-D58</f>
        <v>-6</v>
      </c>
    </row>
    <row r="71" spans="3:5" x14ac:dyDescent="0.2">
      <c r="C71" s="2"/>
      <c r="D71" s="2"/>
      <c r="E71" s="2"/>
    </row>
    <row r="72" spans="3:5" x14ac:dyDescent="0.2">
      <c r="C72" s="2"/>
      <c r="D72" s="2"/>
      <c r="E72" s="2"/>
    </row>
  </sheetData>
  <mergeCells count="3">
    <mergeCell ref="F36:F37"/>
    <mergeCell ref="AN10:AN14"/>
    <mergeCell ref="AH16:AL16"/>
  </mergeCells>
  <phoneticPr fontId="11" type="noConversion"/>
  <conditionalFormatting sqref="R6:R7 R9:R11 R13:R14">
    <cfRule type="cellIs" dxfId="11" priority="10" operator="lessThan">
      <formula>-1</formula>
    </cfRule>
    <cfRule type="cellIs" dxfId="10" priority="12" operator="lessThan">
      <formula>-1</formula>
    </cfRule>
    <cfRule type="cellIs" dxfId="9" priority="13" operator="greaterThan">
      <formula>1</formula>
    </cfRule>
  </conditionalFormatting>
  <conditionalFormatting sqref="R17:R18">
    <cfRule type="cellIs" dxfId="8" priority="7" operator="lessThan">
      <formula>-1</formula>
    </cfRule>
    <cfRule type="cellIs" dxfId="7" priority="8" operator="lessThan">
      <formula>-1</formula>
    </cfRule>
    <cfRule type="cellIs" dxfId="6" priority="9" operator="greaterThan">
      <formula>1</formula>
    </cfRule>
  </conditionalFormatting>
  <conditionalFormatting sqref="AH7:AH16">
    <cfRule type="cellIs" dxfId="5" priority="4" operator="lessThan">
      <formula>-1</formula>
    </cfRule>
    <cfRule type="cellIs" dxfId="4" priority="5" operator="lessThan">
      <formula>-1</formula>
    </cfRule>
    <cfRule type="cellIs" dxfId="3" priority="6" operator="greaterThan">
      <formula>1</formula>
    </cfRule>
  </conditionalFormatting>
  <conditionalFormatting sqref="Y19:Y20">
    <cfRule type="cellIs" dxfId="2" priority="1" operator="lessThan">
      <formula>-1</formula>
    </cfRule>
    <cfRule type="cellIs" dxfId="1" priority="2" operator="lessThan">
      <formula>-1</formula>
    </cfRule>
    <cfRule type="cellIs" dxfId="0" priority="3" operator="greaterThan">
      <formula>1</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17AC-7582-D243-8CEC-485770AC3DB0}">
  <sheetPr>
    <pageSetUpPr fitToPage="1"/>
  </sheetPr>
  <dimension ref="A1:X57"/>
  <sheetViews>
    <sheetView topLeftCell="D1" workbookViewId="0"/>
    <sheetView topLeftCell="D1" workbookViewId="1"/>
  </sheetViews>
  <sheetFormatPr baseColWidth="10" defaultRowHeight="16" x14ac:dyDescent="0.2"/>
  <cols>
    <col min="1" max="1" width="13" hidden="1" customWidth="1"/>
    <col min="2" max="2" width="7.6640625" hidden="1" customWidth="1"/>
    <col min="3" max="3" width="12.33203125" hidden="1" customWidth="1"/>
    <col min="4" max="4" width="32.1640625" customWidth="1"/>
    <col min="5" max="5" width="12.33203125" customWidth="1"/>
    <col min="6" max="6" width="14.83203125" customWidth="1"/>
    <col min="7" max="7" width="13" customWidth="1"/>
    <col min="8" max="8" width="51.6640625" customWidth="1"/>
    <col min="9" max="9" width="14.6640625" customWidth="1"/>
    <col min="10" max="10" width="3.5" customWidth="1"/>
    <col min="11" max="11" width="10.6640625" customWidth="1"/>
    <col min="12" max="12" width="46.6640625" customWidth="1"/>
    <col min="13" max="13" width="14.6640625" customWidth="1"/>
    <col min="14" max="14" width="3" customWidth="1"/>
    <col min="15" max="15" width="10.33203125" customWidth="1"/>
    <col min="16" max="16" width="51.33203125" customWidth="1"/>
    <col min="17" max="17" width="13" customWidth="1"/>
    <col min="18" max="18" width="4.5" customWidth="1"/>
    <col min="19" max="19" width="9.6640625" customWidth="1"/>
    <col min="20" max="20" width="56" customWidth="1"/>
    <col min="21" max="21" width="10.33203125" customWidth="1"/>
    <col min="22" max="22" width="10.83203125" hidden="1" customWidth="1"/>
    <col min="23" max="24" width="0" hidden="1" customWidth="1"/>
  </cols>
  <sheetData>
    <row r="1" spans="1:21" ht="52" customHeight="1" x14ac:dyDescent="0.25">
      <c r="A1" s="943" t="s">
        <v>733</v>
      </c>
      <c r="B1" s="943" t="s">
        <v>735</v>
      </c>
      <c r="C1" s="943" t="s">
        <v>734</v>
      </c>
      <c r="D1" s="943"/>
      <c r="E1" s="63" t="s">
        <v>1239</v>
      </c>
      <c r="F1" s="26"/>
      <c r="G1" s="16"/>
      <c r="H1" s="297"/>
      <c r="I1" s="654"/>
      <c r="K1" s="16"/>
      <c r="L1" s="297"/>
      <c r="M1" s="654"/>
      <c r="O1" s="662"/>
      <c r="P1" s="297"/>
      <c r="Q1" s="655"/>
    </row>
    <row r="2" spans="1:21" ht="52" customHeight="1" x14ac:dyDescent="0.25">
      <c r="A2" s="943"/>
      <c r="B2" s="943"/>
      <c r="C2" s="943"/>
      <c r="D2" s="943"/>
      <c r="E2" s="63"/>
      <c r="F2" s="26"/>
      <c r="G2" s="16"/>
      <c r="H2" s="297"/>
      <c r="I2" s="654"/>
      <c r="K2" s="16"/>
      <c r="L2" s="297"/>
      <c r="M2" s="654"/>
      <c r="O2" s="662"/>
      <c r="P2" s="297"/>
      <c r="Q2" s="655"/>
    </row>
    <row r="3" spans="1:21" ht="53" hidden="1" customHeight="1" x14ac:dyDescent="0.25">
      <c r="A3" s="8"/>
      <c r="B3" s="8"/>
      <c r="C3" s="8"/>
      <c r="D3" s="8"/>
      <c r="E3" s="63"/>
      <c r="F3" s="26"/>
      <c r="G3" s="750"/>
      <c r="H3" s="750" t="s">
        <v>487</v>
      </c>
      <c r="I3" s="750"/>
      <c r="J3" s="751"/>
      <c r="K3" s="750"/>
      <c r="L3" s="750" t="s">
        <v>247</v>
      </c>
      <c r="M3" s="750"/>
      <c r="N3" s="751"/>
      <c r="O3" s="752"/>
      <c r="P3" s="750" t="s">
        <v>344</v>
      </c>
      <c r="Q3" s="655"/>
      <c r="S3" s="2286" t="s">
        <v>488</v>
      </c>
      <c r="T3" s="2286"/>
      <c r="U3" s="2286"/>
    </row>
    <row r="4" spans="1:21" ht="53" hidden="1" customHeight="1" x14ac:dyDescent="0.25">
      <c r="A4" s="8"/>
      <c r="B4" s="8"/>
      <c r="C4" s="8"/>
      <c r="D4" s="2182" t="s">
        <v>1302</v>
      </c>
      <c r="E4" s="10"/>
      <c r="F4" s="2182" t="s">
        <v>1226</v>
      </c>
      <c r="G4" s="750"/>
      <c r="H4" s="750"/>
      <c r="I4" s="750"/>
      <c r="J4" s="751"/>
      <c r="K4" s="750"/>
      <c r="L4" s="750"/>
      <c r="M4" s="750"/>
      <c r="N4" s="751"/>
      <c r="O4" s="752"/>
      <c r="P4" s="750"/>
      <c r="S4" s="366" t="str">
        <f>BIBLE!E51</f>
        <v>PCR01</v>
      </c>
      <c r="T4" s="366" t="str">
        <f>BIBLE!F51</f>
        <v>Vous êtes à l'aise en présence de l'autre parent (coparent).</v>
      </c>
      <c r="U4" s="1390" t="str">
        <f>BIBLE!V51</f>
        <v>C: Chantage affectif, loyauté, manipulation</v>
      </c>
    </row>
    <row r="5" spans="1:21" ht="51" hidden="1" customHeight="1" x14ac:dyDescent="0.25">
      <c r="A5" s="8"/>
      <c r="B5" s="8"/>
      <c r="C5" s="8"/>
      <c r="D5" s="2182"/>
      <c r="E5" s="10"/>
      <c r="F5" s="2182"/>
      <c r="G5" s="750"/>
      <c r="H5" s="750"/>
      <c r="I5" s="750"/>
      <c r="J5" s="751"/>
      <c r="K5" s="750"/>
      <c r="L5" s="750"/>
      <c r="M5" s="750"/>
      <c r="N5" s="751"/>
      <c r="O5" s="752"/>
      <c r="P5" s="750"/>
      <c r="Q5" s="655"/>
      <c r="S5" s="299" t="str">
        <f>BIBLE!E52</f>
        <v>PCR01a</v>
      </c>
      <c r="T5" s="299" t="str">
        <f>BIBLE!F52</f>
        <v>Vous devez marcher sur des œufs afin d'éviter les conflits.</v>
      </c>
      <c r="U5" s="1390">
        <f>BIBLE!GQ52</f>
        <v>0</v>
      </c>
    </row>
    <row r="6" spans="1:21" ht="21" hidden="1" x14ac:dyDescent="0.25">
      <c r="A6" s="8"/>
      <c r="B6" s="8"/>
      <c r="C6" s="8"/>
      <c r="D6" s="8"/>
      <c r="E6" s="63"/>
      <c r="F6" s="26"/>
      <c r="G6" s="750"/>
      <c r="H6" s="750"/>
      <c r="I6" s="750"/>
      <c r="J6" s="751"/>
      <c r="K6" s="750"/>
      <c r="L6" s="750"/>
      <c r="M6" s="750"/>
      <c r="N6" s="751"/>
      <c r="O6" s="752"/>
      <c r="P6" s="750"/>
      <c r="Q6" s="655"/>
    </row>
    <row r="7" spans="1:21" ht="51" hidden="1" x14ac:dyDescent="0.2">
      <c r="A7" s="8"/>
      <c r="B7" s="16"/>
      <c r="C7" s="8"/>
      <c r="D7" s="26" t="s">
        <v>1382</v>
      </c>
      <c r="E7" s="10"/>
      <c r="F7" s="2267" t="s">
        <v>714</v>
      </c>
      <c r="G7" s="421" t="str">
        <f>BIBLE!E113</f>
        <v>PFA19</v>
      </c>
      <c r="H7" s="574" t="str">
        <f>BIBLE!F113</f>
        <v>L'autre parent vous communique les informations médicales, scolaires et liées aux activités sociales ou sportives de votre enfant.</v>
      </c>
      <c r="I7" s="659" t="str">
        <f>BIBLE!V113</f>
        <v>E: Interférence temps et/ou communication</v>
      </c>
      <c r="O7" s="662"/>
      <c r="P7" s="297"/>
      <c r="Q7" s="655"/>
    </row>
    <row r="8" spans="1:21" ht="51" hidden="1" x14ac:dyDescent="0.2">
      <c r="A8" s="947" t="s">
        <v>932</v>
      </c>
      <c r="B8" s="16"/>
      <c r="C8" s="16" t="s">
        <v>940</v>
      </c>
      <c r="D8" s="26"/>
      <c r="E8" s="10"/>
      <c r="F8" s="2267"/>
      <c r="G8" s="544" t="str">
        <f>BIBLE!E114</f>
        <v>PFA19a</v>
      </c>
      <c r="H8" s="299" t="str">
        <f>BIBLE!F114</f>
        <v>L'autre parent demande aux personnes gravitant autour de votre enfant (profs, médecins, entraîneurs, etc.) de ne PAS vous communiquer de l'information à son sujet.</v>
      </c>
      <c r="I8" s="659" t="str">
        <f>BIBLE!V114</f>
        <v>E: Interférence temps et/ou communication</v>
      </c>
      <c r="K8" s="552" t="str">
        <f>BIBLE!E231</f>
        <v>NC13</v>
      </c>
      <c r="L8" s="578" t="str">
        <f>BIBLE!F231</f>
        <v>Le nouveau ou nouvelle conjoint·e demande aux personnes gravitant autour de votre enfant de ne PAS vous communiquer de l'information à son sujet.</v>
      </c>
      <c r="M8" s="659" t="str">
        <f>BIBLE!V231</f>
        <v>E: Interférence temps et/ou communication</v>
      </c>
      <c r="O8" s="662"/>
      <c r="P8" s="297"/>
      <c r="Q8" s="655"/>
    </row>
    <row r="9" spans="1:21" hidden="1" x14ac:dyDescent="0.2">
      <c r="A9" s="8"/>
      <c r="B9" s="8"/>
      <c r="C9" s="8"/>
      <c r="D9" s="26"/>
      <c r="F9" s="26"/>
      <c r="G9" s="16"/>
      <c r="H9" s="297"/>
      <c r="I9" s="654"/>
      <c r="K9" s="16"/>
      <c r="L9" s="297"/>
      <c r="M9" s="654"/>
      <c r="O9" s="662"/>
      <c r="P9" s="297"/>
      <c r="Q9" s="655"/>
    </row>
    <row r="10" spans="1:21" ht="51" hidden="1" x14ac:dyDescent="0.2">
      <c r="A10" s="8"/>
      <c r="B10" s="16" t="s">
        <v>938</v>
      </c>
      <c r="C10" s="16" t="s">
        <v>939</v>
      </c>
      <c r="D10" s="26" t="s">
        <v>1383</v>
      </c>
      <c r="E10" s="10"/>
      <c r="F10" s="26" t="s">
        <v>716</v>
      </c>
      <c r="G10" s="421" t="str">
        <f>BIBLE!E111</f>
        <v>PFA17</v>
      </c>
      <c r="H10" s="574" t="str">
        <f>BIBLE!F111</f>
        <v>L’autre parent se présente à la sortie des classes, au service de garde ou à la garderie sur votre temps de garde.</v>
      </c>
      <c r="I10" s="659" t="str">
        <f>BIBLE!V111</f>
        <v>E: Interférence temps et/ou communication</v>
      </c>
      <c r="K10" s="552" t="str">
        <f>BIBLE!E227</f>
        <v>NC09</v>
      </c>
      <c r="L10" s="578" t="str">
        <f>BIBLE!F227</f>
        <v xml:space="preserve">Le nouveau ou nouvelle conjoint·e se présente à la sortie des classes, au service de garde ou à la garderie sur votre temps de garde. </v>
      </c>
      <c r="M10" s="659" t="str">
        <f>BIBLE!V227</f>
        <v>E: Interférence temps et/ou communication</v>
      </c>
      <c r="O10" s="662"/>
      <c r="P10" s="297"/>
      <c r="Q10" s="655"/>
    </row>
    <row r="11" spans="1:21" hidden="1" x14ac:dyDescent="0.2">
      <c r="A11" s="8"/>
      <c r="B11" s="8"/>
      <c r="C11" s="8"/>
      <c r="D11" s="26"/>
    </row>
    <row r="12" spans="1:21" ht="51" hidden="1" x14ac:dyDescent="0.2">
      <c r="A12" s="8"/>
      <c r="B12" s="8">
        <v>2</v>
      </c>
      <c r="C12" s="8">
        <v>4</v>
      </c>
      <c r="D12" s="26" t="s">
        <v>1383</v>
      </c>
      <c r="E12" s="10"/>
      <c r="F12" s="26" t="s">
        <v>613</v>
      </c>
      <c r="G12" s="421" t="str">
        <f>BIBLE!E124</f>
        <v>PFA24</v>
      </c>
      <c r="H12" s="574" t="str">
        <f>BIBLE!F124</f>
        <v>Depuis la séparation, l’autre parent cherche à vous blesser parce qu'il considère que vous avez brisé ou abandonné la famille.</v>
      </c>
      <c r="I12" s="660" t="str">
        <f>BIBLE!V124</f>
        <v>F: Interférence lien affectif ou symbolique</v>
      </c>
      <c r="K12" s="16"/>
      <c r="M12" s="16"/>
      <c r="N12" s="16"/>
      <c r="P12" s="297"/>
      <c r="Q12" s="655"/>
    </row>
    <row r="13" spans="1:21" hidden="1" x14ac:dyDescent="0.2">
      <c r="A13" s="8"/>
      <c r="B13" s="8"/>
      <c r="C13" s="8"/>
      <c r="D13" s="26"/>
      <c r="F13" s="26"/>
      <c r="G13" s="16"/>
      <c r="H13" s="297"/>
      <c r="I13" s="654"/>
      <c r="K13" s="16"/>
      <c r="L13" s="297"/>
      <c r="M13" s="654"/>
      <c r="O13" s="662"/>
      <c r="P13" s="297"/>
      <c r="Q13" s="655"/>
    </row>
    <row r="14" spans="1:21" ht="48" hidden="1" x14ac:dyDescent="0.2">
      <c r="A14" s="8"/>
      <c r="B14" s="945" t="s">
        <v>935</v>
      </c>
      <c r="C14" s="945" t="s">
        <v>934</v>
      </c>
      <c r="D14" s="26" t="s">
        <v>1384</v>
      </c>
      <c r="E14" s="10"/>
      <c r="F14" s="26" t="s">
        <v>614</v>
      </c>
      <c r="G14" s="421" t="str">
        <f>BIBLE!E125</f>
        <v>PFA25</v>
      </c>
      <c r="H14" s="574" t="str">
        <f>BIBLE!F125</f>
        <v>L'autre parent vous appelle par votre prénom devant votre enfant (versus maman ou papa).</v>
      </c>
      <c r="I14" s="660" t="str">
        <f>BIBLE!V125</f>
        <v>F: Interférence lien affectif ou symbolique</v>
      </c>
      <c r="K14" s="16"/>
      <c r="L14" s="297"/>
      <c r="M14" s="654"/>
      <c r="O14" s="662"/>
      <c r="P14" s="297"/>
      <c r="Q14" s="655"/>
    </row>
    <row r="15" spans="1:21" ht="51" hidden="1" x14ac:dyDescent="0.2">
      <c r="A15" s="8"/>
      <c r="B15" s="8"/>
      <c r="C15" s="8"/>
      <c r="D15" s="26"/>
      <c r="E15" s="10"/>
      <c r="F15" s="26" t="s">
        <v>933</v>
      </c>
      <c r="G15" s="544" t="str">
        <f>BIBLE!E126</f>
        <v>PFA25a</v>
      </c>
      <c r="H15" s="299" t="str">
        <f>BIBLE!F126</f>
        <v>Cette façon de s'adresser à vous devant votre enfant (prénom versus maman ou papa) est-elle habituelle ou est-ce nouveau depuis la séparation ?</v>
      </c>
      <c r="I15" s="660" t="str">
        <f>BIBLE!V126</f>
        <v>F: Interférence lien affectif ou symbolique</v>
      </c>
      <c r="K15" s="16"/>
      <c r="L15" s="297"/>
      <c r="M15" s="654"/>
      <c r="O15" s="662"/>
      <c r="P15" s="297"/>
      <c r="Q15" s="655"/>
    </row>
    <row r="16" spans="1:21" hidden="1" x14ac:dyDescent="0.2">
      <c r="A16" s="8"/>
      <c r="B16" s="8"/>
      <c r="C16" s="8"/>
      <c r="D16" s="26"/>
      <c r="F16" s="26"/>
      <c r="G16" s="16"/>
      <c r="H16" s="297"/>
      <c r="I16" s="654"/>
      <c r="K16" s="16"/>
      <c r="L16" s="297"/>
      <c r="M16" s="654"/>
      <c r="O16" s="662"/>
      <c r="P16" s="297"/>
      <c r="Q16" s="655"/>
    </row>
    <row r="17" spans="1:24" ht="105" hidden="1" x14ac:dyDescent="0.2">
      <c r="A17" s="946" t="s">
        <v>949</v>
      </c>
      <c r="B17" s="501" t="s">
        <v>937</v>
      </c>
      <c r="C17" s="501" t="s">
        <v>936</v>
      </c>
      <c r="D17" s="26"/>
      <c r="E17" s="10"/>
      <c r="F17" s="26" t="s">
        <v>615</v>
      </c>
      <c r="G17" s="421" t="str">
        <f>BIBLE!E127</f>
        <v>PFA26</v>
      </c>
      <c r="H17" s="574" t="str">
        <f>BIBLE!F127</f>
        <v>L’autre parent considère que son nouveau ou nouvelle conjoint·e est un meilleur parent que vous.</v>
      </c>
      <c r="I17" s="660" t="str">
        <f>BIBLE!V127</f>
        <v>F: Interférence lien affectif ou symbolique</v>
      </c>
      <c r="K17" s="552" t="str">
        <f>BIBLE!E233</f>
        <v>NC15</v>
      </c>
      <c r="L17" s="578" t="str">
        <f>BIBLE!F233</f>
        <v>Dans quelle mesure diriez-vous que votre relation avec votre enfant est fragilisée depuis l'arrivée du nouveau ou nouvelle conjoint·e ?</v>
      </c>
      <c r="M17" s="660" t="str">
        <f>BIBLE!V233</f>
        <v>F: Interférence lien affectif ou symbolique</v>
      </c>
      <c r="O17" s="662"/>
      <c r="P17" s="297"/>
      <c r="Q17" s="655"/>
    </row>
    <row r="18" spans="1:24" hidden="1" x14ac:dyDescent="0.2">
      <c r="A18" s="8"/>
      <c r="B18" s="8"/>
      <c r="C18" s="8"/>
      <c r="D18" s="26"/>
      <c r="F18" s="26"/>
      <c r="G18" s="16"/>
      <c r="H18" s="297"/>
      <c r="I18" s="654"/>
      <c r="K18" s="16"/>
      <c r="L18" s="297"/>
      <c r="M18" s="654"/>
      <c r="O18" s="662"/>
      <c r="P18" s="297"/>
      <c r="Q18" s="655"/>
    </row>
    <row r="19" spans="1:24" ht="45" hidden="1" x14ac:dyDescent="0.2">
      <c r="A19" s="8"/>
      <c r="B19" s="8"/>
      <c r="C19" s="8">
        <v>4</v>
      </c>
      <c r="D19" s="26" t="s">
        <v>1382</v>
      </c>
      <c r="E19" s="10"/>
      <c r="F19" s="26" t="s">
        <v>718</v>
      </c>
      <c r="G19" s="544" t="str">
        <f>BIBLE!E136</f>
        <v>PFA30a</v>
      </c>
      <c r="H19" s="753" t="str">
        <f>BIBLE!F136</f>
        <v>L’autre parent cherche à vous exclure de la vie de votre enfant.</v>
      </c>
      <c r="I19" s="660" t="str">
        <f>BIBLE!V136</f>
        <v>F: Interférence lien affectif ou symbolique</v>
      </c>
      <c r="K19" s="16"/>
      <c r="L19" s="297"/>
      <c r="M19" s="654"/>
      <c r="O19" s="662"/>
      <c r="P19" s="297"/>
      <c r="Q19" s="655"/>
    </row>
    <row r="20" spans="1:24" hidden="1" x14ac:dyDescent="0.2">
      <c r="A20" s="8"/>
      <c r="B20" s="8"/>
      <c r="C20" s="8"/>
      <c r="D20" s="26"/>
      <c r="F20" s="26"/>
      <c r="G20" s="16"/>
      <c r="H20" s="762"/>
      <c r="I20" s="654"/>
      <c r="K20" s="16"/>
      <c r="L20" s="297"/>
      <c r="M20" s="654"/>
      <c r="O20" s="662"/>
      <c r="P20" s="297"/>
      <c r="Q20" s="655"/>
    </row>
    <row r="21" spans="1:24" ht="51" hidden="1" x14ac:dyDescent="0.2">
      <c r="A21" s="2284" t="s">
        <v>951</v>
      </c>
      <c r="B21" s="948"/>
      <c r="C21" s="2284" t="s">
        <v>941</v>
      </c>
      <c r="D21" s="26"/>
      <c r="E21" s="10"/>
      <c r="F21" s="26" t="s">
        <v>719</v>
      </c>
      <c r="K21" s="145" t="str">
        <f>BIBLE!E217</f>
        <v>NC01</v>
      </c>
      <c r="L21" s="578" t="str">
        <f>BIBLE!F217</f>
        <v>Le nouveau ou nouvelle conjoint·e joue un rôle de confident·e auprès de votre enfant.</v>
      </c>
      <c r="M21" s="656" t="str">
        <f>BIBLE!V217</f>
        <v>A:Alliance</v>
      </c>
      <c r="O21" s="662"/>
      <c r="P21" s="297"/>
      <c r="Q21" s="655"/>
    </row>
    <row r="22" spans="1:24" ht="34" hidden="1" x14ac:dyDescent="0.2">
      <c r="A22" s="2284"/>
      <c r="B22" s="948"/>
      <c r="C22" s="2284"/>
      <c r="D22" s="26" t="s">
        <v>1383</v>
      </c>
      <c r="E22" s="10"/>
      <c r="K22" s="142" t="str">
        <f>BIBLE!E218</f>
        <v>NC01a</v>
      </c>
      <c r="L22" s="299" t="str">
        <f>BIBLE!F218</f>
        <v>Dans quelle mesure cette relation de confident·e vous apparaît être saine ?</v>
      </c>
      <c r="M22" s="656" t="str">
        <f>BIBLE!V218</f>
        <v>A:Alliance</v>
      </c>
      <c r="O22" s="662"/>
      <c r="P22" s="297"/>
      <c r="Q22" s="655"/>
    </row>
    <row r="23" spans="1:24" ht="51" hidden="1" x14ac:dyDescent="0.2">
      <c r="A23" s="2284"/>
      <c r="B23" s="948"/>
      <c r="C23" s="2284"/>
      <c r="D23" s="26"/>
      <c r="E23" s="10"/>
      <c r="G23" s="16"/>
      <c r="H23" s="297"/>
      <c r="I23" s="654"/>
      <c r="K23" s="8" t="str">
        <f>BIBLE!E233</f>
        <v>NC15</v>
      </c>
      <c r="L23" s="13" t="str">
        <f>BIBLE!F233</f>
        <v>Dans quelle mesure diriez-vous que votre relation avec votre enfant est fragilisée depuis l'arrivée du nouveau ou nouvelle conjoint·e ?</v>
      </c>
      <c r="M23" s="660" t="str">
        <f>BIBLE!V233</f>
        <v>F: Interférence lien affectif ou symbolique</v>
      </c>
      <c r="O23" s="662"/>
      <c r="P23" s="297"/>
      <c r="Q23" s="655"/>
    </row>
    <row r="24" spans="1:24" x14ac:dyDescent="0.2">
      <c r="A24" s="8"/>
      <c r="B24" s="8"/>
      <c r="C24" s="8"/>
      <c r="D24" s="8"/>
      <c r="F24" s="26"/>
      <c r="G24" s="16"/>
      <c r="H24" s="297"/>
      <c r="I24" s="654"/>
      <c r="K24" s="16"/>
      <c r="L24" s="297"/>
      <c r="M24" s="654"/>
      <c r="O24" s="662"/>
      <c r="P24" s="297"/>
      <c r="Q24" s="655"/>
      <c r="S24" s="2285"/>
      <c r="T24" s="2285"/>
      <c r="U24" s="2285"/>
      <c r="V24" s="2285"/>
      <c r="W24" s="2285"/>
      <c r="X24" s="2285"/>
    </row>
    <row r="25" spans="1:24" ht="44" x14ac:dyDescent="0.25">
      <c r="A25" s="8"/>
      <c r="B25" s="8"/>
      <c r="C25" s="8"/>
      <c r="D25" s="8"/>
      <c r="F25" s="26"/>
      <c r="G25" s="1680" t="s">
        <v>1440</v>
      </c>
      <c r="H25" s="1718"/>
      <c r="I25" s="1718"/>
      <c r="J25" s="63"/>
      <c r="K25" s="1680" t="s">
        <v>1441</v>
      </c>
      <c r="L25" s="1718"/>
      <c r="M25" s="1718"/>
      <c r="O25" s="662"/>
      <c r="P25" s="297"/>
      <c r="Q25" s="655"/>
      <c r="S25" s="1715"/>
      <c r="T25" s="1715"/>
      <c r="U25" s="1715"/>
      <c r="V25" s="1715"/>
      <c r="W25" s="1715"/>
      <c r="X25" s="1715"/>
    </row>
    <row r="26" spans="1:24" x14ac:dyDescent="0.2">
      <c r="A26" s="8"/>
      <c r="B26" s="8"/>
      <c r="C26" s="8"/>
      <c r="D26" s="8"/>
      <c r="F26" s="26"/>
      <c r="G26" s="16"/>
      <c r="H26" s="297"/>
      <c r="K26" s="1741" t="s">
        <v>1432</v>
      </c>
      <c r="O26" s="662"/>
      <c r="P26" s="297"/>
      <c r="Q26" s="655"/>
      <c r="S26" s="1715"/>
      <c r="T26" s="1715"/>
      <c r="U26" s="1715"/>
      <c r="V26" s="1715"/>
      <c r="W26" s="1715"/>
      <c r="X26" s="1715"/>
    </row>
    <row r="27" spans="1:24" ht="51" x14ac:dyDescent="0.2">
      <c r="A27" s="8"/>
      <c r="B27" s="8"/>
      <c r="C27" s="8"/>
      <c r="D27" s="8"/>
      <c r="F27" s="26"/>
      <c r="G27" s="8" t="s">
        <v>129</v>
      </c>
      <c r="H27" s="13" t="s">
        <v>441</v>
      </c>
      <c r="K27" s="584" t="s">
        <v>167</v>
      </c>
      <c r="L27" s="584" t="s">
        <v>1139</v>
      </c>
      <c r="M27" s="655" t="s">
        <v>69</v>
      </c>
      <c r="O27" s="662"/>
      <c r="P27" s="297"/>
      <c r="Q27" s="655"/>
    </row>
    <row r="28" spans="1:24" ht="68" x14ac:dyDescent="0.2">
      <c r="A28" s="8"/>
      <c r="B28" s="8"/>
      <c r="C28" s="8"/>
      <c r="D28" s="8"/>
      <c r="F28" s="26"/>
      <c r="G28" s="8" t="s">
        <v>1438</v>
      </c>
      <c r="H28" s="26" t="s">
        <v>1439</v>
      </c>
      <c r="K28" t="s">
        <v>159</v>
      </c>
      <c r="L28" s="13" t="s">
        <v>548</v>
      </c>
      <c r="M28" t="s">
        <v>55</v>
      </c>
      <c r="O28" s="662"/>
      <c r="P28" s="297"/>
      <c r="Q28" s="655"/>
    </row>
    <row r="29" spans="1:24" ht="68" x14ac:dyDescent="0.2">
      <c r="A29" s="8"/>
      <c r="B29" s="8"/>
      <c r="C29" s="8"/>
      <c r="D29" s="8"/>
      <c r="F29" s="26"/>
      <c r="G29" s="8" t="str">
        <f>BIBLE!E120</f>
        <v>PFA40</v>
      </c>
      <c r="H29" s="13" t="str">
        <f>BIBLE!F120</f>
        <v>L'autre parent sent qu’il est en compétition avec vous pour l’amour de votre enfant.</v>
      </c>
      <c r="K29" t="s">
        <v>160</v>
      </c>
      <c r="L29" s="13" t="s">
        <v>1120</v>
      </c>
      <c r="M29" t="s">
        <v>55</v>
      </c>
      <c r="O29" s="662"/>
      <c r="P29" s="297"/>
      <c r="Q29" s="655"/>
    </row>
    <row r="30" spans="1:24" x14ac:dyDescent="0.2">
      <c r="A30" s="8"/>
      <c r="B30" s="8"/>
      <c r="C30" s="8"/>
      <c r="D30" s="8"/>
      <c r="F30" s="26"/>
      <c r="O30" s="662"/>
      <c r="P30" s="297"/>
      <c r="Q30" s="655"/>
    </row>
    <row r="31" spans="1:24" ht="33" customHeight="1" x14ac:dyDescent="0.2">
      <c r="A31" s="8"/>
      <c r="B31" s="8"/>
      <c r="C31" s="8"/>
      <c r="D31" s="8"/>
      <c r="F31" s="26"/>
      <c r="K31" s="1741" t="s">
        <v>1465</v>
      </c>
      <c r="L31" s="297"/>
    </row>
    <row r="32" spans="1:24" ht="54" customHeight="1" x14ac:dyDescent="0.2">
      <c r="A32" s="17"/>
      <c r="B32" s="8"/>
      <c r="C32" s="8"/>
      <c r="D32" s="8"/>
      <c r="F32" s="26"/>
      <c r="I32" s="1476"/>
      <c r="K32" s="584" t="s">
        <v>161</v>
      </c>
      <c r="L32" s="584" t="s">
        <v>1121</v>
      </c>
      <c r="M32" s="297" t="s">
        <v>55</v>
      </c>
      <c r="O32" s="662"/>
      <c r="P32" s="297"/>
      <c r="Q32" s="655"/>
      <c r="S32" s="13"/>
      <c r="T32" s="13"/>
      <c r="U32" s="13"/>
      <c r="V32" s="13"/>
      <c r="W32" s="13"/>
      <c r="X32" s="13"/>
    </row>
    <row r="33" spans="1:24" ht="64" customHeight="1" x14ac:dyDescent="0.2">
      <c r="A33" s="8"/>
      <c r="B33" s="8"/>
      <c r="C33" s="8"/>
      <c r="D33" s="8"/>
      <c r="F33" s="26"/>
      <c r="I33" s="1476"/>
      <c r="K33" s="584" t="s">
        <v>191</v>
      </c>
      <c r="L33" s="584" t="s">
        <v>551</v>
      </c>
      <c r="M33" s="584" t="s">
        <v>149</v>
      </c>
      <c r="O33" s="662"/>
      <c r="P33" s="297"/>
      <c r="Q33" s="655"/>
      <c r="U33" s="105"/>
      <c r="V33" s="980"/>
      <c r="W33" s="105"/>
      <c r="X33" s="105"/>
    </row>
    <row r="34" spans="1:24" ht="66" customHeight="1" x14ac:dyDescent="0.2">
      <c r="A34" s="8"/>
      <c r="B34" s="8"/>
      <c r="C34" s="8"/>
      <c r="D34" s="8"/>
      <c r="F34" s="26"/>
      <c r="I34" s="1476"/>
      <c r="K34" s="584" t="s">
        <v>189</v>
      </c>
      <c r="L34" s="584" t="s">
        <v>1167</v>
      </c>
      <c r="M34" s="584" t="s">
        <v>149</v>
      </c>
      <c r="O34" s="662"/>
      <c r="P34" s="297"/>
      <c r="Q34" s="655"/>
      <c r="U34" s="105"/>
      <c r="V34" s="980"/>
      <c r="X34" s="980"/>
    </row>
    <row r="35" spans="1:24" ht="51" x14ac:dyDescent="0.2">
      <c r="A35" s="8"/>
      <c r="B35" s="8"/>
      <c r="C35" s="8"/>
      <c r="D35" s="8"/>
      <c r="F35" s="26"/>
      <c r="I35" s="1476"/>
      <c r="K35" s="1563" t="s">
        <v>554</v>
      </c>
      <c r="L35" s="1563" t="s">
        <v>444</v>
      </c>
      <c r="M35" s="13" t="s">
        <v>149</v>
      </c>
      <c r="O35" s="662"/>
      <c r="P35" s="297"/>
      <c r="Q35" s="655"/>
    </row>
    <row r="36" spans="1:24" ht="60" customHeight="1" x14ac:dyDescent="0.2">
      <c r="A36" s="8"/>
      <c r="B36" s="8"/>
      <c r="C36" s="8"/>
      <c r="D36" s="8"/>
      <c r="F36" s="26"/>
      <c r="I36" s="1476"/>
      <c r="K36" s="1740" t="s">
        <v>1431</v>
      </c>
      <c r="O36" s="662"/>
      <c r="P36" s="297"/>
      <c r="Q36" s="655"/>
    </row>
    <row r="37" spans="1:24" ht="51" x14ac:dyDescent="0.2">
      <c r="A37" s="8"/>
      <c r="B37" s="8"/>
      <c r="C37" s="8"/>
      <c r="D37" s="8"/>
      <c r="F37" s="26"/>
      <c r="K37" s="16" t="s">
        <v>172</v>
      </c>
      <c r="L37" s="297" t="s">
        <v>547</v>
      </c>
      <c r="M37" s="655" t="s">
        <v>62</v>
      </c>
      <c r="O37" s="662"/>
      <c r="P37" s="297"/>
      <c r="Q37" s="655"/>
    </row>
    <row r="38" spans="1:24" ht="68" x14ac:dyDescent="0.2">
      <c r="A38" s="8"/>
      <c r="B38" s="8"/>
      <c r="C38" s="8"/>
      <c r="D38" s="8"/>
      <c r="F38" s="26"/>
      <c r="I38" s="655"/>
      <c r="K38" s="16" t="s">
        <v>1308</v>
      </c>
      <c r="L38" s="297" t="s">
        <v>1310</v>
      </c>
      <c r="M38" s="655"/>
      <c r="O38" s="662"/>
      <c r="P38" s="297"/>
      <c r="Q38" s="655"/>
    </row>
    <row r="39" spans="1:24" x14ac:dyDescent="0.2">
      <c r="A39" s="8"/>
      <c r="B39" s="8"/>
      <c r="C39" s="8"/>
      <c r="D39" s="8"/>
      <c r="F39" s="26"/>
      <c r="O39" s="662"/>
      <c r="P39" s="297"/>
      <c r="Q39" s="655"/>
    </row>
    <row r="40" spans="1:24" x14ac:dyDescent="0.2">
      <c r="A40" s="8"/>
      <c r="B40" s="8"/>
      <c r="C40" s="8"/>
      <c r="D40" s="8"/>
      <c r="F40" s="26"/>
      <c r="O40" s="662"/>
      <c r="P40" s="297"/>
      <c r="Q40" s="655"/>
    </row>
    <row r="41" spans="1:24" x14ac:dyDescent="0.2">
      <c r="A41" s="8"/>
      <c r="B41" s="8"/>
      <c r="C41" s="8"/>
      <c r="D41" s="8"/>
      <c r="F41" s="26"/>
      <c r="O41" s="662"/>
      <c r="P41" s="297"/>
      <c r="Q41" s="655"/>
    </row>
    <row r="42" spans="1:24" ht="50" customHeight="1" x14ac:dyDescent="0.2">
      <c r="A42" s="8"/>
      <c r="B42" s="8"/>
      <c r="C42" s="8"/>
      <c r="D42" s="8"/>
      <c r="F42" s="26"/>
      <c r="G42" s="16"/>
      <c r="H42" s="297"/>
      <c r="O42" s="662"/>
      <c r="P42" s="297"/>
      <c r="Q42" s="655"/>
    </row>
    <row r="43" spans="1:24" x14ac:dyDescent="0.2">
      <c r="A43" s="8"/>
      <c r="B43" s="8"/>
      <c r="C43" s="8"/>
      <c r="D43" s="8"/>
      <c r="F43" s="26"/>
      <c r="G43" s="16"/>
      <c r="H43" s="297"/>
      <c r="O43" s="662"/>
      <c r="P43" s="297"/>
      <c r="Q43" s="655"/>
    </row>
    <row r="44" spans="1:24" x14ac:dyDescent="0.2">
      <c r="A44" s="8"/>
      <c r="B44" s="8"/>
      <c r="C44" s="8"/>
      <c r="D44" s="8"/>
      <c r="F44" s="26"/>
      <c r="G44" s="16"/>
      <c r="H44" s="297"/>
      <c r="I44" s="655"/>
      <c r="O44" s="662"/>
      <c r="P44" s="297"/>
      <c r="Q44" s="655"/>
    </row>
    <row r="45" spans="1:24" x14ac:dyDescent="0.2">
      <c r="A45" s="8"/>
      <c r="B45" s="8"/>
      <c r="C45" s="8"/>
      <c r="D45" s="8"/>
      <c r="F45" s="26"/>
      <c r="G45" s="16"/>
      <c r="H45" s="297"/>
      <c r="I45" s="655"/>
      <c r="K45" s="16"/>
      <c r="L45" s="297"/>
      <c r="M45" s="655"/>
      <c r="O45" s="662"/>
      <c r="P45" s="297"/>
      <c r="Q45" s="655"/>
    </row>
    <row r="46" spans="1:24" x14ac:dyDescent="0.2">
      <c r="A46" s="8"/>
      <c r="B46" s="8"/>
      <c r="C46" s="8"/>
      <c r="D46" s="8"/>
      <c r="F46" s="26"/>
      <c r="O46" s="662"/>
      <c r="P46" s="297"/>
      <c r="Q46" s="655"/>
    </row>
    <row r="47" spans="1:24" ht="59" customHeight="1" x14ac:dyDescent="0.2">
      <c r="A47" s="8"/>
      <c r="B47" s="8"/>
      <c r="C47" s="8"/>
      <c r="D47" s="8"/>
      <c r="F47" s="26"/>
      <c r="G47" s="16"/>
      <c r="H47" s="297"/>
      <c r="I47" s="654"/>
    </row>
    <row r="48" spans="1:24" x14ac:dyDescent="0.2">
      <c r="A48" s="8"/>
      <c r="B48" s="8"/>
      <c r="C48" s="8"/>
      <c r="D48" s="8"/>
      <c r="F48" s="26"/>
      <c r="G48" s="16"/>
      <c r="H48" s="297"/>
      <c r="I48" s="654"/>
      <c r="O48" s="662"/>
      <c r="P48" s="297"/>
      <c r="Q48" s="655"/>
    </row>
    <row r="49" spans="1:17" x14ac:dyDescent="0.2">
      <c r="A49" s="8"/>
      <c r="B49" s="8"/>
      <c r="C49" s="8"/>
      <c r="D49" s="8"/>
      <c r="F49" s="26"/>
      <c r="O49" s="662"/>
      <c r="P49" s="297"/>
      <c r="Q49" s="655"/>
    </row>
    <row r="50" spans="1:17" x14ac:dyDescent="0.2">
      <c r="A50" s="8"/>
      <c r="B50" s="8"/>
      <c r="C50" s="8"/>
      <c r="D50" s="8"/>
      <c r="F50" s="26"/>
      <c r="O50" s="662"/>
      <c r="P50" s="297"/>
      <c r="Q50" s="655"/>
    </row>
    <row r="51" spans="1:17" x14ac:dyDescent="0.2">
      <c r="A51" s="8"/>
      <c r="B51" s="8"/>
      <c r="C51" s="8"/>
      <c r="D51" s="8"/>
      <c r="F51" s="26"/>
    </row>
    <row r="56" spans="1:17" x14ac:dyDescent="0.2">
      <c r="O56" s="662"/>
      <c r="P56" s="1716"/>
      <c r="Q56" s="655"/>
    </row>
    <row r="57" spans="1:17" x14ac:dyDescent="0.2">
      <c r="O57" s="662"/>
      <c r="P57" s="297"/>
      <c r="Q57" s="655"/>
    </row>
  </sheetData>
  <mergeCells count="7">
    <mergeCell ref="F7:F8"/>
    <mergeCell ref="C21:C23"/>
    <mergeCell ref="A21:A23"/>
    <mergeCell ref="S24:X24"/>
    <mergeCell ref="S3:U3"/>
    <mergeCell ref="F4:F5"/>
    <mergeCell ref="D4:D5"/>
  </mergeCells>
  <pageMargins left="0.7" right="0.7" top="0.75" bottom="0.75" header="0.3" footer="0.3"/>
  <pageSetup scale="30" fitToHeight="2" orientation="landscape"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767A-EF23-F54B-BE81-DDFDB720F3B7}">
  <dimension ref="A1:AK369"/>
  <sheetViews>
    <sheetView workbookViewId="0"/>
    <sheetView workbookViewId="1"/>
  </sheetViews>
  <sheetFormatPr baseColWidth="10" defaultRowHeight="16" x14ac:dyDescent="0.2"/>
  <cols>
    <col min="1" max="1" width="5.6640625" customWidth="1"/>
    <col min="3" max="3" width="61.83203125" customWidth="1"/>
    <col min="4" max="4" width="24.1640625" hidden="1" customWidth="1"/>
    <col min="11" max="14" width="0" hidden="1" customWidth="1"/>
    <col min="21" max="21" width="0" hidden="1" customWidth="1"/>
    <col min="22" max="27" width="6.5" hidden="1" customWidth="1"/>
    <col min="28" max="28" width="0" hidden="1" customWidth="1"/>
    <col min="29" max="34" width="6.33203125" customWidth="1"/>
    <col min="35" max="37" width="7.1640625" customWidth="1"/>
    <col min="38" max="38" width="4.1640625" customWidth="1"/>
  </cols>
  <sheetData>
    <row r="1" spans="1:37" ht="27" customHeight="1" x14ac:dyDescent="0.2">
      <c r="AH1" s="3"/>
      <c r="AI1" s="2287" t="s">
        <v>1380</v>
      </c>
      <c r="AJ1" s="2287"/>
      <c r="AK1" s="2287"/>
    </row>
    <row r="2" spans="1:37" ht="27" customHeight="1" x14ac:dyDescent="0.2">
      <c r="AA2" s="1452" t="s">
        <v>950</v>
      </c>
      <c r="AB2" s="10"/>
      <c r="AC2" s="10"/>
      <c r="AD2" s="10"/>
      <c r="AE2" s="976"/>
      <c r="AF2" s="976" t="s">
        <v>734</v>
      </c>
      <c r="AG2" s="976" t="s">
        <v>733</v>
      </c>
      <c r="AH2" s="976" t="s">
        <v>735</v>
      </c>
      <c r="AI2" s="1659" t="s">
        <v>734</v>
      </c>
      <c r="AJ2" s="1659" t="s">
        <v>733</v>
      </c>
      <c r="AK2" s="1659" t="s">
        <v>735</v>
      </c>
    </row>
    <row r="3" spans="1:37" ht="27" customHeight="1" x14ac:dyDescent="0.2">
      <c r="AA3" s="10"/>
      <c r="AB3" s="10"/>
      <c r="AC3" s="10"/>
      <c r="AD3" s="10"/>
      <c r="AE3" s="10" t="s">
        <v>1389</v>
      </c>
      <c r="AF3" s="975">
        <f>AD181+AD200+AD220+AD240+AD260+AD280+AD300+AD320</f>
        <v>3</v>
      </c>
      <c r="AG3" s="975">
        <f>AF181+AF200+AF220+AF240+AF260+AF280+AF300+AF320</f>
        <v>4</v>
      </c>
      <c r="AH3" s="975">
        <f>AH181+AH200+AH220+AH240+AH260+AH280+AH300+AH320</f>
        <v>0</v>
      </c>
      <c r="AI3" s="10"/>
      <c r="AJ3" s="10"/>
      <c r="AK3" s="10"/>
    </row>
    <row r="4" spans="1:37" x14ac:dyDescent="0.2">
      <c r="AA4" s="10"/>
      <c r="AB4" s="10"/>
      <c r="AC4" s="10"/>
      <c r="AD4" s="10"/>
      <c r="AE4" s="10" t="s">
        <v>1390</v>
      </c>
      <c r="AF4" s="975">
        <f>AD182+AD201+AD221+AD241+AD261+AD281+AD301+AD321</f>
        <v>3</v>
      </c>
      <c r="AG4" s="10"/>
      <c r="AH4" s="10"/>
      <c r="AI4" s="10"/>
      <c r="AJ4" s="10"/>
      <c r="AK4" s="10"/>
    </row>
    <row r="5" spans="1:37" x14ac:dyDescent="0.2">
      <c r="AA5" s="10"/>
      <c r="AB5" s="10"/>
      <c r="AC5" s="10"/>
      <c r="AD5" s="977" t="s">
        <v>952</v>
      </c>
      <c r="AE5" s="977"/>
      <c r="AF5" s="975">
        <f>SUM(AI181:AI320)</f>
        <v>8</v>
      </c>
      <c r="AG5" s="975">
        <f>SUM(AJ181:AJ320)</f>
        <v>7</v>
      </c>
      <c r="AH5" s="975">
        <f>SUM(AK181:AK320)</f>
        <v>0</v>
      </c>
      <c r="AI5" s="21"/>
      <c r="AJ5" s="21"/>
      <c r="AK5" s="21"/>
    </row>
    <row r="6" spans="1:37" x14ac:dyDescent="0.2">
      <c r="AI6" s="10"/>
      <c r="AJ6" s="10"/>
      <c r="AK6" s="10"/>
    </row>
    <row r="7" spans="1:37" x14ac:dyDescent="0.2">
      <c r="AC7" s="1292"/>
      <c r="AD7" s="1292"/>
      <c r="AE7" s="1292"/>
      <c r="AF7" s="1292"/>
      <c r="AG7" s="1292"/>
      <c r="AI7" s="10"/>
      <c r="AJ7" s="10"/>
      <c r="AK7" s="10"/>
    </row>
    <row r="8" spans="1:37" ht="24" x14ac:dyDescent="0.3">
      <c r="AC8" s="1662"/>
      <c r="AD8" s="1292"/>
      <c r="AE8" s="1292"/>
      <c r="AF8" s="1292"/>
      <c r="AG8" s="1292"/>
      <c r="AH8" s="1292"/>
      <c r="AI8" s="10"/>
      <c r="AJ8" s="10"/>
      <c r="AK8" s="10"/>
    </row>
    <row r="9" spans="1:37" x14ac:dyDescent="0.2">
      <c r="AC9" s="1292"/>
      <c r="AD9" s="1292"/>
      <c r="AE9" s="1292"/>
      <c r="AF9" s="1292"/>
      <c r="AG9" s="1292"/>
      <c r="AH9" s="1292"/>
      <c r="AI9" s="10"/>
      <c r="AJ9" s="10"/>
      <c r="AK9" s="10"/>
    </row>
    <row r="10" spans="1:37" ht="29" x14ac:dyDescent="0.35">
      <c r="A10" s="657"/>
      <c r="B10" s="467" t="s">
        <v>950</v>
      </c>
      <c r="E10" s="1667" t="s">
        <v>1385</v>
      </c>
      <c r="AC10" s="1292"/>
      <c r="AD10" s="1292"/>
      <c r="AE10" s="1292"/>
      <c r="AF10" s="1292"/>
      <c r="AG10" s="1292"/>
      <c r="AH10" s="1292"/>
      <c r="AI10" s="10"/>
      <c r="AJ10" s="10"/>
      <c r="AK10" s="10"/>
    </row>
    <row r="11" spans="1:37" ht="26" x14ac:dyDescent="0.3">
      <c r="A11" s="657"/>
      <c r="D11" s="108"/>
      <c r="E11" s="2265" t="s">
        <v>260</v>
      </c>
      <c r="F11" s="2265"/>
      <c r="G11" s="2265"/>
      <c r="H11" s="2265"/>
      <c r="I11" s="2265"/>
      <c r="J11" s="783"/>
      <c r="K11" s="783"/>
      <c r="L11" s="783"/>
      <c r="M11" s="783"/>
      <c r="N11" s="783"/>
      <c r="O11" s="783"/>
      <c r="P11" s="783"/>
      <c r="Q11" s="783"/>
      <c r="R11" s="783"/>
      <c r="S11" s="783"/>
      <c r="T11" s="783"/>
      <c r="U11" s="96"/>
      <c r="V11" s="96"/>
      <c r="AC11" s="1292"/>
      <c r="AD11" s="1292"/>
      <c r="AE11" s="1292"/>
      <c r="AF11" s="1292"/>
      <c r="AG11" s="1292"/>
      <c r="AH11" s="1292"/>
      <c r="AI11" s="10"/>
      <c r="AJ11" s="10"/>
      <c r="AK11" s="10"/>
    </row>
    <row r="12" spans="1:37" ht="26" x14ac:dyDescent="0.3">
      <c r="A12" s="1518">
        <v>1</v>
      </c>
      <c r="C12" s="476" t="str">
        <f>'CPTS indépendants'!F4</f>
        <v>Aisance en présence du co-parent</v>
      </c>
      <c r="D12" s="107"/>
      <c r="E12" s="65"/>
      <c r="F12" s="18"/>
      <c r="G12" s="18"/>
      <c r="H12" s="66"/>
      <c r="I12" s="66"/>
      <c r="J12" s="66"/>
      <c r="K12" s="66"/>
      <c r="L12" s="66"/>
      <c r="M12" s="66"/>
      <c r="N12" s="66"/>
      <c r="O12" s="66"/>
      <c r="P12" s="66"/>
      <c r="Q12" s="66"/>
      <c r="R12" s="66"/>
      <c r="S12" s="66"/>
      <c r="T12" s="66"/>
      <c r="U12" s="15"/>
      <c r="V12" s="15"/>
      <c r="AH12" s="5"/>
      <c r="AI12" s="10"/>
      <c r="AJ12" s="10"/>
      <c r="AK12" s="10"/>
    </row>
    <row r="13" spans="1:37" ht="68" x14ac:dyDescent="0.3">
      <c r="A13" s="1519"/>
      <c r="C13" s="102" t="s">
        <v>998</v>
      </c>
      <c r="D13" s="983"/>
      <c r="E13" s="32" t="s">
        <v>748</v>
      </c>
      <c r="F13" s="32" t="s">
        <v>749</v>
      </c>
      <c r="G13" s="32" t="s">
        <v>750</v>
      </c>
      <c r="H13" s="43" t="s">
        <v>306</v>
      </c>
      <c r="I13" s="43" t="s">
        <v>307</v>
      </c>
      <c r="J13" s="43" t="s">
        <v>308</v>
      </c>
      <c r="K13" s="43"/>
      <c r="L13" s="43"/>
      <c r="M13" s="43"/>
      <c r="N13" s="43"/>
      <c r="O13" s="43"/>
      <c r="P13" s="43"/>
      <c r="Q13" s="43"/>
      <c r="R13" s="43"/>
      <c r="S13" s="43"/>
      <c r="T13" s="43"/>
      <c r="U13" s="818"/>
      <c r="V13" s="955"/>
      <c r="W13" s="818"/>
      <c r="X13" s="955"/>
      <c r="Y13" s="818"/>
      <c r="Z13" s="955"/>
      <c r="AA13" s="818"/>
      <c r="AC13" s="786"/>
      <c r="AD13" s="786"/>
      <c r="AE13" s="786"/>
      <c r="AF13" s="786"/>
      <c r="AG13" s="786"/>
      <c r="AH13" s="786"/>
      <c r="AI13" s="10"/>
      <c r="AJ13" s="10"/>
      <c r="AK13" s="10"/>
    </row>
    <row r="14" spans="1:37" ht="26" x14ac:dyDescent="0.3">
      <c r="A14" s="1519"/>
      <c r="B14" s="414"/>
      <c r="C14" s="26"/>
      <c r="D14" s="101"/>
      <c r="E14" s="790"/>
      <c r="F14" s="789"/>
      <c r="G14" s="790"/>
      <c r="H14" s="29"/>
      <c r="I14" s="29"/>
      <c r="J14" s="45"/>
      <c r="K14" s="45"/>
      <c r="L14" s="45"/>
      <c r="M14" s="45"/>
      <c r="N14" s="45"/>
      <c r="O14" s="45"/>
      <c r="P14" s="45"/>
      <c r="Q14" s="45"/>
      <c r="R14" s="45"/>
      <c r="S14" s="45"/>
      <c r="T14" s="45"/>
      <c r="U14" s="931"/>
      <c r="V14" s="931"/>
      <c r="W14" s="1431"/>
      <c r="X14" s="1431"/>
      <c r="Y14" s="1431"/>
      <c r="Z14" s="1431"/>
      <c r="AA14" s="1431"/>
      <c r="AC14" s="8"/>
      <c r="AD14" s="8"/>
      <c r="AE14" s="8"/>
      <c r="AF14" s="8"/>
      <c r="AG14" s="8"/>
      <c r="AH14" s="8"/>
      <c r="AI14" s="10"/>
      <c r="AJ14" s="10"/>
      <c r="AK14" s="10"/>
    </row>
    <row r="15" spans="1:37" ht="26" x14ac:dyDescent="0.3">
      <c r="A15" s="1519"/>
      <c r="B15" s="414"/>
      <c r="C15" s="26"/>
      <c r="D15" s="101"/>
      <c r="E15" s="790"/>
      <c r="F15" s="789"/>
      <c r="G15" s="790"/>
      <c r="H15" s="29"/>
      <c r="I15" s="29"/>
      <c r="J15" s="45"/>
      <c r="K15" s="45"/>
      <c r="L15" s="45"/>
      <c r="M15" s="45"/>
      <c r="N15" s="45"/>
      <c r="O15" s="45"/>
      <c r="P15" s="45"/>
      <c r="Q15" s="45"/>
      <c r="R15" s="45"/>
      <c r="S15" s="45"/>
      <c r="T15" s="45"/>
      <c r="U15" s="931"/>
      <c r="V15" s="931"/>
      <c r="W15" s="1431"/>
      <c r="X15" s="1431"/>
      <c r="Y15" s="1431"/>
      <c r="Z15" s="1431"/>
      <c r="AA15" s="1431"/>
      <c r="AC15" s="8"/>
      <c r="AD15" s="8"/>
      <c r="AE15" s="8"/>
      <c r="AF15" s="8"/>
      <c r="AG15" s="8"/>
      <c r="AH15" s="8"/>
      <c r="AI15" s="10"/>
      <c r="AJ15" s="10"/>
      <c r="AK15" s="10"/>
    </row>
    <row r="16" spans="1:37" ht="26" x14ac:dyDescent="0.3">
      <c r="A16" s="1519"/>
      <c r="B16" s="792"/>
      <c r="C16" s="793"/>
      <c r="D16" s="794"/>
      <c r="E16" s="795"/>
      <c r="F16" s="795"/>
      <c r="G16" s="795"/>
      <c r="H16" s="796"/>
      <c r="I16" s="796"/>
      <c r="J16" s="797"/>
      <c r="K16" s="45"/>
      <c r="L16" s="45"/>
      <c r="M16" s="45"/>
      <c r="N16" s="45"/>
      <c r="O16" s="45"/>
      <c r="P16" s="45"/>
      <c r="Q16" s="45"/>
      <c r="R16" s="45"/>
      <c r="S16" s="45"/>
      <c r="T16" s="45"/>
      <c r="U16" s="931"/>
      <c r="V16" s="931"/>
      <c r="W16" s="284"/>
      <c r="X16" s="284"/>
      <c r="Y16" s="284"/>
      <c r="Z16" s="284"/>
      <c r="AA16" s="284"/>
      <c r="AC16" s="8"/>
      <c r="AD16" s="8"/>
      <c r="AE16" s="8"/>
      <c r="AF16" s="8"/>
      <c r="AG16" s="8"/>
      <c r="AH16" s="8"/>
      <c r="AI16" s="10"/>
      <c r="AJ16" s="10"/>
      <c r="AK16" s="10"/>
    </row>
    <row r="17" spans="1:37" ht="26" x14ac:dyDescent="0.3">
      <c r="A17" s="1519"/>
      <c r="B17" s="52"/>
      <c r="C17" s="26"/>
      <c r="D17" s="101"/>
      <c r="E17" s="790"/>
      <c r="F17" s="789"/>
      <c r="G17" s="790"/>
      <c r="H17" s="29"/>
      <c r="I17" s="29"/>
      <c r="J17" s="45"/>
      <c r="K17" s="45"/>
      <c r="L17" s="45"/>
      <c r="M17" s="45"/>
      <c r="N17" s="45"/>
      <c r="O17" s="45"/>
      <c r="P17" s="45"/>
      <c r="Q17" s="45"/>
      <c r="R17" s="45"/>
      <c r="S17" s="45"/>
      <c r="T17" s="45"/>
      <c r="U17" s="931"/>
      <c r="V17" s="931"/>
      <c r="W17" s="1431"/>
      <c r="X17" s="1431"/>
      <c r="Y17" s="1431"/>
      <c r="Z17" s="1431"/>
      <c r="AA17" s="1431"/>
      <c r="AC17" s="8"/>
      <c r="AD17" s="8"/>
      <c r="AE17" s="8"/>
      <c r="AF17" s="8"/>
      <c r="AG17" s="8"/>
      <c r="AH17" s="8"/>
      <c r="AI17" s="10"/>
      <c r="AJ17" s="10"/>
      <c r="AK17" s="10"/>
    </row>
    <row r="18" spans="1:37" ht="26" x14ac:dyDescent="0.3">
      <c r="A18" s="1519"/>
      <c r="B18" s="52"/>
      <c r="C18" s="26"/>
      <c r="D18" s="62"/>
      <c r="E18" s="35"/>
      <c r="F18" s="35"/>
      <c r="G18" s="35"/>
      <c r="H18" s="29"/>
      <c r="I18" s="29"/>
      <c r="J18" s="45"/>
      <c r="K18" s="45"/>
      <c r="L18" s="45"/>
      <c r="M18" s="45"/>
      <c r="N18" s="45"/>
      <c r="O18" s="45"/>
      <c r="P18" s="45"/>
      <c r="Q18" s="45"/>
      <c r="R18" s="45"/>
      <c r="S18" s="45"/>
      <c r="T18" s="45"/>
      <c r="U18" s="931"/>
      <c r="V18" s="931"/>
      <c r="W18" s="1431"/>
      <c r="X18" s="1431"/>
      <c r="Y18" s="1431"/>
      <c r="Z18" s="1431"/>
      <c r="AA18" s="1431"/>
      <c r="AC18" s="8"/>
      <c r="AD18" s="8"/>
      <c r="AE18" s="8"/>
      <c r="AF18" s="8"/>
      <c r="AG18" s="8"/>
      <c r="AH18" s="8"/>
      <c r="AI18" s="10"/>
      <c r="AJ18" s="10"/>
      <c r="AK18" s="10"/>
    </row>
    <row r="19" spans="1:37" ht="27" thickBot="1" x14ac:dyDescent="0.35">
      <c r="A19" s="1519"/>
      <c r="B19" s="798"/>
      <c r="C19" s="799"/>
      <c r="D19" s="800"/>
      <c r="E19" s="801"/>
      <c r="F19" s="801"/>
      <c r="G19" s="801"/>
      <c r="H19" s="802"/>
      <c r="I19" s="802"/>
      <c r="J19" s="803"/>
      <c r="K19" s="45"/>
      <c r="L19" s="45"/>
      <c r="M19" s="45"/>
      <c r="N19" s="45"/>
      <c r="O19" s="45"/>
      <c r="P19" s="45"/>
      <c r="Q19" s="45"/>
      <c r="R19" s="45"/>
      <c r="S19" s="45"/>
      <c r="T19" s="45"/>
      <c r="U19" s="931"/>
      <c r="V19" s="931"/>
      <c r="W19" s="8"/>
      <c r="X19" s="8"/>
      <c r="Y19" s="8"/>
      <c r="Z19" s="8"/>
      <c r="AA19" s="8"/>
      <c r="AC19" s="8"/>
      <c r="AD19" s="8"/>
      <c r="AE19" s="8"/>
      <c r="AF19" s="8"/>
      <c r="AG19" s="8"/>
      <c r="AH19" s="8"/>
      <c r="AI19" s="10"/>
      <c r="AJ19" s="10"/>
      <c r="AK19" s="10"/>
    </row>
    <row r="20" spans="1:37" ht="27" thickBot="1" x14ac:dyDescent="0.35">
      <c r="A20" s="1519"/>
      <c r="B20" s="804"/>
      <c r="C20" s="805"/>
      <c r="D20" s="805"/>
      <c r="E20" s="806"/>
      <c r="F20" s="806"/>
      <c r="G20" s="806"/>
      <c r="H20" s="807"/>
      <c r="I20" s="807"/>
      <c r="J20" s="808"/>
      <c r="K20" s="1610"/>
      <c r="L20" s="1610"/>
      <c r="M20" s="1610"/>
      <c r="N20" s="1610"/>
      <c r="O20" s="1610"/>
      <c r="P20" s="1610"/>
      <c r="Q20" s="1610"/>
      <c r="R20" s="1610"/>
      <c r="S20" s="1610"/>
      <c r="T20" s="1610"/>
      <c r="U20" s="931"/>
      <c r="V20" s="931"/>
      <c r="W20" s="8"/>
      <c r="X20" s="8"/>
      <c r="Y20" s="8"/>
      <c r="Z20" s="8"/>
      <c r="AA20" s="8"/>
      <c r="AC20" s="8"/>
      <c r="AD20" s="8"/>
      <c r="AE20" s="8"/>
      <c r="AF20" s="8"/>
      <c r="AG20" s="8"/>
      <c r="AH20" s="8"/>
      <c r="AI20" s="10"/>
      <c r="AJ20" s="10"/>
      <c r="AK20" s="10"/>
    </row>
    <row r="21" spans="1:37" ht="26" x14ac:dyDescent="0.3">
      <c r="A21" s="1519"/>
      <c r="B21" s="313"/>
      <c r="C21" s="26"/>
      <c r="D21" s="62"/>
      <c r="E21" s="790"/>
      <c r="F21" s="789"/>
      <c r="G21" s="790"/>
      <c r="H21" s="29"/>
      <c r="I21" s="29"/>
      <c r="J21" s="45"/>
      <c r="K21" s="45"/>
      <c r="L21" s="45"/>
      <c r="M21" s="45"/>
      <c r="N21" s="45"/>
      <c r="O21" s="45"/>
      <c r="P21" s="45"/>
      <c r="Q21" s="45"/>
      <c r="R21" s="45"/>
      <c r="S21" s="45"/>
      <c r="T21" s="45"/>
      <c r="U21" s="931"/>
      <c r="V21" s="931"/>
      <c r="W21" s="1431"/>
      <c r="X21" s="1431"/>
      <c r="Y21" s="1431"/>
      <c r="Z21" s="1431"/>
      <c r="AA21" s="1431"/>
      <c r="AC21" s="8"/>
      <c r="AD21" s="8"/>
      <c r="AE21" s="8"/>
      <c r="AF21" s="8"/>
      <c r="AG21" s="8"/>
      <c r="AH21" s="8"/>
      <c r="AI21" s="10"/>
      <c r="AJ21" s="10"/>
      <c r="AK21" s="10"/>
    </row>
    <row r="22" spans="1:37" ht="27" thickBot="1" x14ac:dyDescent="0.35">
      <c r="A22" s="1519"/>
      <c r="B22" s="313"/>
      <c r="C22" s="767"/>
      <c r="D22" s="62"/>
      <c r="E22" s="790"/>
      <c r="F22" s="789"/>
      <c r="G22" s="790"/>
      <c r="H22" s="29"/>
      <c r="I22" s="29"/>
      <c r="J22" s="45"/>
      <c r="K22" s="45"/>
      <c r="L22" s="45"/>
      <c r="M22" s="45"/>
      <c r="N22" s="45"/>
      <c r="O22" s="45"/>
      <c r="P22" s="45"/>
      <c r="Q22" s="45"/>
      <c r="R22" s="45"/>
      <c r="S22" s="45"/>
      <c r="T22" s="45"/>
      <c r="U22" s="931"/>
      <c r="V22" s="931"/>
      <c r="W22" s="1431"/>
      <c r="X22" s="1431"/>
      <c r="Y22" s="1431"/>
      <c r="Z22" s="1431"/>
      <c r="AA22" s="1431"/>
      <c r="AC22" s="8"/>
      <c r="AD22" s="8"/>
      <c r="AE22" s="8"/>
      <c r="AF22" s="8"/>
      <c r="AG22" s="8"/>
      <c r="AH22" s="8"/>
      <c r="AI22" s="10"/>
      <c r="AJ22" s="10"/>
      <c r="AK22" s="10"/>
    </row>
    <row r="23" spans="1:37" ht="27" thickBot="1" x14ac:dyDescent="0.35">
      <c r="A23" s="1519"/>
      <c r="B23" s="809"/>
      <c r="C23" s="810"/>
      <c r="D23" s="810"/>
      <c r="E23" s="811"/>
      <c r="F23" s="811"/>
      <c r="G23" s="811"/>
      <c r="H23" s="812"/>
      <c r="I23" s="812"/>
      <c r="J23" s="813"/>
      <c r="K23" s="1611"/>
      <c r="L23" s="1611"/>
      <c r="M23" s="1611"/>
      <c r="N23" s="1611"/>
      <c r="O23" s="1611"/>
      <c r="P23" s="1611"/>
      <c r="Q23" s="1611"/>
      <c r="R23" s="1611"/>
      <c r="S23" s="1611"/>
      <c r="T23" s="1611"/>
      <c r="U23" s="931"/>
      <c r="V23" s="931"/>
      <c r="AC23" s="8"/>
      <c r="AD23" s="8"/>
      <c r="AE23" s="8"/>
      <c r="AF23" s="8"/>
      <c r="AG23" s="8"/>
      <c r="AH23" s="8"/>
      <c r="AI23" s="10"/>
      <c r="AJ23" s="10"/>
      <c r="AK23" s="10"/>
    </row>
    <row r="24" spans="1:37" ht="26" x14ac:dyDescent="0.3">
      <c r="A24" s="1519"/>
      <c r="C24" s="421" t="s">
        <v>310</v>
      </c>
      <c r="D24" s="785"/>
      <c r="E24" s="474"/>
      <c r="F24" s="47"/>
      <c r="G24" s="47"/>
      <c r="H24" s="475"/>
      <c r="I24" s="475"/>
      <c r="J24" s="791"/>
      <c r="K24" s="791"/>
      <c r="L24" s="791"/>
      <c r="M24" s="791"/>
      <c r="N24" s="791"/>
      <c r="O24" s="791"/>
      <c r="P24" s="791"/>
      <c r="Q24" s="791"/>
      <c r="R24" s="791"/>
      <c r="S24" s="791"/>
      <c r="T24" s="791"/>
      <c r="U24" s="1664"/>
      <c r="V24" s="933"/>
      <c r="AC24" s="8"/>
      <c r="AD24" s="8"/>
      <c r="AE24" s="8"/>
      <c r="AF24" s="8"/>
      <c r="AG24" s="8"/>
      <c r="AH24" s="8"/>
      <c r="AI24" s="10"/>
      <c r="AJ24" s="10"/>
      <c r="AK24" s="10"/>
    </row>
    <row r="25" spans="1:37" ht="26" x14ac:dyDescent="0.3">
      <c r="A25" s="1519"/>
      <c r="B25" t="s">
        <v>243</v>
      </c>
      <c r="AC25" s="8"/>
      <c r="AD25" s="8"/>
      <c r="AE25" s="8"/>
      <c r="AF25" s="8"/>
      <c r="AG25" s="8"/>
      <c r="AH25" s="8"/>
      <c r="AI25" s="10"/>
      <c r="AJ25" s="10"/>
      <c r="AK25" s="10"/>
    </row>
    <row r="26" spans="1:37" ht="26" x14ac:dyDescent="0.3">
      <c r="A26" s="1519"/>
      <c r="B26" s="964" t="str">
        <f>'CPTS indépendants'!S4</f>
        <v>PCR01</v>
      </c>
      <c r="C26" s="984" t="str">
        <f>Test_Bible!B112</f>
        <v>Vous êtes à l'aise en présence de l'autre parent (coparent).</v>
      </c>
      <c r="D26" s="965"/>
      <c r="E26" s="967">
        <f>Test_Bible!P112</f>
        <v>4</v>
      </c>
      <c r="F26" s="966">
        <f>Test_Bible!D112</f>
        <v>1</v>
      </c>
      <c r="G26" s="967">
        <f>E26*F26</f>
        <v>4</v>
      </c>
      <c r="H26" s="968"/>
      <c r="I26" s="968"/>
      <c r="J26" s="969"/>
      <c r="K26" s="969"/>
      <c r="L26" s="969"/>
      <c r="M26" s="969"/>
      <c r="N26" s="969"/>
      <c r="O26" s="969"/>
      <c r="P26" s="969"/>
      <c r="Q26" s="969"/>
      <c r="R26" s="969"/>
      <c r="S26" s="969"/>
      <c r="T26" s="969"/>
      <c r="U26" s="931"/>
      <c r="V26" s="1663"/>
      <c r="W26" s="8"/>
      <c r="X26" s="1431"/>
      <c r="Y26" s="1431"/>
      <c r="Z26" s="1431"/>
      <c r="AA26" s="8"/>
      <c r="AC26" s="8"/>
      <c r="AD26" s="8"/>
      <c r="AE26" s="8"/>
      <c r="AF26" s="8"/>
      <c r="AG26" s="8"/>
      <c r="AH26" s="8"/>
      <c r="AI26" s="10"/>
      <c r="AJ26" s="10"/>
      <c r="AK26" s="10"/>
    </row>
    <row r="27" spans="1:37" ht="26" x14ac:dyDescent="0.3">
      <c r="A27" s="1519"/>
      <c r="B27" s="22" t="str">
        <f>'CPTS indépendants'!S5</f>
        <v>PCR01a</v>
      </c>
      <c r="C27" s="767" t="str">
        <f>Test_Bible!B113</f>
        <v>Vous devez marcher sur des œufs afin d'éviter les conflits.</v>
      </c>
      <c r="D27" s="299"/>
      <c r="E27" s="889">
        <f>Test_Bible!P113</f>
        <v>4</v>
      </c>
      <c r="F27" s="544">
        <f>Test_Bible!D113</f>
        <v>2</v>
      </c>
      <c r="G27" s="889">
        <f>E27*F27</f>
        <v>8</v>
      </c>
      <c r="H27" s="1516"/>
      <c r="I27" s="1516"/>
      <c r="J27" s="1517"/>
      <c r="K27" s="1517"/>
      <c r="L27" s="1517"/>
      <c r="M27" s="1517"/>
      <c r="N27" s="1517"/>
      <c r="O27" s="1517"/>
      <c r="P27" s="1517"/>
      <c r="Q27" s="1517"/>
      <c r="R27" s="1517"/>
      <c r="S27" s="1517"/>
      <c r="T27" s="1517"/>
      <c r="U27" s="931"/>
      <c r="V27" s="1663"/>
      <c r="W27" s="8"/>
      <c r="X27" s="1431"/>
      <c r="Y27" s="1431"/>
      <c r="Z27" s="1431"/>
      <c r="AA27" s="8"/>
      <c r="AC27" s="8"/>
      <c r="AD27" s="8"/>
      <c r="AE27" s="8"/>
      <c r="AF27" s="8"/>
      <c r="AG27" s="8"/>
      <c r="AH27" s="8"/>
      <c r="AI27" s="10"/>
      <c r="AJ27" s="10"/>
      <c r="AK27" s="10"/>
    </row>
    <row r="28" spans="1:37" ht="26" x14ac:dyDescent="0.3">
      <c r="A28" s="657"/>
      <c r="D28" s="814"/>
      <c r="E28" s="96"/>
      <c r="F28" s="96"/>
      <c r="G28" s="96"/>
      <c r="H28" s="96"/>
      <c r="I28" s="96"/>
      <c r="J28" s="96"/>
      <c r="K28" s="96"/>
      <c r="L28" s="96"/>
      <c r="M28" s="96"/>
      <c r="N28" s="96"/>
      <c r="O28" s="96"/>
      <c r="P28" s="96"/>
      <c r="Q28" s="96"/>
      <c r="R28" s="96"/>
      <c r="S28" s="96"/>
      <c r="T28" s="96"/>
      <c r="U28" s="96"/>
      <c r="AC28" s="1409"/>
      <c r="AD28" s="1409"/>
      <c r="AE28" s="1409"/>
      <c r="AF28" s="1409"/>
      <c r="AG28" s="1409"/>
      <c r="AH28" s="1409"/>
      <c r="AI28" s="10"/>
      <c r="AJ28" s="10"/>
      <c r="AK28" s="10"/>
    </row>
    <row r="29" spans="1:37" ht="26" x14ac:dyDescent="0.3">
      <c r="A29" s="657"/>
      <c r="D29" s="814"/>
      <c r="E29" s="96"/>
      <c r="F29" s="96"/>
      <c r="G29" s="96"/>
      <c r="H29" s="96"/>
      <c r="I29" s="96"/>
      <c r="J29" s="96"/>
      <c r="K29" s="96"/>
      <c r="L29" s="96"/>
      <c r="M29" s="96"/>
      <c r="N29" s="96"/>
      <c r="O29" s="96"/>
      <c r="P29" s="96"/>
      <c r="Q29" s="96"/>
      <c r="R29" s="96"/>
      <c r="S29" s="96"/>
      <c r="T29" s="96"/>
      <c r="U29" s="96"/>
      <c r="AC29" t="s">
        <v>1387</v>
      </c>
      <c r="AH29" s="166">
        <f>'Constat Final'!V15</f>
        <v>0</v>
      </c>
      <c r="AI29" s="10"/>
      <c r="AJ29" s="10"/>
      <c r="AK29" s="10"/>
    </row>
    <row r="30" spans="1:37" ht="26" x14ac:dyDescent="0.3">
      <c r="A30" s="657"/>
      <c r="D30" s="814"/>
      <c r="E30" s="96"/>
      <c r="F30" s="96"/>
      <c r="G30" s="96"/>
      <c r="H30" s="96"/>
      <c r="I30" s="96"/>
      <c r="J30" s="96"/>
      <c r="K30" s="96"/>
      <c r="L30" s="96"/>
      <c r="M30" s="96"/>
      <c r="N30" s="96"/>
      <c r="O30" s="96"/>
      <c r="P30" s="96"/>
      <c r="Q30" s="96"/>
      <c r="R30" s="96"/>
      <c r="S30" s="96"/>
      <c r="T30" s="96"/>
      <c r="U30" s="96"/>
      <c r="AC30" s="1409" t="s">
        <v>1381</v>
      </c>
      <c r="AD30" s="1409"/>
      <c r="AE30" s="1409"/>
      <c r="AF30" s="1409"/>
      <c r="AG30" s="1409"/>
      <c r="AH30" s="1409"/>
      <c r="AI30" s="10"/>
      <c r="AJ30" s="10"/>
      <c r="AK30" s="10"/>
    </row>
    <row r="31" spans="1:37" ht="26" x14ac:dyDescent="0.3">
      <c r="A31" s="1518">
        <v>2</v>
      </c>
      <c r="C31" s="476" t="str">
        <f>'CPTS indépendants'!F7</f>
        <v>Blocage des infos entourant l'enfant</v>
      </c>
      <c r="D31" s="107"/>
      <c r="E31" s="65"/>
      <c r="F31" s="18"/>
      <c r="G31" s="18"/>
      <c r="H31" s="2255" t="s">
        <v>734</v>
      </c>
      <c r="I31" s="2256"/>
      <c r="J31" s="2256"/>
      <c r="K31" s="2257" t="s">
        <v>1378</v>
      </c>
      <c r="L31" s="2257"/>
      <c r="M31" s="2257"/>
      <c r="N31" s="2258"/>
      <c r="O31" s="2259" t="s">
        <v>733</v>
      </c>
      <c r="P31" s="2260"/>
      <c r="Q31" s="2261"/>
      <c r="R31" s="2262" t="s">
        <v>735</v>
      </c>
      <c r="S31" s="2263"/>
      <c r="T31" s="2264"/>
      <c r="U31" s="1665"/>
      <c r="V31" s="15"/>
      <c r="AC31" s="956"/>
      <c r="AD31" s="956"/>
      <c r="AE31" s="956"/>
      <c r="AF31" s="956"/>
      <c r="AG31" s="956"/>
      <c r="AH31" s="957"/>
      <c r="AI31" s="10"/>
      <c r="AJ31" s="10"/>
      <c r="AK31" s="10"/>
    </row>
    <row r="32" spans="1:37" ht="68" x14ac:dyDescent="0.3">
      <c r="A32" s="1519"/>
      <c r="C32" s="102" t="s">
        <v>998</v>
      </c>
      <c r="D32" s="983"/>
      <c r="E32" s="32" t="s">
        <v>748</v>
      </c>
      <c r="F32" s="32" t="s">
        <v>749</v>
      </c>
      <c r="G32" s="32" t="s">
        <v>750</v>
      </c>
      <c r="H32" s="1620" t="s">
        <v>306</v>
      </c>
      <c r="I32" s="43" t="s">
        <v>307</v>
      </c>
      <c r="J32" s="43" t="s">
        <v>308</v>
      </c>
      <c r="K32" s="43"/>
      <c r="L32" s="43"/>
      <c r="M32" s="43"/>
      <c r="N32" s="1621"/>
      <c r="O32" s="1620" t="s">
        <v>306</v>
      </c>
      <c r="P32" s="43" t="s">
        <v>307</v>
      </c>
      <c r="Q32" s="1621" t="s">
        <v>308</v>
      </c>
      <c r="R32" s="1620" t="s">
        <v>306</v>
      </c>
      <c r="S32" s="43" t="s">
        <v>307</v>
      </c>
      <c r="T32" s="1621" t="s">
        <v>308</v>
      </c>
      <c r="U32" s="818"/>
      <c r="V32" s="955" t="s">
        <v>928</v>
      </c>
      <c r="W32" s="1391" t="s">
        <v>734</v>
      </c>
      <c r="X32" s="955" t="s">
        <v>928</v>
      </c>
      <c r="Y32" s="1395" t="s">
        <v>733</v>
      </c>
      <c r="Z32" s="955" t="s">
        <v>928</v>
      </c>
      <c r="AA32" s="1399" t="s">
        <v>735</v>
      </c>
      <c r="AC32" s="970" t="s">
        <v>734</v>
      </c>
      <c r="AD32" s="971" t="s">
        <v>946</v>
      </c>
      <c r="AE32" s="970" t="s">
        <v>733</v>
      </c>
      <c r="AF32" s="971" t="s">
        <v>947</v>
      </c>
      <c r="AG32" s="970" t="s">
        <v>735</v>
      </c>
      <c r="AH32" s="971" t="s">
        <v>948</v>
      </c>
      <c r="AI32" s="10"/>
      <c r="AJ32" s="10"/>
      <c r="AK32" s="10"/>
    </row>
    <row r="33" spans="1:37" ht="34" x14ac:dyDescent="0.2">
      <c r="A33" s="1521"/>
      <c r="B33" s="414" t="str">
        <f>'CPTS indépendants'!G7</f>
        <v>PFA19</v>
      </c>
      <c r="C33" s="26" t="str">
        <f>Test_Bible!B199</f>
        <v>L'autre parent vous communique les informations médicales, scolaires et liées aux activités sociales ou sportives de votre enfant.</v>
      </c>
      <c r="D33" s="101"/>
      <c r="E33" s="790">
        <f>Test_Bible!P199</f>
        <v>2</v>
      </c>
      <c r="F33" s="789">
        <f>Test_Bible!D199</f>
        <v>2</v>
      </c>
      <c r="G33" s="790">
        <f>E33*F33</f>
        <v>4</v>
      </c>
      <c r="H33" s="1622">
        <v>2</v>
      </c>
      <c r="I33" s="1615">
        <v>10</v>
      </c>
      <c r="J33" s="45" t="b">
        <f>IF(AND(E33&gt;=H33,E33&lt;=I33),TRUE,FALSE)</f>
        <v>1</v>
      </c>
      <c r="K33" s="45"/>
      <c r="L33" s="45"/>
      <c r="M33" s="45"/>
      <c r="N33" s="1623"/>
      <c r="O33" s="1647">
        <v>11</v>
      </c>
      <c r="P33" s="1648">
        <v>11</v>
      </c>
      <c r="Q33" s="1623" t="b">
        <f>IF(AND(E33&gt;=O33,E33&lt;=P33),TRUE,FALSE)</f>
        <v>0</v>
      </c>
      <c r="R33" s="1647">
        <v>11</v>
      </c>
      <c r="S33" s="1648">
        <v>11</v>
      </c>
      <c r="T33" s="1623" t="b">
        <f>IF(AND(E33&gt;=R33,E33&lt;=S33),TRUE,FALSE)</f>
        <v>0</v>
      </c>
      <c r="U33" s="931"/>
      <c r="V33" s="1403"/>
      <c r="W33" s="1404">
        <v>2</v>
      </c>
      <c r="X33" s="1405"/>
      <c r="Y33" s="1424">
        <v>11</v>
      </c>
      <c r="Z33" s="1405"/>
      <c r="AA33" s="1416">
        <v>11</v>
      </c>
      <c r="AC33" s="958"/>
      <c r="AD33" s="959"/>
      <c r="AE33" s="958"/>
      <c r="AF33" s="959"/>
      <c r="AG33" s="958"/>
      <c r="AH33" s="959"/>
      <c r="AI33" s="10"/>
      <c r="AJ33" s="10"/>
      <c r="AK33" s="10"/>
    </row>
    <row r="34" spans="1:37" ht="26" x14ac:dyDescent="0.2">
      <c r="A34" s="1522"/>
      <c r="B34" s="414" t="str">
        <f>'CPTS indépendants'!G8</f>
        <v>PFA19a</v>
      </c>
      <c r="C34" s="26" t="str">
        <f>Test_Bible!B200</f>
        <v/>
      </c>
      <c r="D34" s="101"/>
      <c r="E34" s="790">
        <f>Test_Bible!P200</f>
        <v>0</v>
      </c>
      <c r="F34" s="789">
        <f>Test_Bible!D200</f>
        <v>3</v>
      </c>
      <c r="G34" s="790">
        <f>E34*F34</f>
        <v>0</v>
      </c>
      <c r="H34" s="1622">
        <v>2</v>
      </c>
      <c r="I34" s="1615">
        <v>10</v>
      </c>
      <c r="J34" s="45" t="b">
        <f>IF(AND(E34&gt;=H34,E34&lt;=I34),TRUE,FALSE)</f>
        <v>0</v>
      </c>
      <c r="K34" s="45"/>
      <c r="L34" s="45"/>
      <c r="M34" s="45"/>
      <c r="N34" s="1623"/>
      <c r="O34" s="1647">
        <v>11</v>
      </c>
      <c r="P34" s="1648">
        <v>11</v>
      </c>
      <c r="Q34" s="1623" t="b">
        <f>IF(AND(E34&gt;=O34,E34&lt;=P34),TRUE,FALSE)</f>
        <v>0</v>
      </c>
      <c r="R34" s="1647">
        <v>11</v>
      </c>
      <c r="S34" s="1648">
        <v>11</v>
      </c>
      <c r="T34" s="1623" t="b">
        <f>IF(AND(E34&gt;=R34,E34&lt;=S34),TRUE,FALSE)</f>
        <v>0</v>
      </c>
      <c r="U34" s="931"/>
      <c r="V34" s="1406" t="s">
        <v>943</v>
      </c>
      <c r="W34" s="1411">
        <v>2</v>
      </c>
      <c r="X34" s="1412"/>
      <c r="Y34" s="1427">
        <v>11</v>
      </c>
      <c r="Z34" s="1412"/>
      <c r="AA34" s="1421">
        <v>11</v>
      </c>
      <c r="AC34" s="960"/>
      <c r="AD34" s="961"/>
      <c r="AE34" s="960"/>
      <c r="AF34" s="961"/>
      <c r="AG34" s="960"/>
      <c r="AH34" s="961"/>
      <c r="AI34" s="10"/>
      <c r="AJ34" s="10"/>
      <c r="AK34" s="10"/>
    </row>
    <row r="35" spans="1:37" ht="26" x14ac:dyDescent="0.2">
      <c r="A35" s="1521"/>
      <c r="B35" s="792"/>
      <c r="C35" s="793"/>
      <c r="D35" s="794"/>
      <c r="E35" s="795"/>
      <c r="F35" s="795"/>
      <c r="G35" s="795"/>
      <c r="H35" s="1624"/>
      <c r="I35" s="796"/>
      <c r="J35" s="797" t="b">
        <f>IF(AND(J33=FALSE,J34=FALSE),FALSE,TRUE)</f>
        <v>1</v>
      </c>
      <c r="K35" s="45"/>
      <c r="L35" s="45"/>
      <c r="M35" s="45"/>
      <c r="N35" s="1623"/>
      <c r="O35" s="1624"/>
      <c r="P35" s="796"/>
      <c r="Q35" s="1637" t="b">
        <f>IF(AND(Q33=FALSE,Q34=FALSE),FALSE,TRUE)</f>
        <v>0</v>
      </c>
      <c r="R35" s="1624"/>
      <c r="S35" s="796"/>
      <c r="T35" s="1637" t="b">
        <f>IF(AND(T33=FALSE,T34=FALSE),FALSE,TRUE)</f>
        <v>0</v>
      </c>
      <c r="U35" s="931"/>
      <c r="V35" s="931" t="s">
        <v>943</v>
      </c>
      <c r="W35" s="1392"/>
      <c r="X35" s="8"/>
      <c r="Y35" s="1397"/>
      <c r="Z35" s="8"/>
      <c r="AA35" s="1401"/>
      <c r="AC35" s="960"/>
      <c r="AD35" s="961"/>
      <c r="AE35" s="960"/>
      <c r="AF35" s="961"/>
      <c r="AG35" s="960"/>
      <c r="AH35" s="961"/>
      <c r="AI35" s="10"/>
      <c r="AJ35" s="10"/>
      <c r="AK35" s="10"/>
    </row>
    <row r="36" spans="1:37" ht="51" x14ac:dyDescent="0.3">
      <c r="A36" s="1519"/>
      <c r="B36" s="52" t="str">
        <f>'CPTS indépendants'!K8</f>
        <v>NC13</v>
      </c>
      <c r="C36" s="26" t="str">
        <f>Test_Bible!B423</f>
        <v>Le nouveau ou nouvelle conjoint·e demande aux personnes gravitant autour de votre enfant de ne PAS vous communiquer de l'information à son sujet.</v>
      </c>
      <c r="D36" s="101"/>
      <c r="E36" s="790"/>
      <c r="F36" s="789"/>
      <c r="G36" s="790"/>
      <c r="H36" s="1622">
        <v>2</v>
      </c>
      <c r="I36" s="1615">
        <v>10</v>
      </c>
      <c r="J36" s="45" t="b">
        <f>IF(AND(E36&gt;=H36,E36&lt;=I36),TRUE,FALSE)</f>
        <v>0</v>
      </c>
      <c r="K36" s="45"/>
      <c r="L36" s="45"/>
      <c r="M36" s="45"/>
      <c r="N36" s="1623"/>
      <c r="O36" s="1647">
        <v>11</v>
      </c>
      <c r="P36" s="1648">
        <v>11</v>
      </c>
      <c r="Q36" s="1623" t="b">
        <f>IF(AND(E36&gt;=O36,E36&lt;=P36),TRUE,FALSE)</f>
        <v>0</v>
      </c>
      <c r="R36" s="1647">
        <v>11</v>
      </c>
      <c r="S36" s="1648">
        <v>11</v>
      </c>
      <c r="T36" s="1623" t="b">
        <f>IF(AND(E36&gt;=R36,E36&lt;=S36),TRUE,FALSE)</f>
        <v>0</v>
      </c>
      <c r="U36" s="931"/>
      <c r="V36" s="1403"/>
      <c r="W36" s="1404">
        <v>2</v>
      </c>
      <c r="X36" s="1423"/>
      <c r="Y36" s="1424">
        <v>11</v>
      </c>
      <c r="Z36" s="1423"/>
      <c r="AA36" s="1416">
        <v>11</v>
      </c>
      <c r="AC36" s="960"/>
      <c r="AD36" s="961"/>
      <c r="AE36" s="960"/>
      <c r="AF36" s="961"/>
      <c r="AG36" s="960"/>
      <c r="AH36" s="961"/>
      <c r="AI36" s="10"/>
      <c r="AJ36" s="10"/>
      <c r="AK36" s="10"/>
    </row>
    <row r="37" spans="1:37" ht="26" x14ac:dyDescent="0.3">
      <c r="A37" s="1519"/>
      <c r="B37" s="52"/>
      <c r="C37" s="26"/>
      <c r="D37" s="62"/>
      <c r="E37" s="35"/>
      <c r="F37" s="35"/>
      <c r="G37" s="35"/>
      <c r="H37" s="1647">
        <v>11</v>
      </c>
      <c r="I37" s="1648">
        <v>11</v>
      </c>
      <c r="J37" s="45" t="b">
        <f>IF(AND(E37&gt;=H37,E37&lt;=I37),TRUE,FALSE)</f>
        <v>0</v>
      </c>
      <c r="K37" s="45"/>
      <c r="L37" s="45"/>
      <c r="M37" s="45"/>
      <c r="N37" s="1623"/>
      <c r="O37" s="1647">
        <v>11</v>
      </c>
      <c r="P37" s="1648">
        <v>11</v>
      </c>
      <c r="Q37" s="1623" t="b">
        <f>IF(AND(E37&gt;=O37,E37&lt;=P37),TRUE,FALSE)</f>
        <v>0</v>
      </c>
      <c r="R37" s="1647">
        <v>11</v>
      </c>
      <c r="S37" s="1648">
        <v>11</v>
      </c>
      <c r="T37" s="1623" t="b">
        <f>IF(AND(E37&gt;=R37,E37&lt;=S37),TRUE,FALSE)</f>
        <v>0</v>
      </c>
      <c r="U37" s="931"/>
      <c r="V37" s="1406" t="s">
        <v>943</v>
      </c>
      <c r="W37" s="1425">
        <v>11</v>
      </c>
      <c r="X37" s="1426"/>
      <c r="Y37" s="1427">
        <v>11</v>
      </c>
      <c r="Z37" s="1426"/>
      <c r="AA37" s="1421">
        <v>11</v>
      </c>
      <c r="AC37" s="960"/>
      <c r="AD37" s="961"/>
      <c r="AE37" s="960"/>
      <c r="AF37" s="961"/>
      <c r="AG37" s="960"/>
      <c r="AH37" s="961"/>
      <c r="AI37" s="10"/>
      <c r="AJ37" s="10"/>
      <c r="AK37" s="10"/>
    </row>
    <row r="38" spans="1:37" ht="27" thickBot="1" x14ac:dyDescent="0.35">
      <c r="A38" s="1519"/>
      <c r="B38" s="798"/>
      <c r="C38" s="799"/>
      <c r="D38" s="800"/>
      <c r="E38" s="801"/>
      <c r="F38" s="801"/>
      <c r="G38" s="801"/>
      <c r="H38" s="1625"/>
      <c r="I38" s="802"/>
      <c r="J38" s="803" t="b">
        <f>IF(AND(J36=FALSE,J37=FALSE),FALSE,TRUE)</f>
        <v>0</v>
      </c>
      <c r="K38" s="45"/>
      <c r="L38" s="45"/>
      <c r="M38" s="45"/>
      <c r="N38" s="1623"/>
      <c r="O38" s="1625"/>
      <c r="P38" s="802"/>
      <c r="Q38" s="1638" t="b">
        <f>IF(AND(Q36=FALSE,Q37=FALSE),FALSE,TRUE)</f>
        <v>0</v>
      </c>
      <c r="R38" s="1625"/>
      <c r="S38" s="802"/>
      <c r="T38" s="1638" t="b">
        <f>IF(AND(T36=FALSE,T37=FALSE),FALSE,TRUE)</f>
        <v>0</v>
      </c>
      <c r="U38" s="931"/>
      <c r="V38" s="931"/>
      <c r="W38" s="1392"/>
      <c r="X38" s="8"/>
      <c r="Y38" s="1397"/>
      <c r="Z38" s="8"/>
      <c r="AA38" s="1400"/>
      <c r="AC38" s="960"/>
      <c r="AD38" s="961"/>
      <c r="AE38" s="960"/>
      <c r="AF38" s="961"/>
      <c r="AG38" s="960"/>
      <c r="AH38" s="961"/>
      <c r="AI38" s="10"/>
      <c r="AJ38" s="10"/>
      <c r="AK38" s="10"/>
    </row>
    <row r="39" spans="1:37" ht="27" thickBot="1" x14ac:dyDescent="0.35">
      <c r="A39" s="1519"/>
      <c r="B39" s="804"/>
      <c r="C39" s="805"/>
      <c r="D39" s="805"/>
      <c r="E39" s="806"/>
      <c r="F39" s="806"/>
      <c r="G39" s="806"/>
      <c r="H39" s="1626"/>
      <c r="I39" s="807"/>
      <c r="J39" s="808" t="b">
        <f>IF(AND(J35=FALSE,J38=FALSE),FALSE,TRUE)</f>
        <v>1</v>
      </c>
      <c r="K39" s="1610"/>
      <c r="L39" s="1610"/>
      <c r="M39" s="1610"/>
      <c r="N39" s="1627"/>
      <c r="O39" s="1626"/>
      <c r="P39" s="807"/>
      <c r="Q39" s="808" t="b">
        <f>IF(AND(Q35=FALSE,Q38=FALSE),FALSE,TRUE)</f>
        <v>0</v>
      </c>
      <c r="R39" s="1626"/>
      <c r="S39" s="807"/>
      <c r="T39" s="808" t="b">
        <f>IF(AND(T35=FALSE,T38=FALSE),FALSE,TRUE)</f>
        <v>0</v>
      </c>
      <c r="U39" s="931"/>
      <c r="V39" s="931" t="s">
        <v>942</v>
      </c>
      <c r="W39" s="1392"/>
      <c r="X39" s="8"/>
      <c r="Y39" s="1397"/>
      <c r="Z39" s="8"/>
      <c r="AA39" s="1400"/>
      <c r="AC39" s="960"/>
      <c r="AD39" s="961"/>
      <c r="AE39" s="960"/>
      <c r="AF39" s="961"/>
      <c r="AG39" s="960"/>
      <c r="AH39" s="961"/>
      <c r="AI39" s="10"/>
      <c r="AJ39" s="10"/>
      <c r="AK39" s="10"/>
    </row>
    <row r="40" spans="1:37" ht="26" x14ac:dyDescent="0.3">
      <c r="A40" s="1519"/>
      <c r="B40" s="313"/>
      <c r="C40" s="26"/>
      <c r="D40" s="101"/>
      <c r="E40" s="790"/>
      <c r="F40" s="789"/>
      <c r="G40" s="790"/>
      <c r="H40" s="1647">
        <v>11</v>
      </c>
      <c r="I40" s="1648">
        <v>11</v>
      </c>
      <c r="J40" s="45" t="b">
        <f>IF(AND(E40&gt;=H40,E40&lt;=I40),TRUE,FALSE)</f>
        <v>0</v>
      </c>
      <c r="K40" s="45"/>
      <c r="L40" s="45"/>
      <c r="M40" s="45"/>
      <c r="N40" s="1623"/>
      <c r="O40" s="1647">
        <v>11</v>
      </c>
      <c r="P40" s="1648">
        <v>11</v>
      </c>
      <c r="Q40" s="1623" t="b">
        <f>IF(AND(E40&gt;=O40,E40&lt;=P40),TRUE,FALSE)</f>
        <v>0</v>
      </c>
      <c r="R40" s="1622"/>
      <c r="S40" s="1615"/>
      <c r="T40" s="1623"/>
      <c r="U40" s="931"/>
      <c r="V40" s="1403"/>
      <c r="W40" s="1422" t="s">
        <v>945</v>
      </c>
      <c r="X40" s="1423"/>
      <c r="Y40" s="1424">
        <v>11</v>
      </c>
      <c r="Z40" s="1423"/>
      <c r="AA40" s="1416">
        <v>11</v>
      </c>
      <c r="AC40" s="960"/>
      <c r="AD40" s="961"/>
      <c r="AE40" s="960"/>
      <c r="AF40" s="961"/>
      <c r="AG40" s="960"/>
      <c r="AH40" s="961"/>
      <c r="AI40" s="10"/>
      <c r="AJ40" s="10"/>
      <c r="AK40" s="10"/>
    </row>
    <row r="41" spans="1:37" ht="27" thickBot="1" x14ac:dyDescent="0.35">
      <c r="A41" s="1519"/>
      <c r="B41" s="313"/>
      <c r="C41" s="26"/>
      <c r="D41" s="101"/>
      <c r="E41" s="790"/>
      <c r="F41" s="789"/>
      <c r="G41" s="790"/>
      <c r="H41" s="1647">
        <v>11</v>
      </c>
      <c r="I41" s="1648">
        <v>11</v>
      </c>
      <c r="J41" s="45" t="b">
        <f>IF(AND(E41&gt;=H41,E41&lt;=I41),TRUE,FALSE)</f>
        <v>0</v>
      </c>
      <c r="K41" s="45"/>
      <c r="L41" s="45"/>
      <c r="M41" s="45"/>
      <c r="N41" s="1623"/>
      <c r="O41" s="1647">
        <v>11</v>
      </c>
      <c r="P41" s="1648">
        <v>11</v>
      </c>
      <c r="Q41" s="1623" t="b">
        <f>IF(AND(E41&gt;=O41,E41&lt;=P41),TRUE,FALSE)</f>
        <v>0</v>
      </c>
      <c r="R41" s="1647"/>
      <c r="S41" s="1648"/>
      <c r="T41" s="1623"/>
      <c r="U41" s="931"/>
      <c r="V41" s="1406" t="s">
        <v>943</v>
      </c>
      <c r="W41" s="1425">
        <v>11</v>
      </c>
      <c r="X41" s="1426"/>
      <c r="Y41" s="1427">
        <v>11</v>
      </c>
      <c r="Z41" s="1426"/>
      <c r="AA41" s="1421">
        <v>11</v>
      </c>
      <c r="AC41" s="960"/>
      <c r="AD41" s="961"/>
      <c r="AE41" s="960"/>
      <c r="AF41" s="961"/>
      <c r="AG41" s="960"/>
      <c r="AH41" s="961"/>
      <c r="AI41" s="10"/>
      <c r="AJ41" s="10"/>
      <c r="AK41" s="10"/>
    </row>
    <row r="42" spans="1:37" ht="27" thickBot="1" x14ac:dyDescent="0.35">
      <c r="A42" s="1519"/>
      <c r="B42" s="809"/>
      <c r="C42" s="810"/>
      <c r="D42" s="810"/>
      <c r="E42" s="811"/>
      <c r="F42" s="811"/>
      <c r="G42" s="811"/>
      <c r="H42" s="1628"/>
      <c r="I42" s="812"/>
      <c r="J42" s="813" t="b">
        <f>IF(AND(J40=FALSE,J41=FALSE),FALSE,TRUE)</f>
        <v>0</v>
      </c>
      <c r="K42" s="1611"/>
      <c r="L42" s="1611"/>
      <c r="M42" s="1611"/>
      <c r="N42" s="1629"/>
      <c r="O42" s="1628"/>
      <c r="P42" s="812"/>
      <c r="Q42" s="813" t="b">
        <f>IF(AND(Q40=FALSE,Q41=FALSE),FALSE,TRUE)</f>
        <v>0</v>
      </c>
      <c r="R42" s="1628"/>
      <c r="S42" s="812"/>
      <c r="T42" s="813"/>
      <c r="U42" s="931"/>
      <c r="V42" s="931"/>
      <c r="W42" s="1394"/>
      <c r="Y42" s="1398"/>
      <c r="AA42" s="1402"/>
      <c r="AC42" s="960"/>
      <c r="AD42" s="961"/>
      <c r="AE42" s="960"/>
      <c r="AF42" s="961"/>
      <c r="AG42" s="960"/>
      <c r="AH42" s="961"/>
      <c r="AI42" s="10"/>
      <c r="AJ42" s="10"/>
      <c r="AK42" s="10"/>
    </row>
    <row r="43" spans="1:37" ht="26" x14ac:dyDescent="0.3">
      <c r="A43" s="1519"/>
      <c r="C43" s="421" t="s">
        <v>310</v>
      </c>
      <c r="D43" s="785"/>
      <c r="E43" s="474" t="s">
        <v>398</v>
      </c>
      <c r="F43" s="47"/>
      <c r="G43" s="47">
        <f>G35+G38+G42</f>
        <v>0</v>
      </c>
      <c r="H43" s="1630"/>
      <c r="I43" s="475"/>
      <c r="J43" s="1613"/>
      <c r="K43" s="1614"/>
      <c r="L43" s="1614"/>
      <c r="M43" s="1614"/>
      <c r="N43" s="1631"/>
      <c r="O43" s="1630"/>
      <c r="P43" s="475"/>
      <c r="Q43" s="1639"/>
      <c r="R43" s="1630"/>
      <c r="S43" s="475"/>
      <c r="T43" s="1639"/>
      <c r="U43" s="1666"/>
      <c r="V43" s="170"/>
      <c r="W43" s="1394"/>
      <c r="Y43" s="1398"/>
      <c r="AA43" s="1402"/>
      <c r="AC43" s="962"/>
      <c r="AD43" s="963"/>
      <c r="AE43" s="962"/>
      <c r="AF43" s="963"/>
      <c r="AG43" s="962"/>
      <c r="AH43" s="963"/>
      <c r="AI43" s="10"/>
      <c r="AJ43" s="10"/>
      <c r="AK43" s="10"/>
    </row>
    <row r="44" spans="1:37" ht="26" x14ac:dyDescent="0.3">
      <c r="A44" s="1519"/>
      <c r="B44" t="s">
        <v>243</v>
      </c>
      <c r="H44" s="146"/>
      <c r="K44" s="46"/>
      <c r="L44" s="46"/>
      <c r="M44" s="46"/>
      <c r="N44" s="1652"/>
      <c r="O44" s="146"/>
      <c r="Q44" s="326"/>
      <c r="R44" s="146"/>
      <c r="T44" s="326"/>
      <c r="W44" s="1394"/>
      <c r="Y44" s="1398"/>
      <c r="AA44" s="1402"/>
      <c r="AC44" s="960"/>
      <c r="AD44" s="961"/>
      <c r="AE44" s="960"/>
      <c r="AF44" s="961"/>
      <c r="AG44" s="960"/>
      <c r="AH44" s="961"/>
      <c r="AI44" s="10"/>
      <c r="AJ44" s="10"/>
      <c r="AK44" s="10"/>
    </row>
    <row r="45" spans="1:37" ht="26" x14ac:dyDescent="0.3">
      <c r="A45" s="1519"/>
      <c r="B45" s="964"/>
      <c r="C45" s="972"/>
      <c r="D45" s="965"/>
      <c r="E45" s="973"/>
      <c r="F45" s="973"/>
      <c r="G45" s="973"/>
      <c r="H45" s="1647">
        <v>11</v>
      </c>
      <c r="I45" s="1648">
        <v>11</v>
      </c>
      <c r="J45" s="45" t="b">
        <f>IF(AND(E45&gt;=H45,E45&lt;=I45),TRUE,FALSE)</f>
        <v>0</v>
      </c>
      <c r="K45" s="32"/>
      <c r="L45" s="32"/>
      <c r="M45" s="32"/>
      <c r="N45" s="1632"/>
      <c r="O45" s="1647">
        <v>11</v>
      </c>
      <c r="P45" s="1648">
        <v>11</v>
      </c>
      <c r="Q45" s="1623" t="b">
        <f>IF(AND(E45&gt;=O45,E45&lt;=P45),TRUE,FALSE)</f>
        <v>0</v>
      </c>
      <c r="R45" s="1647">
        <v>11</v>
      </c>
      <c r="S45" s="1648">
        <v>11</v>
      </c>
      <c r="T45" s="1623" t="b">
        <f>IF(AND(E45&gt;=R45,E45&lt;=S45),TRUE,FALSE)</f>
        <v>0</v>
      </c>
      <c r="U45" s="931"/>
      <c r="V45" s="1428"/>
      <c r="W45" s="1422" t="s">
        <v>945</v>
      </c>
      <c r="X45" s="1423"/>
      <c r="Y45" s="1424">
        <v>11</v>
      </c>
      <c r="Z45" s="1423"/>
      <c r="AA45" s="1416">
        <v>11</v>
      </c>
      <c r="AC45" s="960"/>
      <c r="AD45" s="961"/>
      <c r="AE45" s="960"/>
      <c r="AF45" s="961"/>
      <c r="AG45" s="960"/>
      <c r="AH45" s="961"/>
      <c r="AI45" s="10"/>
      <c r="AJ45" s="10"/>
      <c r="AK45" s="10"/>
    </row>
    <row r="46" spans="1:37" ht="27" thickBot="1" x14ac:dyDescent="0.35">
      <c r="A46" s="1519"/>
      <c r="B46" s="964"/>
      <c r="C46" s="972"/>
      <c r="D46" s="965"/>
      <c r="E46" s="973"/>
      <c r="F46" s="973"/>
      <c r="G46" s="973"/>
      <c r="H46" s="1647">
        <v>11</v>
      </c>
      <c r="I46" s="1648">
        <v>11</v>
      </c>
      <c r="J46" s="45" t="b">
        <f>IF(AND(E46&gt;=H46,E46&lt;=I46),TRUE,FALSE)</f>
        <v>0</v>
      </c>
      <c r="K46" s="32"/>
      <c r="L46" s="32"/>
      <c r="M46" s="32"/>
      <c r="N46" s="1632"/>
      <c r="O46" s="1647">
        <v>11</v>
      </c>
      <c r="P46" s="1648">
        <v>11</v>
      </c>
      <c r="Q46" s="1623" t="b">
        <f>IF(AND(E46&gt;=O46,E46&lt;=P46),TRUE,FALSE)</f>
        <v>0</v>
      </c>
      <c r="R46" s="1647">
        <v>11</v>
      </c>
      <c r="S46" s="1648">
        <v>11</v>
      </c>
      <c r="T46" s="1623" t="b">
        <f>IF(AND(E46&gt;=R46,E46&lt;=S46),TRUE,FALSE)</f>
        <v>0</v>
      </c>
      <c r="U46" s="931"/>
      <c r="V46" s="1429"/>
      <c r="W46" s="1425">
        <v>11</v>
      </c>
      <c r="X46" s="1426"/>
      <c r="Y46" s="1427">
        <v>11</v>
      </c>
      <c r="Z46" s="1426"/>
      <c r="AA46" s="1421">
        <v>11</v>
      </c>
      <c r="AC46" s="960"/>
      <c r="AD46" s="961"/>
      <c r="AE46" s="960"/>
      <c r="AF46" s="961"/>
      <c r="AG46" s="960"/>
      <c r="AH46" s="961"/>
      <c r="AI46" s="10"/>
      <c r="AJ46" s="10"/>
      <c r="AK46" s="10"/>
    </row>
    <row r="47" spans="1:37" ht="27" thickBot="1" x14ac:dyDescent="0.35">
      <c r="A47" s="657"/>
      <c r="D47" s="814"/>
      <c r="E47" s="96"/>
      <c r="F47" s="96"/>
      <c r="G47" s="96"/>
      <c r="H47" s="1644"/>
      <c r="I47" s="1645"/>
      <c r="J47" s="1651" t="b">
        <f>IF(AND(J45=FALSE,J46=FALSE),FALSE,TRUE)</f>
        <v>0</v>
      </c>
      <c r="K47" s="1633"/>
      <c r="L47" s="1634"/>
      <c r="M47" s="1634"/>
      <c r="N47" s="1635"/>
      <c r="O47" s="1644"/>
      <c r="P47" s="1645"/>
      <c r="Q47" s="1651" t="b">
        <f>IF(AND(Q45=FALSE,Q46=FALSE),FALSE,TRUE)</f>
        <v>0</v>
      </c>
      <c r="R47" s="1656"/>
      <c r="S47" s="1657"/>
      <c r="T47" s="1658" t="b">
        <f>IF(AND(T45=FALSE,T46=FALSE),FALSE,TRUE)</f>
        <v>0</v>
      </c>
      <c r="U47" s="931"/>
      <c r="AC47" s="1564"/>
      <c r="AD47" s="1565"/>
      <c r="AE47" s="1564"/>
      <c r="AF47" s="1565"/>
      <c r="AG47" s="1564"/>
      <c r="AH47" s="1565"/>
      <c r="AI47" s="10"/>
      <c r="AJ47" s="10"/>
      <c r="AK47" s="10"/>
    </row>
    <row r="48" spans="1:37" ht="26" x14ac:dyDescent="0.3">
      <c r="A48" s="657"/>
      <c r="D48" s="814"/>
      <c r="E48" s="96"/>
      <c r="F48" s="96"/>
      <c r="G48" s="96"/>
      <c r="H48" s="96"/>
      <c r="I48" s="96"/>
      <c r="J48" s="96"/>
      <c r="K48" s="96"/>
      <c r="L48" s="96"/>
      <c r="M48" s="96"/>
      <c r="N48" s="96"/>
      <c r="O48" s="96"/>
      <c r="P48" s="96"/>
      <c r="Q48" s="96"/>
      <c r="R48" s="96"/>
      <c r="S48" s="96"/>
      <c r="T48" s="96"/>
      <c r="U48" s="96"/>
      <c r="AC48" s="1649"/>
      <c r="AD48" s="1650"/>
      <c r="AE48" s="1649"/>
      <c r="AF48" s="1650"/>
      <c r="AG48" s="1649"/>
      <c r="AH48" s="1650"/>
      <c r="AI48" s="10"/>
      <c r="AJ48" s="10"/>
      <c r="AK48" s="10"/>
    </row>
    <row r="49" spans="1:37" ht="26" x14ac:dyDescent="0.3">
      <c r="A49" s="657"/>
      <c r="D49" s="814"/>
      <c r="E49" s="96"/>
      <c r="F49" s="96"/>
      <c r="G49" s="96"/>
      <c r="H49" s="96"/>
      <c r="I49" s="96"/>
      <c r="J49" s="96"/>
      <c r="K49" s="96"/>
      <c r="L49" s="96"/>
      <c r="M49" s="96"/>
      <c r="N49" s="96"/>
      <c r="O49" s="96"/>
      <c r="P49" s="96"/>
      <c r="Q49" s="96"/>
      <c r="R49" s="96"/>
      <c r="S49" s="96"/>
      <c r="T49" s="96"/>
      <c r="U49" s="96"/>
      <c r="AC49" s="1668" t="s">
        <v>1388</v>
      </c>
      <c r="AD49" s="1669">
        <f>IF(AF48=1,AD48*(1+$AH$28),AD48)</f>
        <v>0</v>
      </c>
      <c r="AE49" s="1409"/>
      <c r="AF49" s="1409"/>
      <c r="AG49" s="1409"/>
      <c r="AH49" s="1409"/>
      <c r="AI49" s="10"/>
      <c r="AJ49" s="10"/>
      <c r="AK49" s="10"/>
    </row>
    <row r="50" spans="1:37" ht="26" x14ac:dyDescent="0.3">
      <c r="A50" s="1518">
        <v>3</v>
      </c>
      <c r="C50" s="476" t="str">
        <f>'CPTS indépendants'!F10</f>
        <v>Interférence à la sortie des classes</v>
      </c>
      <c r="D50" s="107"/>
      <c r="E50" s="65"/>
      <c r="F50" s="18"/>
      <c r="G50" s="18"/>
      <c r="H50" s="2255" t="s">
        <v>734</v>
      </c>
      <c r="I50" s="2256"/>
      <c r="J50" s="2256"/>
      <c r="K50" s="2257" t="s">
        <v>1378</v>
      </c>
      <c r="L50" s="2257"/>
      <c r="M50" s="2257"/>
      <c r="N50" s="2258"/>
      <c r="O50" s="2259" t="s">
        <v>733</v>
      </c>
      <c r="P50" s="2260"/>
      <c r="Q50" s="2261"/>
      <c r="R50" s="2262" t="s">
        <v>735</v>
      </c>
      <c r="S50" s="2263"/>
      <c r="T50" s="2264"/>
      <c r="U50" s="15"/>
      <c r="V50" s="15"/>
      <c r="AC50" s="956"/>
      <c r="AD50" s="956"/>
      <c r="AE50" s="956"/>
      <c r="AF50" s="956"/>
      <c r="AG50" s="956"/>
      <c r="AH50" s="957"/>
      <c r="AI50" s="10"/>
      <c r="AJ50" s="10"/>
      <c r="AK50" s="10"/>
    </row>
    <row r="51" spans="1:37" ht="68" x14ac:dyDescent="0.3">
      <c r="A51" s="1519"/>
      <c r="C51" s="102" t="s">
        <v>998</v>
      </c>
      <c r="D51" s="983"/>
      <c r="E51" s="32" t="s">
        <v>748</v>
      </c>
      <c r="F51" s="32" t="s">
        <v>749</v>
      </c>
      <c r="G51" s="32" t="s">
        <v>750</v>
      </c>
      <c r="H51" s="1620" t="s">
        <v>306</v>
      </c>
      <c r="I51" s="43" t="s">
        <v>307</v>
      </c>
      <c r="J51" s="43" t="s">
        <v>308</v>
      </c>
      <c r="K51" s="43"/>
      <c r="L51" s="43"/>
      <c r="M51" s="43"/>
      <c r="N51" s="1621"/>
      <c r="O51" s="1620" t="s">
        <v>306</v>
      </c>
      <c r="P51" s="43" t="s">
        <v>307</v>
      </c>
      <c r="Q51" s="1621" t="s">
        <v>308</v>
      </c>
      <c r="R51" s="1620" t="s">
        <v>306</v>
      </c>
      <c r="S51" s="43" t="s">
        <v>307</v>
      </c>
      <c r="T51" s="1621" t="s">
        <v>308</v>
      </c>
      <c r="U51" s="818"/>
      <c r="V51" s="955" t="s">
        <v>928</v>
      </c>
      <c r="W51" s="1391" t="s">
        <v>734</v>
      </c>
      <c r="X51" s="955" t="s">
        <v>928</v>
      </c>
      <c r="Y51" s="1395" t="s">
        <v>733</v>
      </c>
      <c r="Z51" s="955" t="s">
        <v>928</v>
      </c>
      <c r="AA51" s="1399" t="s">
        <v>735</v>
      </c>
      <c r="AC51" s="970" t="s">
        <v>734</v>
      </c>
      <c r="AD51" s="971" t="s">
        <v>946</v>
      </c>
      <c r="AE51" s="970" t="s">
        <v>733</v>
      </c>
      <c r="AF51" s="971" t="s">
        <v>947</v>
      </c>
      <c r="AG51" s="970" t="s">
        <v>735</v>
      </c>
      <c r="AH51" s="971" t="s">
        <v>948</v>
      </c>
      <c r="AI51" s="10"/>
      <c r="AJ51" s="10"/>
      <c r="AK51" s="10"/>
    </row>
    <row r="52" spans="1:37" ht="34" x14ac:dyDescent="0.2">
      <c r="A52" s="1521"/>
      <c r="B52" s="414" t="str">
        <f>'CPTS indépendants'!G10</f>
        <v>PFA17</v>
      </c>
      <c r="C52" s="26" t="str">
        <f>Test_Bible!B197</f>
        <v>L’autre parent se présente à la sortie des classes, au service de garde ou à la garderie sur votre temps de garde.</v>
      </c>
      <c r="D52" s="101"/>
      <c r="E52" s="790">
        <f>Test_Bible!P197</f>
        <v>4</v>
      </c>
      <c r="F52" s="789">
        <f>Test_Bible!D197</f>
        <v>1</v>
      </c>
      <c r="G52" s="790">
        <f>E52*F52</f>
        <v>4</v>
      </c>
      <c r="H52" s="1622">
        <v>4</v>
      </c>
      <c r="I52" s="1615">
        <v>10</v>
      </c>
      <c r="J52" s="45" t="b">
        <f>IF(AND(E52&gt;=H52,E52&lt;=I52),TRUE,FALSE)</f>
        <v>1</v>
      </c>
      <c r="K52" s="45"/>
      <c r="L52" s="45"/>
      <c r="M52" s="45"/>
      <c r="N52" s="1623"/>
      <c r="O52" s="1647">
        <v>11</v>
      </c>
      <c r="P52" s="1648">
        <v>11</v>
      </c>
      <c r="Q52" s="1623" t="b">
        <f>IF(AND(E52&gt;=O52,E52&lt;=P52),TRUE,FALSE)</f>
        <v>0</v>
      </c>
      <c r="R52" s="1622">
        <v>4</v>
      </c>
      <c r="S52" s="1615">
        <v>10</v>
      </c>
      <c r="T52" s="1623" t="b">
        <f>IF(AND(E52&gt;=R52,E52&lt;=S52),TRUE,FALSE)</f>
        <v>1</v>
      </c>
      <c r="U52" s="931"/>
      <c r="V52" s="1403"/>
      <c r="W52" s="1404">
        <v>4</v>
      </c>
      <c r="X52" s="1405"/>
      <c r="Y52" s="1424">
        <v>11</v>
      </c>
      <c r="Z52" s="1405"/>
      <c r="AA52" s="1415">
        <v>4</v>
      </c>
      <c r="AC52" s="958"/>
      <c r="AD52" s="959"/>
      <c r="AE52" s="958"/>
      <c r="AF52" s="959"/>
      <c r="AG52" s="958"/>
      <c r="AH52" s="959"/>
      <c r="AI52" s="10"/>
      <c r="AJ52" s="10"/>
      <c r="AK52" s="10"/>
    </row>
    <row r="53" spans="1:37" ht="26" x14ac:dyDescent="0.2">
      <c r="A53" s="1521"/>
      <c r="B53" s="414"/>
      <c r="C53" s="26"/>
      <c r="D53" s="101"/>
      <c r="E53" s="790"/>
      <c r="F53" s="789"/>
      <c r="G53" s="790"/>
      <c r="H53" s="1647">
        <v>11</v>
      </c>
      <c r="I53" s="1648">
        <v>11</v>
      </c>
      <c r="J53" s="45" t="b">
        <f>IF(AND(E53&gt;=H53,E53&lt;=I53),TRUE,FALSE)</f>
        <v>0</v>
      </c>
      <c r="K53" s="45"/>
      <c r="L53" s="45"/>
      <c r="M53" s="45"/>
      <c r="N53" s="1623"/>
      <c r="O53" s="1647">
        <v>11</v>
      </c>
      <c r="P53" s="1648">
        <v>11</v>
      </c>
      <c r="Q53" s="1623" t="b">
        <f>IF(AND(E53&gt;=O53,E53&lt;=P53),TRUE,FALSE)</f>
        <v>0</v>
      </c>
      <c r="R53" s="1647">
        <v>11</v>
      </c>
      <c r="S53" s="1648">
        <v>11</v>
      </c>
      <c r="T53" s="1623" t="b">
        <f>IF(AND(E53&gt;=R53,E53&lt;=S53),TRUE,FALSE)</f>
        <v>0</v>
      </c>
      <c r="U53" s="931"/>
      <c r="V53" s="1406" t="s">
        <v>943</v>
      </c>
      <c r="W53" s="1425">
        <v>11</v>
      </c>
      <c r="X53" s="1426"/>
      <c r="Y53" s="1427">
        <v>11</v>
      </c>
      <c r="Z53" s="1426"/>
      <c r="AA53" s="1421">
        <v>11</v>
      </c>
      <c r="AC53" s="960"/>
      <c r="AD53" s="961"/>
      <c r="AE53" s="960"/>
      <c r="AF53" s="961"/>
      <c r="AG53" s="960"/>
      <c r="AH53" s="961"/>
      <c r="AI53" s="10"/>
      <c r="AJ53" s="10"/>
      <c r="AK53" s="10"/>
    </row>
    <row r="54" spans="1:37" ht="26" x14ac:dyDescent="0.2">
      <c r="A54" s="1521"/>
      <c r="B54" s="792" t="s">
        <v>745</v>
      </c>
      <c r="C54" s="793"/>
      <c r="D54" s="794"/>
      <c r="E54" s="795"/>
      <c r="F54" s="795"/>
      <c r="G54" s="795"/>
      <c r="H54" s="1624"/>
      <c r="I54" s="796"/>
      <c r="J54" s="797" t="b">
        <f>IF(AND(J52=FALSE,J53=FALSE),FALSE,TRUE)</f>
        <v>1</v>
      </c>
      <c r="K54" s="45"/>
      <c r="L54" s="45"/>
      <c r="M54" s="45"/>
      <c r="N54" s="1623"/>
      <c r="O54" s="1624"/>
      <c r="P54" s="796"/>
      <c r="Q54" s="1637" t="b">
        <f>IF(AND(Q52=FALSE,Q53=FALSE),FALSE,TRUE)</f>
        <v>0</v>
      </c>
      <c r="R54" s="1624"/>
      <c r="S54" s="796"/>
      <c r="T54" s="1637" t="b">
        <f>IF(AND(T52=FALSE,T53=FALSE),FALSE,TRUE)</f>
        <v>1</v>
      </c>
      <c r="U54" s="931"/>
      <c r="V54" s="931" t="s">
        <v>943</v>
      </c>
      <c r="W54" s="1392"/>
      <c r="X54" s="8"/>
      <c r="Y54" s="1397"/>
      <c r="Z54" s="8"/>
      <c r="AA54" s="1400"/>
      <c r="AC54" s="960"/>
      <c r="AD54" s="961"/>
      <c r="AE54" s="960"/>
      <c r="AF54" s="961"/>
      <c r="AG54" s="960"/>
      <c r="AH54" s="961"/>
      <c r="AI54" s="10"/>
      <c r="AJ54" s="10"/>
      <c r="AK54" s="10"/>
    </row>
    <row r="55" spans="1:37" ht="34" x14ac:dyDescent="0.3">
      <c r="A55" s="1519"/>
      <c r="B55" s="52" t="str">
        <f>'CPTS indépendants'!K10</f>
        <v>NC09</v>
      </c>
      <c r="C55" s="26" t="str">
        <f>Test_Bible!B419</f>
        <v xml:space="preserve">Le nouveau ou nouvelle conjoint·e se présente à la sortie des classes, au service de garde ou à la garderie sur votre temps de garde. </v>
      </c>
      <c r="D55" s="101"/>
      <c r="E55" s="790">
        <f>Test_Bible!P419</f>
        <v>4</v>
      </c>
      <c r="F55" s="789">
        <f>Test_Bible!D419</f>
        <v>2</v>
      </c>
      <c r="G55" s="790">
        <f>E55*F55</f>
        <v>8</v>
      </c>
      <c r="H55" s="1622">
        <v>4</v>
      </c>
      <c r="I55" s="1615">
        <v>10</v>
      </c>
      <c r="J55" s="45" t="b">
        <f>IF(AND(E55&gt;=H55,E55&lt;=I55),TRUE,FALSE)</f>
        <v>1</v>
      </c>
      <c r="K55" s="45"/>
      <c r="L55" s="45"/>
      <c r="M55" s="45"/>
      <c r="N55" s="1623"/>
      <c r="O55" s="1647">
        <v>11</v>
      </c>
      <c r="P55" s="1648">
        <v>11</v>
      </c>
      <c r="Q55" s="1623" t="b">
        <f>IF(AND(E55&gt;=O55,E55&lt;=P55),TRUE,FALSE)</f>
        <v>0</v>
      </c>
      <c r="R55" s="1622">
        <v>2</v>
      </c>
      <c r="S55" s="1615">
        <v>10</v>
      </c>
      <c r="T55" s="1623" t="b">
        <f>IF(AND(E55&gt;=R55,E55&lt;=S55),TRUE,FALSE)</f>
        <v>1</v>
      </c>
      <c r="U55" s="931"/>
      <c r="V55" s="1403"/>
      <c r="W55" s="1404">
        <v>4</v>
      </c>
      <c r="X55" s="1423"/>
      <c r="Y55" s="1424">
        <v>11</v>
      </c>
      <c r="Z55" s="1423"/>
      <c r="AA55" s="1415">
        <v>2</v>
      </c>
      <c r="AC55" s="960"/>
      <c r="AD55" s="961"/>
      <c r="AE55" s="960"/>
      <c r="AF55" s="961"/>
      <c r="AG55" s="960"/>
      <c r="AH55" s="961"/>
      <c r="AI55" s="10"/>
      <c r="AJ55" s="10"/>
      <c r="AK55" s="10"/>
    </row>
    <row r="56" spans="1:37" ht="26" x14ac:dyDescent="0.3">
      <c r="A56" s="1519"/>
      <c r="B56" s="52"/>
      <c r="C56" s="26"/>
      <c r="D56" s="62"/>
      <c r="E56" s="35"/>
      <c r="F56" s="35"/>
      <c r="G56" s="35"/>
      <c r="H56" s="1647">
        <v>11</v>
      </c>
      <c r="I56" s="1648">
        <v>11</v>
      </c>
      <c r="J56" s="45" t="b">
        <f>IF(AND(E56&gt;=H56,E56&lt;=I56),TRUE,FALSE)</f>
        <v>0</v>
      </c>
      <c r="K56" s="45"/>
      <c r="L56" s="45"/>
      <c r="M56" s="45"/>
      <c r="N56" s="1623"/>
      <c r="O56" s="1647">
        <v>11</v>
      </c>
      <c r="P56" s="1648">
        <v>11</v>
      </c>
      <c r="Q56" s="1623" t="b">
        <f>IF(AND(E56&gt;=O56,E56&lt;=P56),TRUE,FALSE)</f>
        <v>0</v>
      </c>
      <c r="R56" s="1647">
        <v>11</v>
      </c>
      <c r="S56" s="1648">
        <v>11</v>
      </c>
      <c r="T56" s="1623" t="b">
        <f>IF(AND(E56&gt;=R56,E56&lt;=S56),TRUE,FALSE)</f>
        <v>0</v>
      </c>
      <c r="U56" s="931"/>
      <c r="V56" s="1406" t="s">
        <v>943</v>
      </c>
      <c r="W56" s="1425">
        <v>11</v>
      </c>
      <c r="X56" s="1426"/>
      <c r="Y56" s="1427">
        <v>11</v>
      </c>
      <c r="Z56" s="1426"/>
      <c r="AA56" s="1421">
        <v>11</v>
      </c>
      <c r="AC56" s="960"/>
      <c r="AD56" s="961"/>
      <c r="AE56" s="960"/>
      <c r="AF56" s="961"/>
      <c r="AG56" s="960"/>
      <c r="AH56" s="961"/>
      <c r="AI56" s="10"/>
      <c r="AJ56" s="10"/>
      <c r="AK56" s="10"/>
    </row>
    <row r="57" spans="1:37" ht="27" thickBot="1" x14ac:dyDescent="0.35">
      <c r="A57" s="1519"/>
      <c r="B57" s="798" t="s">
        <v>746</v>
      </c>
      <c r="C57" s="799"/>
      <c r="D57" s="800"/>
      <c r="E57" s="801"/>
      <c r="F57" s="801"/>
      <c r="G57" s="801"/>
      <c r="H57" s="1625"/>
      <c r="I57" s="802"/>
      <c r="J57" s="803" t="b">
        <f>IF(AND(J55=FALSE,J56=FALSE),FALSE,TRUE)</f>
        <v>1</v>
      </c>
      <c r="K57" s="45"/>
      <c r="L57" s="45"/>
      <c r="M57" s="45"/>
      <c r="N57" s="1623"/>
      <c r="O57" s="1625"/>
      <c r="P57" s="802"/>
      <c r="Q57" s="1638" t="b">
        <f>IF(AND(Q55=FALSE,Q56=FALSE),FALSE,TRUE)</f>
        <v>0</v>
      </c>
      <c r="R57" s="1625"/>
      <c r="S57" s="802"/>
      <c r="T57" s="1638" t="b">
        <f>IF(AND(T55=FALSE,T56=FALSE),FALSE,TRUE)</f>
        <v>1</v>
      </c>
      <c r="U57" s="931"/>
      <c r="V57" s="931"/>
      <c r="W57" s="1392"/>
      <c r="X57" s="8"/>
      <c r="Y57" s="1397"/>
      <c r="Z57" s="8"/>
      <c r="AA57" s="1400"/>
      <c r="AC57" s="960"/>
      <c r="AD57" s="961"/>
      <c r="AE57" s="960"/>
      <c r="AF57" s="961"/>
      <c r="AG57" s="960"/>
      <c r="AH57" s="961"/>
      <c r="AI57" s="10"/>
      <c r="AJ57" s="10"/>
      <c r="AK57" s="10"/>
    </row>
    <row r="58" spans="1:37" ht="35" thickBot="1" x14ac:dyDescent="0.35">
      <c r="A58" s="1519"/>
      <c r="B58" s="804" t="s">
        <v>754</v>
      </c>
      <c r="C58" s="805"/>
      <c r="D58" s="805"/>
      <c r="E58" s="806"/>
      <c r="F58" s="806"/>
      <c r="G58" s="806"/>
      <c r="H58" s="1626"/>
      <c r="I58" s="807"/>
      <c r="J58" s="808" t="b">
        <f>IF(AND(J54=FALSE,J57=FALSE),FALSE,TRUE)</f>
        <v>1</v>
      </c>
      <c r="K58" s="1610"/>
      <c r="L58" s="1610"/>
      <c r="M58" s="1610"/>
      <c r="N58" s="1627"/>
      <c r="O58" s="1626"/>
      <c r="P58" s="807"/>
      <c r="Q58" s="808" t="b">
        <f>IF(AND(Q54=FALSE,Q57=FALSE),FALSE,TRUE)</f>
        <v>0</v>
      </c>
      <c r="R58" s="1626"/>
      <c r="S58" s="807"/>
      <c r="T58" s="808" t="b">
        <f>IF(AND(T54=FALSE,T57=FALSE),FALSE,TRUE)</f>
        <v>1</v>
      </c>
      <c r="U58" s="931"/>
      <c r="V58" s="931" t="s">
        <v>942</v>
      </c>
      <c r="W58" s="1392"/>
      <c r="X58" s="8"/>
      <c r="Y58" s="1397"/>
      <c r="Z58" s="8"/>
      <c r="AA58" s="1400"/>
      <c r="AC58" s="960"/>
      <c r="AD58" s="961"/>
      <c r="AE58" s="960"/>
      <c r="AF58" s="961"/>
      <c r="AG58" s="960"/>
      <c r="AH58" s="961"/>
      <c r="AI58" s="10"/>
      <c r="AJ58" s="10"/>
      <c r="AK58" s="10"/>
    </row>
    <row r="59" spans="1:37" ht="26" x14ac:dyDescent="0.3">
      <c r="A59" s="1519"/>
      <c r="B59" s="313"/>
      <c r="C59" s="26"/>
      <c r="D59" s="101"/>
      <c r="E59" s="790"/>
      <c r="F59" s="789"/>
      <c r="G59" s="790"/>
      <c r="H59" s="1647">
        <v>11</v>
      </c>
      <c r="I59" s="1648">
        <v>11</v>
      </c>
      <c r="J59" s="45" t="b">
        <f>IF(AND(E59&gt;=H59,E59&lt;=I59),TRUE,FALSE)</f>
        <v>0</v>
      </c>
      <c r="K59" s="45"/>
      <c r="L59" s="45"/>
      <c r="M59" s="45"/>
      <c r="N59" s="1623"/>
      <c r="O59" s="1647">
        <v>11</v>
      </c>
      <c r="P59" s="1648">
        <v>11</v>
      </c>
      <c r="Q59" s="1623" t="b">
        <f>IF(AND(E59&gt;=O59,E59&lt;=P59),TRUE,FALSE)</f>
        <v>0</v>
      </c>
      <c r="R59" s="1622"/>
      <c r="S59" s="1615"/>
      <c r="T59" s="1623"/>
      <c r="U59" s="931"/>
      <c r="V59" s="1403"/>
      <c r="W59" s="1422">
        <v>11</v>
      </c>
      <c r="X59" s="1423"/>
      <c r="Y59" s="1424">
        <v>11</v>
      </c>
      <c r="Z59" s="1423"/>
      <c r="AA59" s="1416">
        <v>11</v>
      </c>
      <c r="AC59" s="960"/>
      <c r="AD59" s="961"/>
      <c r="AE59" s="960"/>
      <c r="AF59" s="961"/>
      <c r="AG59" s="960"/>
      <c r="AH59" s="961"/>
      <c r="AI59" s="10"/>
      <c r="AJ59" s="10"/>
      <c r="AK59" s="10"/>
    </row>
    <row r="60" spans="1:37" ht="27" thickBot="1" x14ac:dyDescent="0.35">
      <c r="A60" s="1519"/>
      <c r="B60" s="313"/>
      <c r="C60" s="26"/>
      <c r="D60" s="101"/>
      <c r="E60" s="790"/>
      <c r="F60" s="789"/>
      <c r="G60" s="790"/>
      <c r="H60" s="1647">
        <v>11</v>
      </c>
      <c r="I60" s="1648">
        <v>11</v>
      </c>
      <c r="J60" s="45" t="b">
        <f>IF(AND(E60&gt;=H60,E60&lt;=I60),TRUE,FALSE)</f>
        <v>0</v>
      </c>
      <c r="K60" s="45"/>
      <c r="L60" s="45"/>
      <c r="M60" s="45"/>
      <c r="N60" s="1623"/>
      <c r="O60" s="1647">
        <v>11</v>
      </c>
      <c r="P60" s="1648">
        <v>11</v>
      </c>
      <c r="Q60" s="1623" t="b">
        <f>IF(AND(E60&gt;=O60,E60&lt;=P60),TRUE,FALSE)</f>
        <v>0</v>
      </c>
      <c r="R60" s="1647"/>
      <c r="S60" s="1648"/>
      <c r="T60" s="1623"/>
      <c r="U60" s="931"/>
      <c r="V60" s="1406" t="s">
        <v>943</v>
      </c>
      <c r="W60" s="1425">
        <v>11</v>
      </c>
      <c r="X60" s="1426"/>
      <c r="Y60" s="1427">
        <v>11</v>
      </c>
      <c r="Z60" s="1426"/>
      <c r="AA60" s="1421">
        <v>11</v>
      </c>
      <c r="AC60" s="960"/>
      <c r="AD60" s="961"/>
      <c r="AE60" s="960"/>
      <c r="AF60" s="961"/>
      <c r="AG60" s="960"/>
      <c r="AH60" s="961"/>
      <c r="AI60" s="10"/>
      <c r="AJ60" s="10"/>
      <c r="AK60" s="10"/>
    </row>
    <row r="61" spans="1:37" ht="27" thickBot="1" x14ac:dyDescent="0.35">
      <c r="A61" s="1519"/>
      <c r="B61" s="809" t="s">
        <v>747</v>
      </c>
      <c r="C61" s="810">
        <f>_xlfn.XLOOKUP(G61,G59:G60,C59:C60)</f>
        <v>0</v>
      </c>
      <c r="D61" s="810"/>
      <c r="E61" s="811"/>
      <c r="F61" s="811"/>
      <c r="G61" s="811"/>
      <c r="H61" s="1628"/>
      <c r="I61" s="812"/>
      <c r="J61" s="813" t="b">
        <f>IF(AND(J59=FALSE,J60=FALSE),FALSE,TRUE)</f>
        <v>0</v>
      </c>
      <c r="K61" s="1611"/>
      <c r="L61" s="1611"/>
      <c r="M61" s="1611"/>
      <c r="N61" s="1629"/>
      <c r="O61" s="1628"/>
      <c r="P61" s="812"/>
      <c r="Q61" s="813" t="b">
        <f>IF(AND(Q59=FALSE,Q60=FALSE),FALSE,TRUE)</f>
        <v>0</v>
      </c>
      <c r="R61" s="1628"/>
      <c r="S61" s="812"/>
      <c r="T61" s="813"/>
      <c r="U61" s="931"/>
      <c r="V61" s="931"/>
      <c r="W61" s="1394"/>
      <c r="Y61" s="1398"/>
      <c r="AA61" s="1402"/>
      <c r="AC61" s="960"/>
      <c r="AD61" s="961"/>
      <c r="AE61" s="960"/>
      <c r="AF61" s="961"/>
      <c r="AG61" s="960"/>
      <c r="AH61" s="961"/>
      <c r="AI61" s="10"/>
      <c r="AJ61" s="10"/>
      <c r="AK61" s="10"/>
    </row>
    <row r="62" spans="1:37" ht="26" x14ac:dyDescent="0.3">
      <c r="A62" s="1519"/>
      <c r="C62" s="421" t="s">
        <v>310</v>
      </c>
      <c r="D62" s="785"/>
      <c r="E62" s="474" t="s">
        <v>398</v>
      </c>
      <c r="F62" s="47"/>
      <c r="G62" s="47"/>
      <c r="H62" s="1630"/>
      <c r="I62" s="475"/>
      <c r="J62" s="1613"/>
      <c r="K62" s="1614"/>
      <c r="L62" s="1614"/>
      <c r="M62" s="1614"/>
      <c r="N62" s="1631"/>
      <c r="O62" s="1630"/>
      <c r="P62" s="475"/>
      <c r="Q62" s="1639"/>
      <c r="R62" s="1630"/>
      <c r="S62" s="475"/>
      <c r="T62" s="1639"/>
      <c r="U62" s="1664"/>
      <c r="V62" s="170"/>
      <c r="W62" s="1394"/>
      <c r="Y62" s="1398"/>
      <c r="AA62" s="1402"/>
      <c r="AC62" s="962"/>
      <c r="AD62" s="963"/>
      <c r="AE62" s="962"/>
      <c r="AF62" s="963"/>
      <c r="AG62" s="962"/>
      <c r="AH62" s="963"/>
      <c r="AI62" s="10"/>
      <c r="AJ62" s="10"/>
      <c r="AK62" s="10"/>
    </row>
    <row r="63" spans="1:37" ht="26" x14ac:dyDescent="0.3">
      <c r="A63" s="1519"/>
      <c r="B63" t="s">
        <v>243</v>
      </c>
      <c r="H63" s="146"/>
      <c r="K63" s="46"/>
      <c r="L63" s="46"/>
      <c r="M63" s="46"/>
      <c r="N63" s="1652"/>
      <c r="O63" s="146"/>
      <c r="Q63" s="326"/>
      <c r="R63" s="146"/>
      <c r="T63" s="326"/>
      <c r="W63" s="1394"/>
      <c r="Y63" s="1398"/>
      <c r="AA63" s="1402"/>
      <c r="AC63" s="960"/>
      <c r="AD63" s="961"/>
      <c r="AE63" s="960"/>
      <c r="AF63" s="961"/>
      <c r="AG63" s="960"/>
      <c r="AH63" s="961"/>
      <c r="AI63" s="10"/>
      <c r="AJ63" s="10"/>
      <c r="AK63" s="10"/>
    </row>
    <row r="64" spans="1:37" ht="26" x14ac:dyDescent="0.3">
      <c r="A64" s="1519"/>
      <c r="B64" s="964"/>
      <c r="C64" s="972"/>
      <c r="D64" s="965"/>
      <c r="E64" s="973"/>
      <c r="F64" s="973"/>
      <c r="G64" s="973"/>
      <c r="H64" s="1647">
        <v>11</v>
      </c>
      <c r="I64" s="1648">
        <v>11</v>
      </c>
      <c r="J64" s="45" t="b">
        <f>IF(AND(E64&gt;=H64,E64&lt;=I64),TRUE,FALSE)</f>
        <v>0</v>
      </c>
      <c r="K64" s="32"/>
      <c r="L64" s="32"/>
      <c r="M64" s="32"/>
      <c r="N64" s="1632"/>
      <c r="O64" s="1647">
        <v>11</v>
      </c>
      <c r="P64" s="1648">
        <v>11</v>
      </c>
      <c r="Q64" s="1623" t="b">
        <f>IF(AND(E64&gt;=O64,E64&lt;=P64),TRUE,FALSE)</f>
        <v>0</v>
      </c>
      <c r="R64" s="1647">
        <v>11</v>
      </c>
      <c r="S64" s="1648">
        <v>11</v>
      </c>
      <c r="T64" s="1623" t="b">
        <f>IF(AND(E64&gt;=R64,E64&lt;=S64),TRUE,FALSE)</f>
        <v>0</v>
      </c>
      <c r="U64" s="931"/>
      <c r="V64" s="1428"/>
      <c r="W64" s="1422">
        <v>11</v>
      </c>
      <c r="X64" s="1423"/>
      <c r="Y64" s="1424">
        <v>11</v>
      </c>
      <c r="Z64" s="1423"/>
      <c r="AA64" s="1416">
        <v>11</v>
      </c>
      <c r="AC64" s="960"/>
      <c r="AD64" s="961"/>
      <c r="AE64" s="960"/>
      <c r="AF64" s="961"/>
      <c r="AG64" s="960"/>
      <c r="AH64" s="961"/>
      <c r="AI64" s="10"/>
      <c r="AJ64" s="10"/>
      <c r="AK64" s="10"/>
    </row>
    <row r="65" spans="1:37" ht="27" thickBot="1" x14ac:dyDescent="0.35">
      <c r="A65" s="1519"/>
      <c r="B65" s="964"/>
      <c r="C65" s="972"/>
      <c r="D65" s="965"/>
      <c r="E65" s="973"/>
      <c r="F65" s="973"/>
      <c r="G65" s="973"/>
      <c r="H65" s="1647">
        <v>11</v>
      </c>
      <c r="I65" s="1648">
        <v>11</v>
      </c>
      <c r="J65" s="45" t="b">
        <f>IF(AND(E65&gt;=H65,E65&lt;=I65),TRUE,FALSE)</f>
        <v>0</v>
      </c>
      <c r="K65" s="32"/>
      <c r="L65" s="32"/>
      <c r="M65" s="32"/>
      <c r="N65" s="1632"/>
      <c r="O65" s="1647">
        <v>11</v>
      </c>
      <c r="P65" s="1648">
        <v>11</v>
      </c>
      <c r="Q65" s="1623" t="b">
        <f>IF(AND(E65&gt;=O65,E65&lt;=P65),TRUE,FALSE)</f>
        <v>0</v>
      </c>
      <c r="R65" s="1647">
        <v>11</v>
      </c>
      <c r="S65" s="1648">
        <v>11</v>
      </c>
      <c r="T65" s="1623" t="b">
        <f>IF(AND(E65&gt;=R65,E65&lt;=S65),TRUE,FALSE)</f>
        <v>0</v>
      </c>
      <c r="U65" s="931"/>
      <c r="V65" s="1429"/>
      <c r="W65" s="1425">
        <v>11</v>
      </c>
      <c r="X65" s="1426"/>
      <c r="Y65" s="1427">
        <v>11</v>
      </c>
      <c r="Z65" s="1426"/>
      <c r="AA65" s="1421">
        <v>11</v>
      </c>
      <c r="AC65" s="960"/>
      <c r="AD65" s="961"/>
      <c r="AE65" s="960"/>
      <c r="AF65" s="961"/>
      <c r="AG65" s="960"/>
      <c r="AH65" s="961"/>
      <c r="AI65" s="10"/>
      <c r="AJ65" s="10"/>
      <c r="AK65" s="10"/>
    </row>
    <row r="66" spans="1:37" ht="27" thickBot="1" x14ac:dyDescent="0.35">
      <c r="A66" s="657"/>
      <c r="D66" s="814"/>
      <c r="E66" s="96"/>
      <c r="F66" s="96"/>
      <c r="G66" s="96"/>
      <c r="H66" s="1644"/>
      <c r="I66" s="1645"/>
      <c r="J66" s="1651" t="b">
        <f>IF(AND(J64=FALSE,J65=FALSE),FALSE,TRUE)</f>
        <v>0</v>
      </c>
      <c r="K66" s="1633"/>
      <c r="L66" s="1634"/>
      <c r="M66" s="1634"/>
      <c r="N66" s="1635"/>
      <c r="O66" s="1644"/>
      <c r="P66" s="1645"/>
      <c r="Q66" s="1651" t="b">
        <f>IF(AND(Q64=FALSE,Q65=FALSE),FALSE,TRUE)</f>
        <v>0</v>
      </c>
      <c r="R66" s="1656"/>
      <c r="S66" s="1657"/>
      <c r="T66" s="1658" t="b">
        <f>IF(AND(T64=FALSE,T65=FALSE),FALSE,TRUE)</f>
        <v>0</v>
      </c>
      <c r="U66" s="96"/>
      <c r="AC66" s="1564"/>
      <c r="AD66" s="1565"/>
      <c r="AE66" s="1564"/>
      <c r="AF66" s="1565"/>
      <c r="AG66" s="1564"/>
      <c r="AH66" s="1565"/>
      <c r="AI66" s="10"/>
      <c r="AJ66" s="10"/>
      <c r="AK66" s="10"/>
    </row>
    <row r="67" spans="1:37" ht="26" x14ac:dyDescent="0.3">
      <c r="A67" s="657"/>
      <c r="D67" s="814"/>
      <c r="E67" s="96"/>
      <c r="F67" s="96"/>
      <c r="G67" s="96"/>
      <c r="H67" s="96"/>
      <c r="I67" s="96"/>
      <c r="J67" s="96"/>
      <c r="K67" s="96"/>
      <c r="L67" s="96"/>
      <c r="M67" s="96"/>
      <c r="N67" s="96"/>
      <c r="O67" s="96"/>
      <c r="P67" s="96"/>
      <c r="Q67" s="96"/>
      <c r="R67" s="96"/>
      <c r="S67" s="96"/>
      <c r="T67" s="96"/>
      <c r="U67" s="96"/>
      <c r="AC67" s="1649"/>
      <c r="AD67" s="1650"/>
      <c r="AE67" s="1649"/>
      <c r="AF67" s="1650"/>
      <c r="AG67" s="1649"/>
      <c r="AH67" s="1650"/>
      <c r="AI67" s="10"/>
      <c r="AJ67" s="10"/>
      <c r="AK67" s="10"/>
    </row>
    <row r="68" spans="1:37" ht="26" x14ac:dyDescent="0.3">
      <c r="A68" s="657"/>
      <c r="D68" s="814"/>
      <c r="E68" s="96"/>
      <c r="F68" s="96"/>
      <c r="G68" s="96"/>
      <c r="H68" s="96"/>
      <c r="I68" s="96"/>
      <c r="J68" s="96"/>
      <c r="K68" s="96"/>
      <c r="L68" s="96"/>
      <c r="M68" s="96"/>
      <c r="N68" s="96"/>
      <c r="O68" s="96"/>
      <c r="P68" s="96"/>
      <c r="Q68" s="96"/>
      <c r="R68" s="96"/>
      <c r="S68" s="96"/>
      <c r="T68" s="96"/>
      <c r="U68" s="96"/>
      <c r="AC68" s="1668" t="s">
        <v>1388</v>
      </c>
      <c r="AD68" s="1669">
        <f>IF(AF67=1,AD67*(1+$AH$28),AD67)</f>
        <v>0</v>
      </c>
      <c r="AE68" s="1409"/>
      <c r="AF68" s="1409"/>
      <c r="AG68" s="1409"/>
      <c r="AH68" s="1409"/>
      <c r="AI68" s="10"/>
      <c r="AJ68" s="10"/>
      <c r="AK68" s="10"/>
    </row>
    <row r="69" spans="1:37" ht="26" x14ac:dyDescent="0.3">
      <c r="A69" s="1518">
        <v>4</v>
      </c>
      <c r="C69" s="476" t="str">
        <f>'CPTS indépendants'!F12</f>
        <v>Vengeance depuis séparation</v>
      </c>
      <c r="D69" s="107"/>
      <c r="E69" s="65"/>
      <c r="F69" s="18"/>
      <c r="G69" s="18"/>
      <c r="H69" s="2255" t="s">
        <v>734</v>
      </c>
      <c r="I69" s="2256"/>
      <c r="J69" s="2256"/>
      <c r="K69" s="2257" t="s">
        <v>1378</v>
      </c>
      <c r="L69" s="2257"/>
      <c r="M69" s="2257"/>
      <c r="N69" s="2258"/>
      <c r="O69" s="2259" t="s">
        <v>733</v>
      </c>
      <c r="P69" s="2260"/>
      <c r="Q69" s="2261"/>
      <c r="R69" s="2262" t="s">
        <v>735</v>
      </c>
      <c r="S69" s="2263"/>
      <c r="T69" s="2264"/>
      <c r="U69" s="15"/>
      <c r="V69" s="15"/>
      <c r="AC69" s="956"/>
      <c r="AD69" s="956"/>
      <c r="AE69" s="956"/>
      <c r="AF69" s="956"/>
      <c r="AG69" s="956"/>
      <c r="AH69" s="957"/>
      <c r="AI69" s="10"/>
      <c r="AJ69" s="10"/>
      <c r="AK69" s="10"/>
    </row>
    <row r="70" spans="1:37" ht="68" x14ac:dyDescent="0.3">
      <c r="A70" s="1519"/>
      <c r="C70" s="102" t="s">
        <v>998</v>
      </c>
      <c r="D70" s="983"/>
      <c r="E70" s="32" t="s">
        <v>748</v>
      </c>
      <c r="F70" s="32" t="s">
        <v>749</v>
      </c>
      <c r="G70" s="32" t="s">
        <v>750</v>
      </c>
      <c r="H70" s="1620" t="s">
        <v>306</v>
      </c>
      <c r="I70" s="43" t="s">
        <v>307</v>
      </c>
      <c r="J70" s="43" t="s">
        <v>308</v>
      </c>
      <c r="K70" s="43"/>
      <c r="L70" s="43"/>
      <c r="M70" s="43"/>
      <c r="N70" s="1621"/>
      <c r="O70" s="1620" t="s">
        <v>306</v>
      </c>
      <c r="P70" s="43" t="s">
        <v>307</v>
      </c>
      <c r="Q70" s="1621" t="s">
        <v>308</v>
      </c>
      <c r="R70" s="1620" t="s">
        <v>306</v>
      </c>
      <c r="S70" s="43" t="s">
        <v>307</v>
      </c>
      <c r="T70" s="1621" t="s">
        <v>308</v>
      </c>
      <c r="U70" s="818"/>
      <c r="V70" s="955" t="s">
        <v>928</v>
      </c>
      <c r="W70" s="1391" t="s">
        <v>734</v>
      </c>
      <c r="X70" s="955" t="s">
        <v>928</v>
      </c>
      <c r="Y70" s="1395" t="s">
        <v>733</v>
      </c>
      <c r="Z70" s="955" t="s">
        <v>928</v>
      </c>
      <c r="AA70" s="1399" t="s">
        <v>735</v>
      </c>
      <c r="AC70" s="970"/>
      <c r="AD70" s="971"/>
      <c r="AE70" s="970"/>
      <c r="AF70" s="971"/>
      <c r="AG70" s="970"/>
      <c r="AH70" s="971"/>
      <c r="AI70" s="10"/>
      <c r="AJ70" s="10"/>
      <c r="AK70" s="10"/>
    </row>
    <row r="71" spans="1:37" ht="34" x14ac:dyDescent="0.3">
      <c r="A71" s="1519"/>
      <c r="B71" s="414" t="str">
        <f>'CPTS indépendants'!G12</f>
        <v>PFA24</v>
      </c>
      <c r="C71" s="26" t="str">
        <f>Test_Bible!B210</f>
        <v>Depuis la séparation, l’autre parent cherche à vous blesser parce qu'il considère que vous avez brisé ou abandonné la famille.</v>
      </c>
      <c r="D71" s="101"/>
      <c r="E71" s="790">
        <f>Test_Bible!P210</f>
        <v>7</v>
      </c>
      <c r="F71" s="789">
        <f>Test_Bible!D210</f>
        <v>3</v>
      </c>
      <c r="G71" s="790">
        <f>E71*F71</f>
        <v>21</v>
      </c>
      <c r="H71" s="1622">
        <v>4</v>
      </c>
      <c r="I71" s="1615">
        <v>10</v>
      </c>
      <c r="J71" s="45" t="b">
        <f>IF(AND(E71&gt;=H71,E71&lt;=I71),TRUE,FALSE)</f>
        <v>1</v>
      </c>
      <c r="K71" s="45"/>
      <c r="L71" s="45"/>
      <c r="M71" s="45"/>
      <c r="N71" s="1623"/>
      <c r="O71" s="1647">
        <v>11</v>
      </c>
      <c r="P71" s="1648">
        <v>11</v>
      </c>
      <c r="Q71" s="1623" t="b">
        <f>IF(AND(E71&gt;=O71,E71&lt;=P71),TRUE,FALSE)</f>
        <v>0</v>
      </c>
      <c r="R71" s="1622">
        <v>2</v>
      </c>
      <c r="S71" s="1615">
        <v>10</v>
      </c>
      <c r="T71" s="1623" t="b">
        <f>IF(AND(E71&gt;=R71,E71&lt;=S71),TRUE,FALSE)</f>
        <v>1</v>
      </c>
      <c r="U71" s="931"/>
      <c r="V71" s="1403"/>
      <c r="W71" s="1404">
        <v>4</v>
      </c>
      <c r="X71" s="1405"/>
      <c r="Y71" s="1424">
        <v>11</v>
      </c>
      <c r="Z71" s="1405"/>
      <c r="AA71" s="1415">
        <v>2</v>
      </c>
      <c r="AC71" s="958"/>
      <c r="AD71" s="959"/>
      <c r="AE71" s="958"/>
      <c r="AF71" s="959"/>
      <c r="AG71" s="958"/>
      <c r="AH71" s="959"/>
      <c r="AI71" s="10"/>
      <c r="AJ71" s="10"/>
      <c r="AK71" s="10"/>
    </row>
    <row r="72" spans="1:37" ht="26" x14ac:dyDescent="0.3">
      <c r="A72" s="1519"/>
      <c r="B72" s="414"/>
      <c r="C72" s="26"/>
      <c r="D72" s="101"/>
      <c r="E72" s="790"/>
      <c r="F72" s="789"/>
      <c r="G72" s="790"/>
      <c r="H72" s="1647">
        <v>11</v>
      </c>
      <c r="I72" s="1648">
        <v>11</v>
      </c>
      <c r="J72" s="45" t="b">
        <f>IF(AND(E72&gt;=H72,E72&lt;=I72),TRUE,FALSE)</f>
        <v>0</v>
      </c>
      <c r="K72" s="45"/>
      <c r="L72" s="45"/>
      <c r="M72" s="45"/>
      <c r="N72" s="1623"/>
      <c r="O72" s="1647">
        <v>11</v>
      </c>
      <c r="P72" s="1648">
        <v>11</v>
      </c>
      <c r="Q72" s="1623" t="b">
        <f>IF(AND(E72&gt;=O72,E72&lt;=P72),TRUE,FALSE)</f>
        <v>0</v>
      </c>
      <c r="R72" s="1647">
        <v>11</v>
      </c>
      <c r="S72" s="1648">
        <v>11</v>
      </c>
      <c r="T72" s="1623" t="b">
        <f>IF(AND(E72&gt;=R72,E72&lt;=S72),TRUE,FALSE)</f>
        <v>0</v>
      </c>
      <c r="U72" s="931"/>
      <c r="V72" s="1406" t="s">
        <v>943</v>
      </c>
      <c r="W72" s="1425">
        <v>11</v>
      </c>
      <c r="X72" s="1426"/>
      <c r="Y72" s="1427">
        <v>11</v>
      </c>
      <c r="Z72" s="1426"/>
      <c r="AA72" s="1421">
        <v>11</v>
      </c>
      <c r="AC72" s="960"/>
      <c r="AD72" s="961"/>
      <c r="AE72" s="960"/>
      <c r="AF72" s="961"/>
      <c r="AG72" s="960"/>
      <c r="AH72" s="961"/>
      <c r="AI72" s="10"/>
      <c r="AJ72" s="10"/>
      <c r="AK72" s="10"/>
    </row>
    <row r="73" spans="1:37" ht="26" x14ac:dyDescent="0.3">
      <c r="A73" s="1519"/>
      <c r="B73" s="792"/>
      <c r="C73" s="793"/>
      <c r="D73" s="794"/>
      <c r="E73" s="795"/>
      <c r="F73" s="795"/>
      <c r="G73" s="795"/>
      <c r="H73" s="1624"/>
      <c r="I73" s="796"/>
      <c r="J73" s="797" t="b">
        <f>IF(AND(J71=FALSE,J72=FALSE),FALSE,TRUE)</f>
        <v>1</v>
      </c>
      <c r="K73" s="45"/>
      <c r="L73" s="45"/>
      <c r="M73" s="45"/>
      <c r="N73" s="1623"/>
      <c r="O73" s="1624"/>
      <c r="P73" s="796"/>
      <c r="Q73" s="1637" t="b">
        <f>IF(AND(Q71=FALSE,Q72=FALSE),FALSE,TRUE)</f>
        <v>0</v>
      </c>
      <c r="R73" s="1624"/>
      <c r="S73" s="796"/>
      <c r="T73" s="1637" t="b">
        <f>IF(AND(T71=FALSE,T72=FALSE),FALSE,TRUE)</f>
        <v>1</v>
      </c>
      <c r="U73" s="931"/>
      <c r="V73" s="931" t="s">
        <v>943</v>
      </c>
      <c r="W73" s="1392"/>
      <c r="X73" s="8"/>
      <c r="Y73" s="1397"/>
      <c r="Z73" s="8"/>
      <c r="AA73" s="1400"/>
      <c r="AC73" s="960"/>
      <c r="AD73" s="961"/>
      <c r="AE73" s="960"/>
      <c r="AF73" s="961"/>
      <c r="AG73" s="960"/>
      <c r="AH73" s="961"/>
      <c r="AI73" s="10"/>
      <c r="AJ73" s="10"/>
      <c r="AK73" s="10"/>
    </row>
    <row r="74" spans="1:37" ht="26" x14ac:dyDescent="0.3">
      <c r="A74" s="1519"/>
      <c r="B74" s="52"/>
      <c r="C74" s="26"/>
      <c r="D74" s="101"/>
      <c r="E74" s="790"/>
      <c r="F74" s="789"/>
      <c r="G74" s="790"/>
      <c r="H74" s="1647">
        <v>11</v>
      </c>
      <c r="I74" s="1648">
        <v>11</v>
      </c>
      <c r="J74" s="45" t="b">
        <f>IF(AND(E74&gt;=H74,E74&lt;=I74),TRUE,FALSE)</f>
        <v>0</v>
      </c>
      <c r="K74" s="45"/>
      <c r="L74" s="45"/>
      <c r="M74" s="45"/>
      <c r="N74" s="1623"/>
      <c r="O74" s="1647">
        <v>11</v>
      </c>
      <c r="P74" s="1648">
        <v>11</v>
      </c>
      <c r="Q74" s="1623" t="b">
        <f>IF(AND(E74&gt;=O74,E74&lt;=P74),TRUE,FALSE)</f>
        <v>0</v>
      </c>
      <c r="R74" s="1647">
        <v>11</v>
      </c>
      <c r="S74" s="1648">
        <v>11</v>
      </c>
      <c r="T74" s="1623" t="b">
        <f>IF(AND(E74&gt;=R74,E74&lt;=S74),TRUE,FALSE)</f>
        <v>0</v>
      </c>
      <c r="U74" s="931"/>
      <c r="V74" s="1403"/>
      <c r="W74" s="1422">
        <v>11</v>
      </c>
      <c r="X74" s="1423"/>
      <c r="Y74" s="1424">
        <v>11</v>
      </c>
      <c r="Z74" s="1423"/>
      <c r="AA74" s="1416">
        <v>11</v>
      </c>
      <c r="AC74" s="960"/>
      <c r="AD74" s="961"/>
      <c r="AE74" s="960"/>
      <c r="AF74" s="961"/>
      <c r="AG74" s="960"/>
      <c r="AH74" s="961"/>
      <c r="AI74" s="10"/>
      <c r="AJ74" s="10"/>
      <c r="AK74" s="10"/>
    </row>
    <row r="75" spans="1:37" ht="26" x14ac:dyDescent="0.3">
      <c r="A75" s="1519"/>
      <c r="B75" s="52"/>
      <c r="C75" s="26"/>
      <c r="D75" s="62"/>
      <c r="E75" s="35"/>
      <c r="F75" s="35"/>
      <c r="G75" s="35"/>
      <c r="H75" s="1647">
        <v>11</v>
      </c>
      <c r="I75" s="1648">
        <v>11</v>
      </c>
      <c r="J75" s="45" t="b">
        <f>IF(AND(E75&gt;=H75,E75&lt;=I75),TRUE,FALSE)</f>
        <v>0</v>
      </c>
      <c r="K75" s="45"/>
      <c r="L75" s="45"/>
      <c r="M75" s="45"/>
      <c r="N75" s="1623"/>
      <c r="O75" s="1647">
        <v>11</v>
      </c>
      <c r="P75" s="1648">
        <v>11</v>
      </c>
      <c r="Q75" s="1623" t="b">
        <f>IF(AND(E75&gt;=O75,E75&lt;=P75),TRUE,FALSE)</f>
        <v>0</v>
      </c>
      <c r="R75" s="1647">
        <v>11</v>
      </c>
      <c r="S75" s="1648">
        <v>11</v>
      </c>
      <c r="T75" s="1623" t="b">
        <f>IF(AND(E75&gt;=R75,E75&lt;=S75),TRUE,FALSE)</f>
        <v>0</v>
      </c>
      <c r="U75" s="931"/>
      <c r="V75" s="1406" t="s">
        <v>943</v>
      </c>
      <c r="W75" s="1425">
        <v>11</v>
      </c>
      <c r="X75" s="1426"/>
      <c r="Y75" s="1427">
        <v>11</v>
      </c>
      <c r="Z75" s="1426"/>
      <c r="AA75" s="1421">
        <v>11</v>
      </c>
      <c r="AC75" s="960"/>
      <c r="AD75" s="961"/>
      <c r="AE75" s="960"/>
      <c r="AF75" s="961"/>
      <c r="AG75" s="960"/>
      <c r="AH75" s="961"/>
      <c r="AI75" s="10"/>
      <c r="AJ75" s="10"/>
      <c r="AK75" s="10"/>
    </row>
    <row r="76" spans="1:37" ht="27" thickBot="1" x14ac:dyDescent="0.35">
      <c r="A76" s="1519"/>
      <c r="B76" s="798"/>
      <c r="C76" s="799"/>
      <c r="D76" s="800"/>
      <c r="E76" s="801"/>
      <c r="F76" s="801"/>
      <c r="G76" s="801"/>
      <c r="H76" s="1625"/>
      <c r="I76" s="802"/>
      <c r="J76" s="803" t="b">
        <f>IF(AND(J74=FALSE,J75=FALSE),FALSE,TRUE)</f>
        <v>0</v>
      </c>
      <c r="K76" s="45"/>
      <c r="L76" s="45"/>
      <c r="M76" s="45"/>
      <c r="N76" s="1623"/>
      <c r="O76" s="1625"/>
      <c r="P76" s="802"/>
      <c r="Q76" s="1638" t="b">
        <f>IF(AND(Q74=FALSE,Q75=FALSE),FALSE,TRUE)</f>
        <v>0</v>
      </c>
      <c r="R76" s="1625"/>
      <c r="S76" s="802"/>
      <c r="T76" s="1638" t="b">
        <f>IF(AND(T74=FALSE,T75=FALSE),FALSE,TRUE)</f>
        <v>0</v>
      </c>
      <c r="U76" s="931"/>
      <c r="V76" s="931"/>
      <c r="W76" s="1392"/>
      <c r="X76" s="8"/>
      <c r="Y76" s="1397"/>
      <c r="Z76" s="8"/>
      <c r="AA76" s="1400"/>
      <c r="AC76" s="960"/>
      <c r="AD76" s="961"/>
      <c r="AE76" s="960"/>
      <c r="AF76" s="961"/>
      <c r="AG76" s="960"/>
      <c r="AH76" s="961"/>
      <c r="AI76" s="10"/>
      <c r="AJ76" s="10"/>
      <c r="AK76" s="10"/>
    </row>
    <row r="77" spans="1:37" ht="27" thickBot="1" x14ac:dyDescent="0.35">
      <c r="A77" s="1519"/>
      <c r="B77" s="804"/>
      <c r="C77" s="805"/>
      <c r="D77" s="805"/>
      <c r="E77" s="806"/>
      <c r="F77" s="806"/>
      <c r="G77" s="806"/>
      <c r="H77" s="1626"/>
      <c r="I77" s="807"/>
      <c r="J77" s="808" t="b">
        <f>IF(AND(J73=FALSE,J76=FALSE),FALSE,TRUE)</f>
        <v>1</v>
      </c>
      <c r="K77" s="1610"/>
      <c r="L77" s="1610"/>
      <c r="M77" s="1610"/>
      <c r="N77" s="1627"/>
      <c r="O77" s="1626"/>
      <c r="P77" s="807"/>
      <c r="Q77" s="808" t="b">
        <f>IF(AND(Q73=FALSE,Q76=FALSE),FALSE,TRUE)</f>
        <v>0</v>
      </c>
      <c r="R77" s="1626"/>
      <c r="S77" s="807"/>
      <c r="T77" s="808" t="b">
        <f>IF(AND(T73=FALSE,T76=FALSE),FALSE,TRUE)</f>
        <v>1</v>
      </c>
      <c r="U77" s="931"/>
      <c r="V77" s="931" t="s">
        <v>942</v>
      </c>
      <c r="W77" s="1392"/>
      <c r="X77" s="8"/>
      <c r="Y77" s="1397"/>
      <c r="Z77" s="8"/>
      <c r="AA77" s="1400"/>
      <c r="AC77" s="960"/>
      <c r="AD77" s="961"/>
      <c r="AE77" s="960"/>
      <c r="AF77" s="961"/>
      <c r="AG77" s="960"/>
      <c r="AH77" s="961"/>
      <c r="AI77" s="10" t="str">
        <f>IF(OR(AC77="V",AE77="V"),IF(G76&gt;G73,"Le NC contribue plus que le coparent","Le coparent joue un plus grand rôle que le NC"),"pas de contexte significatif de la part du coparent et NC")</f>
        <v>pas de contexte significatif de la part du coparent et NC</v>
      </c>
      <c r="AJ77" s="10"/>
      <c r="AK77" s="10"/>
    </row>
    <row r="78" spans="1:37" ht="26" x14ac:dyDescent="0.3">
      <c r="A78" s="1519"/>
      <c r="B78" s="313"/>
      <c r="C78" s="26"/>
      <c r="D78" s="101"/>
      <c r="E78" s="790"/>
      <c r="F78" s="789"/>
      <c r="G78" s="790"/>
      <c r="H78" s="1647">
        <v>11</v>
      </c>
      <c r="I78" s="1648">
        <v>11</v>
      </c>
      <c r="J78" s="45" t="b">
        <f>IF(AND(E78&gt;=H78,E78&lt;=I78),TRUE,FALSE)</f>
        <v>0</v>
      </c>
      <c r="K78" s="45"/>
      <c r="L78" s="45"/>
      <c r="M78" s="45"/>
      <c r="N78" s="1623"/>
      <c r="O78" s="1647">
        <v>11</v>
      </c>
      <c r="P78" s="1648">
        <v>11</v>
      </c>
      <c r="Q78" s="1623" t="b">
        <f>IF(AND(E78&gt;=O78,E78&lt;=P78),TRUE,FALSE)</f>
        <v>0</v>
      </c>
      <c r="R78" s="1622"/>
      <c r="S78" s="1615"/>
      <c r="T78" s="1623"/>
      <c r="U78" s="931"/>
      <c r="V78" s="1403"/>
      <c r="W78" s="1422">
        <v>11</v>
      </c>
      <c r="X78" s="1423"/>
      <c r="Y78" s="1424">
        <v>11</v>
      </c>
      <c r="Z78" s="1423"/>
      <c r="AA78" s="1416">
        <v>11</v>
      </c>
      <c r="AC78" s="960"/>
      <c r="AD78" s="961"/>
      <c r="AE78" s="960"/>
      <c r="AF78" s="961"/>
      <c r="AG78" s="960"/>
      <c r="AH78" s="961"/>
      <c r="AI78" s="10"/>
      <c r="AJ78" s="10"/>
      <c r="AK78" s="10"/>
    </row>
    <row r="79" spans="1:37" ht="27" thickBot="1" x14ac:dyDescent="0.35">
      <c r="A79" s="1519"/>
      <c r="B79" s="313"/>
      <c r="C79" s="26"/>
      <c r="D79" s="101"/>
      <c r="E79" s="790"/>
      <c r="F79" s="789"/>
      <c r="G79" s="790"/>
      <c r="H79" s="1647">
        <v>11</v>
      </c>
      <c r="I79" s="1648">
        <v>11</v>
      </c>
      <c r="J79" s="45" t="b">
        <f>IF(AND(E79&gt;=H79,E79&lt;=I79),TRUE,FALSE)</f>
        <v>0</v>
      </c>
      <c r="K79" s="45"/>
      <c r="L79" s="45"/>
      <c r="M79" s="45"/>
      <c r="N79" s="1623"/>
      <c r="O79" s="1647">
        <v>11</v>
      </c>
      <c r="P79" s="1648">
        <v>11</v>
      </c>
      <c r="Q79" s="1623" t="b">
        <f>IF(AND(E79&gt;=O79,E79&lt;=P79),TRUE,FALSE)</f>
        <v>0</v>
      </c>
      <c r="R79" s="1647"/>
      <c r="S79" s="1648"/>
      <c r="T79" s="1623"/>
      <c r="U79" s="931"/>
      <c r="V79" s="1406" t="s">
        <v>943</v>
      </c>
      <c r="W79" s="1425">
        <v>11</v>
      </c>
      <c r="X79" s="1426"/>
      <c r="Y79" s="1427">
        <v>11</v>
      </c>
      <c r="Z79" s="1426"/>
      <c r="AA79" s="1421">
        <v>11</v>
      </c>
      <c r="AC79" s="960"/>
      <c r="AD79" s="961"/>
      <c r="AE79" s="960"/>
      <c r="AF79" s="961"/>
      <c r="AG79" s="960"/>
      <c r="AH79" s="961"/>
      <c r="AI79" s="10"/>
      <c r="AJ79" s="10"/>
      <c r="AK79" s="10"/>
    </row>
    <row r="80" spans="1:37" ht="27" thickBot="1" x14ac:dyDescent="0.35">
      <c r="A80" s="1519"/>
      <c r="B80" s="809"/>
      <c r="C80" s="810"/>
      <c r="D80" s="810"/>
      <c r="E80" s="811"/>
      <c r="F80" s="811"/>
      <c r="G80" s="811"/>
      <c r="H80" s="1628"/>
      <c r="I80" s="812"/>
      <c r="J80" s="813" t="b">
        <f>IF(AND(J78=FALSE,J79=FALSE),FALSE,TRUE)</f>
        <v>0</v>
      </c>
      <c r="K80" s="1611"/>
      <c r="L80" s="1611"/>
      <c r="M80" s="1611"/>
      <c r="N80" s="1629"/>
      <c r="O80" s="1628"/>
      <c r="P80" s="812"/>
      <c r="Q80" s="813" t="b">
        <f>IF(AND(Q78=FALSE,Q79=FALSE),FALSE,TRUE)</f>
        <v>0</v>
      </c>
      <c r="R80" s="1628"/>
      <c r="S80" s="812"/>
      <c r="T80" s="813"/>
      <c r="U80" s="931"/>
      <c r="V80" s="931"/>
      <c r="W80" s="1394"/>
      <c r="Y80" s="1398"/>
      <c r="AA80" s="1402"/>
      <c r="AC80" s="960"/>
      <c r="AD80" s="961"/>
      <c r="AE80" s="960"/>
      <c r="AF80" s="961"/>
      <c r="AG80" s="960"/>
      <c r="AH80" s="961"/>
      <c r="AI80" s="10"/>
      <c r="AJ80" s="10"/>
      <c r="AK80" s="10"/>
    </row>
    <row r="81" spans="1:37" ht="26" x14ac:dyDescent="0.3">
      <c r="A81" s="1519"/>
      <c r="C81" s="421"/>
      <c r="D81" s="785"/>
      <c r="E81" s="474"/>
      <c r="F81" s="47"/>
      <c r="G81" s="47"/>
      <c r="H81" s="1630"/>
      <c r="I81" s="475"/>
      <c r="J81" s="1613"/>
      <c r="K81" s="1614"/>
      <c r="L81" s="1614"/>
      <c r="M81" s="1614"/>
      <c r="N81" s="1631"/>
      <c r="O81" s="1630"/>
      <c r="P81" s="475"/>
      <c r="Q81" s="1639"/>
      <c r="R81" s="1630"/>
      <c r="S81" s="475"/>
      <c r="T81" s="1639"/>
      <c r="U81" s="1664"/>
      <c r="V81" s="170"/>
      <c r="W81" s="1394"/>
      <c r="Y81" s="1398"/>
      <c r="AA81" s="1402"/>
      <c r="AC81" s="962"/>
      <c r="AD81" s="963"/>
      <c r="AE81" s="962"/>
      <c r="AF81" s="963"/>
      <c r="AG81" s="962"/>
      <c r="AH81" s="963"/>
      <c r="AI81" s="10"/>
      <c r="AJ81" s="10"/>
      <c r="AK81" s="10"/>
    </row>
    <row r="82" spans="1:37" ht="26" x14ac:dyDescent="0.3">
      <c r="A82" s="1519"/>
      <c r="B82" t="s">
        <v>243</v>
      </c>
      <c r="H82" s="146"/>
      <c r="K82" s="46"/>
      <c r="L82" s="46"/>
      <c r="M82" s="46"/>
      <c r="N82" s="1652"/>
      <c r="O82" s="146"/>
      <c r="Q82" s="326"/>
      <c r="R82" s="146"/>
      <c r="T82" s="326"/>
      <c r="W82" s="1394"/>
      <c r="Y82" s="1398"/>
      <c r="AA82" s="1402"/>
      <c r="AC82" s="960"/>
      <c r="AD82" s="961"/>
      <c r="AE82" s="960"/>
      <c r="AF82" s="961"/>
      <c r="AG82" s="960"/>
      <c r="AH82" s="961"/>
      <c r="AI82" s="10"/>
      <c r="AJ82" s="10"/>
      <c r="AK82" s="10"/>
    </row>
    <row r="83" spans="1:37" ht="26" x14ac:dyDescent="0.3">
      <c r="A83" s="1519"/>
      <c r="B83" s="964"/>
      <c r="C83" s="972"/>
      <c r="D83" s="965"/>
      <c r="E83" s="973"/>
      <c r="F83" s="973"/>
      <c r="G83" s="973"/>
      <c r="H83" s="1647">
        <v>11</v>
      </c>
      <c r="I83" s="1648">
        <v>11</v>
      </c>
      <c r="J83" s="45" t="b">
        <f>IF(AND(E83&gt;=H83,E83&lt;=I83),TRUE,FALSE)</f>
        <v>0</v>
      </c>
      <c r="K83" s="32"/>
      <c r="L83" s="32"/>
      <c r="M83" s="32"/>
      <c r="N83" s="1632"/>
      <c r="O83" s="1647">
        <v>11</v>
      </c>
      <c r="P83" s="1648">
        <v>11</v>
      </c>
      <c r="Q83" s="1623" t="b">
        <f>IF(AND(E83&gt;=O83,E83&lt;=P83),TRUE,FALSE)</f>
        <v>0</v>
      </c>
      <c r="R83" s="1647">
        <v>11</v>
      </c>
      <c r="S83" s="1648">
        <v>11</v>
      </c>
      <c r="T83" s="1623" t="b">
        <f>IF(AND(E83&gt;=R83,E83&lt;=S83),TRUE,FALSE)</f>
        <v>0</v>
      </c>
      <c r="U83" s="931"/>
      <c r="V83" s="1428"/>
      <c r="W83" s="1422">
        <v>11</v>
      </c>
      <c r="X83" s="1423"/>
      <c r="Y83" s="1424">
        <v>11</v>
      </c>
      <c r="Z83" s="1423"/>
      <c r="AA83" s="1416">
        <v>11</v>
      </c>
      <c r="AC83" s="960"/>
      <c r="AD83" s="961"/>
      <c r="AE83" s="960"/>
      <c r="AF83" s="961"/>
      <c r="AG83" s="960"/>
      <c r="AH83" s="961"/>
      <c r="AI83" s="10"/>
      <c r="AJ83" s="10"/>
      <c r="AK83" s="10"/>
    </row>
    <row r="84" spans="1:37" ht="27" thickBot="1" x14ac:dyDescent="0.35">
      <c r="A84" s="1519"/>
      <c r="B84" s="964"/>
      <c r="C84" s="972"/>
      <c r="D84" s="965"/>
      <c r="E84" s="973"/>
      <c r="F84" s="973"/>
      <c r="G84" s="973"/>
      <c r="H84" s="1647">
        <v>11</v>
      </c>
      <c r="I84" s="1648">
        <v>11</v>
      </c>
      <c r="J84" s="45" t="b">
        <f>IF(AND(E84&gt;=H84,E84&lt;=I84),TRUE,FALSE)</f>
        <v>0</v>
      </c>
      <c r="K84" s="32"/>
      <c r="L84" s="32"/>
      <c r="M84" s="32"/>
      <c r="N84" s="1632"/>
      <c r="O84" s="1647">
        <v>11</v>
      </c>
      <c r="P84" s="1648">
        <v>11</v>
      </c>
      <c r="Q84" s="1623" t="b">
        <f>IF(AND(E84&gt;=O84,E84&lt;=P84),TRUE,FALSE)</f>
        <v>0</v>
      </c>
      <c r="R84" s="1647">
        <v>11</v>
      </c>
      <c r="S84" s="1648">
        <v>11</v>
      </c>
      <c r="T84" s="1623" t="b">
        <f>IF(AND(E84&gt;=R84,E84&lt;=S84),TRUE,FALSE)</f>
        <v>0</v>
      </c>
      <c r="U84" s="931"/>
      <c r="V84" s="1429"/>
      <c r="W84" s="1425">
        <v>11</v>
      </c>
      <c r="X84" s="1426"/>
      <c r="Y84" s="1427">
        <v>11</v>
      </c>
      <c r="Z84" s="1426"/>
      <c r="AA84" s="1421">
        <v>11</v>
      </c>
      <c r="AC84" s="960"/>
      <c r="AD84" s="961"/>
      <c r="AE84" s="960"/>
      <c r="AF84" s="961"/>
      <c r="AG84" s="960"/>
      <c r="AH84" s="961"/>
      <c r="AI84" s="10"/>
      <c r="AJ84" s="10"/>
      <c r="AK84" s="10"/>
    </row>
    <row r="85" spans="1:37" ht="27" thickBot="1" x14ac:dyDescent="0.35">
      <c r="A85" s="657"/>
      <c r="C85" s="16"/>
      <c r="D85" s="16"/>
      <c r="E85" s="89"/>
      <c r="F85" s="473"/>
      <c r="G85" s="473"/>
      <c r="H85" s="1644"/>
      <c r="I85" s="1645"/>
      <c r="J85" s="1651" t="b">
        <f>IF(AND(J83=FALSE,J84=FALSE),FALSE,TRUE)</f>
        <v>0</v>
      </c>
      <c r="K85" s="1633"/>
      <c r="L85" s="1634"/>
      <c r="M85" s="1634"/>
      <c r="N85" s="1635"/>
      <c r="O85" s="1644"/>
      <c r="P85" s="1645"/>
      <c r="Q85" s="1651" t="b">
        <f>IF(AND(Q83=FALSE,Q84=FALSE),FALSE,TRUE)</f>
        <v>0</v>
      </c>
      <c r="R85" s="1656"/>
      <c r="S85" s="1657"/>
      <c r="T85" s="1658" t="b">
        <f>IF(AND(T83=FALSE,T84=FALSE),FALSE,TRUE)</f>
        <v>0</v>
      </c>
      <c r="U85" s="80"/>
      <c r="AC85" s="1564"/>
      <c r="AD85" s="1565"/>
      <c r="AE85" s="1564"/>
      <c r="AF85" s="1565"/>
      <c r="AG85" s="1564"/>
      <c r="AH85" s="1565"/>
      <c r="AI85" s="10"/>
      <c r="AJ85" s="10"/>
      <c r="AK85" s="10"/>
    </row>
    <row r="86" spans="1:37" ht="26" x14ac:dyDescent="0.3">
      <c r="A86" s="657"/>
      <c r="C86" s="16"/>
      <c r="D86" s="16"/>
      <c r="E86" s="89"/>
      <c r="F86" s="473"/>
      <c r="G86" s="473"/>
      <c r="H86" s="8"/>
      <c r="I86" s="8"/>
      <c r="J86" s="80"/>
      <c r="K86" s="80"/>
      <c r="L86" s="80"/>
      <c r="M86" s="80"/>
      <c r="N86" s="80"/>
      <c r="O86" s="80"/>
      <c r="P86" s="80"/>
      <c r="Q86" s="80"/>
      <c r="R86" s="80"/>
      <c r="S86" s="80"/>
      <c r="T86" s="80"/>
      <c r="U86" s="80"/>
      <c r="AC86" s="1649"/>
      <c r="AD86" s="1650"/>
      <c r="AE86" s="1649"/>
      <c r="AF86" s="1650"/>
      <c r="AG86" s="1649"/>
      <c r="AH86" s="1650"/>
      <c r="AI86" s="10"/>
      <c r="AJ86" s="10"/>
      <c r="AK86" s="10"/>
    </row>
    <row r="87" spans="1:37" ht="26" x14ac:dyDescent="0.3">
      <c r="A87" s="657"/>
      <c r="C87" s="16"/>
      <c r="D87" s="16"/>
      <c r="E87" s="89"/>
      <c r="F87" s="473"/>
      <c r="G87" s="473"/>
      <c r="H87" s="8"/>
      <c r="I87" s="8"/>
      <c r="J87" s="80"/>
      <c r="K87" s="80"/>
      <c r="L87" s="80"/>
      <c r="M87" s="80"/>
      <c r="N87" s="80"/>
      <c r="O87" s="80"/>
      <c r="P87" s="80"/>
      <c r="Q87" s="80"/>
      <c r="R87" s="80"/>
      <c r="S87" s="80"/>
      <c r="T87" s="80"/>
      <c r="U87" s="80"/>
      <c r="AC87" s="1668" t="s">
        <v>1388</v>
      </c>
      <c r="AD87" s="1669">
        <f>IF(AF86=1,AD86*(1+$AH$28),AD86)</f>
        <v>0</v>
      </c>
      <c r="AE87" s="1409"/>
      <c r="AF87" s="1409"/>
      <c r="AG87" s="1409"/>
      <c r="AH87" s="1409"/>
      <c r="AI87" s="10"/>
      <c r="AJ87" s="10"/>
      <c r="AK87" s="10"/>
    </row>
    <row r="88" spans="1:37" ht="26" x14ac:dyDescent="0.3">
      <c r="A88" s="1518">
        <v>5</v>
      </c>
      <c r="C88" s="476" t="str">
        <f>'CPTS indépendants'!F14</f>
        <v>Appelle par le prénom</v>
      </c>
      <c r="D88" s="107"/>
      <c r="E88" s="65"/>
      <c r="F88" s="18"/>
      <c r="G88" s="18"/>
      <c r="H88" s="2255" t="s">
        <v>734</v>
      </c>
      <c r="I88" s="2256"/>
      <c r="J88" s="2256"/>
      <c r="K88" s="2257" t="s">
        <v>1378</v>
      </c>
      <c r="L88" s="2257"/>
      <c r="M88" s="2257"/>
      <c r="N88" s="2258"/>
      <c r="O88" s="2259" t="s">
        <v>733</v>
      </c>
      <c r="P88" s="2260"/>
      <c r="Q88" s="2261"/>
      <c r="R88" s="2262" t="s">
        <v>735</v>
      </c>
      <c r="S88" s="2263"/>
      <c r="T88" s="2264"/>
      <c r="U88" s="15"/>
      <c r="V88" s="15"/>
      <c r="AC88" s="956"/>
      <c r="AD88" s="956"/>
      <c r="AE88" s="956"/>
      <c r="AF88" s="956"/>
      <c r="AG88" s="956"/>
      <c r="AH88" s="957"/>
      <c r="AI88" s="10"/>
      <c r="AJ88" s="10"/>
      <c r="AK88" s="10"/>
    </row>
    <row r="89" spans="1:37" ht="68" x14ac:dyDescent="0.3">
      <c r="A89" s="1519"/>
      <c r="C89" s="102" t="s">
        <v>998</v>
      </c>
      <c r="D89" s="983"/>
      <c r="E89" s="32" t="s">
        <v>748</v>
      </c>
      <c r="F89" s="32" t="s">
        <v>749</v>
      </c>
      <c r="G89" s="32" t="s">
        <v>750</v>
      </c>
      <c r="H89" s="1620" t="s">
        <v>306</v>
      </c>
      <c r="I89" s="43" t="s">
        <v>307</v>
      </c>
      <c r="J89" s="43" t="s">
        <v>308</v>
      </c>
      <c r="K89" s="43"/>
      <c r="L89" s="43"/>
      <c r="M89" s="43"/>
      <c r="N89" s="1621"/>
      <c r="O89" s="1620" t="s">
        <v>306</v>
      </c>
      <c r="P89" s="43" t="s">
        <v>307</v>
      </c>
      <c r="Q89" s="1621" t="s">
        <v>308</v>
      </c>
      <c r="R89" s="1620" t="s">
        <v>306</v>
      </c>
      <c r="S89" s="43" t="s">
        <v>307</v>
      </c>
      <c r="T89" s="1621" t="s">
        <v>308</v>
      </c>
      <c r="U89" s="818"/>
      <c r="V89" s="955" t="s">
        <v>928</v>
      </c>
      <c r="W89" s="1391" t="s">
        <v>734</v>
      </c>
      <c r="X89" s="955" t="s">
        <v>928</v>
      </c>
      <c r="Y89" s="1395" t="s">
        <v>733</v>
      </c>
      <c r="Z89" s="955" t="s">
        <v>928</v>
      </c>
      <c r="AA89" s="1399" t="s">
        <v>735</v>
      </c>
      <c r="AC89" s="970" t="s">
        <v>734</v>
      </c>
      <c r="AD89" s="971" t="s">
        <v>946</v>
      </c>
      <c r="AE89" s="970" t="s">
        <v>733</v>
      </c>
      <c r="AF89" s="971" t="s">
        <v>947</v>
      </c>
      <c r="AG89" s="970" t="s">
        <v>735</v>
      </c>
      <c r="AH89" s="971" t="s">
        <v>948</v>
      </c>
      <c r="AI89" s="10"/>
      <c r="AJ89" s="10"/>
      <c r="AK89" s="10"/>
    </row>
    <row r="90" spans="1:37" ht="34" x14ac:dyDescent="0.2">
      <c r="A90" s="1521"/>
      <c r="B90" s="414" t="str">
        <f>'CPTS indépendants'!G14</f>
        <v>PFA25</v>
      </c>
      <c r="C90" s="26" t="str">
        <f>Test_Bible!B211</f>
        <v>L'autre parent vous appelle par votre prénom devant votre enfant (versus maman ou papa).</v>
      </c>
      <c r="D90" s="101"/>
      <c r="E90" s="790">
        <f>Test_Bible!P211</f>
        <v>4</v>
      </c>
      <c r="F90" s="789">
        <f>Test_Bible!D211</f>
        <v>1</v>
      </c>
      <c r="G90" s="790">
        <f>E90*F90</f>
        <v>4</v>
      </c>
      <c r="H90" s="1622">
        <v>4</v>
      </c>
      <c r="I90" s="1615">
        <v>10</v>
      </c>
      <c r="J90" s="45" t="b">
        <f>IF(AND(E90&gt;=H90,E90&lt;=I90),TRUE,FALSE)</f>
        <v>1</v>
      </c>
      <c r="K90" s="45"/>
      <c r="L90" s="45"/>
      <c r="M90" s="45"/>
      <c r="N90" s="1623"/>
      <c r="O90" s="1647">
        <v>11</v>
      </c>
      <c r="P90" s="1648">
        <v>11</v>
      </c>
      <c r="Q90" s="1623" t="b">
        <f>IF(AND(E90&gt;=O90,E90&lt;=P90),TRUE,FALSE)</f>
        <v>0</v>
      </c>
      <c r="R90" s="1622">
        <v>2</v>
      </c>
      <c r="S90" s="1615">
        <v>10</v>
      </c>
      <c r="T90" s="1623" t="b">
        <f>IF(AND(E90&gt;=R90,E90&lt;=S90),TRUE,FALSE)</f>
        <v>1</v>
      </c>
      <c r="U90" s="931"/>
      <c r="V90" s="1403"/>
      <c r="W90" s="1404">
        <v>4</v>
      </c>
      <c r="X90" s="1405"/>
      <c r="Y90" s="1424">
        <v>11</v>
      </c>
      <c r="Z90" s="1405"/>
      <c r="AA90" s="1415">
        <v>2</v>
      </c>
      <c r="AC90" s="958"/>
      <c r="AD90" s="959"/>
      <c r="AE90" s="958"/>
      <c r="AF90" s="959"/>
      <c r="AG90" s="958"/>
      <c r="AH90" s="959"/>
      <c r="AI90" s="10"/>
      <c r="AJ90" s="10"/>
      <c r="AK90" s="10"/>
    </row>
    <row r="91" spans="1:37" ht="26" x14ac:dyDescent="0.2">
      <c r="A91" s="1521"/>
      <c r="B91" s="414"/>
      <c r="C91" s="26"/>
      <c r="D91" s="101"/>
      <c r="E91" s="790"/>
      <c r="F91" s="789"/>
      <c r="G91" s="790"/>
      <c r="H91" s="1647">
        <v>11</v>
      </c>
      <c r="I91" s="1648">
        <v>11</v>
      </c>
      <c r="J91" s="45" t="b">
        <f>IF(AND(E91&gt;=H91,E91&lt;=I91),TRUE,FALSE)</f>
        <v>0</v>
      </c>
      <c r="K91" s="45"/>
      <c r="L91" s="45"/>
      <c r="M91" s="45"/>
      <c r="N91" s="1623"/>
      <c r="O91" s="1647">
        <v>11</v>
      </c>
      <c r="P91" s="1648">
        <v>11</v>
      </c>
      <c r="Q91" s="1623" t="b">
        <f>IF(AND(E91&gt;=O91,E91&lt;=P91),TRUE,FALSE)</f>
        <v>0</v>
      </c>
      <c r="R91" s="1647">
        <v>11</v>
      </c>
      <c r="S91" s="1648">
        <v>11</v>
      </c>
      <c r="T91" s="1623" t="b">
        <f>IF(AND(E91&gt;=R91,E91&lt;=S91),TRUE,FALSE)</f>
        <v>0</v>
      </c>
      <c r="U91" s="931"/>
      <c r="V91" s="1406" t="s">
        <v>943</v>
      </c>
      <c r="W91" s="1425">
        <v>11</v>
      </c>
      <c r="X91" s="1412"/>
      <c r="Y91" s="1427">
        <v>11</v>
      </c>
      <c r="Z91" s="1412"/>
      <c r="AA91" s="1421">
        <v>11</v>
      </c>
      <c r="AC91" s="960"/>
      <c r="AD91" s="961"/>
      <c r="AE91" s="960"/>
      <c r="AF91" s="961"/>
      <c r="AG91" s="960"/>
      <c r="AH91" s="961"/>
      <c r="AI91" s="10"/>
      <c r="AJ91" s="10"/>
      <c r="AK91" s="10"/>
    </row>
    <row r="92" spans="1:37" ht="26" x14ac:dyDescent="0.3">
      <c r="A92" s="1519"/>
      <c r="B92" s="792"/>
      <c r="C92" s="793"/>
      <c r="D92" s="794"/>
      <c r="E92" s="795"/>
      <c r="F92" s="795"/>
      <c r="G92" s="795"/>
      <c r="H92" s="1624"/>
      <c r="I92" s="796"/>
      <c r="J92" s="797" t="b">
        <f>IF(AND(J90=FALSE,J91=FALSE),FALSE,TRUE)</f>
        <v>1</v>
      </c>
      <c r="K92" s="45"/>
      <c r="L92" s="45"/>
      <c r="M92" s="45"/>
      <c r="N92" s="1623"/>
      <c r="O92" s="1624"/>
      <c r="P92" s="796"/>
      <c r="Q92" s="1637" t="b">
        <f>IF(AND(Q90=FALSE,Q91=FALSE),FALSE,TRUE)</f>
        <v>0</v>
      </c>
      <c r="R92" s="1624"/>
      <c r="S92" s="796"/>
      <c r="T92" s="1637" t="b">
        <f>IF(AND(T90=FALSE,T91=FALSE),FALSE,TRUE)</f>
        <v>1</v>
      </c>
      <c r="U92" s="931"/>
      <c r="V92" s="931" t="s">
        <v>943</v>
      </c>
      <c r="W92" s="1392"/>
      <c r="X92" s="8"/>
      <c r="Y92" s="1397"/>
      <c r="Z92" s="8"/>
      <c r="AA92" s="1400"/>
      <c r="AC92" s="960"/>
      <c r="AD92" s="961"/>
      <c r="AE92" s="960"/>
      <c r="AF92" s="961"/>
      <c r="AG92" s="960"/>
      <c r="AH92" s="961"/>
      <c r="AI92" s="10"/>
      <c r="AJ92" s="10"/>
      <c r="AK92" s="10"/>
    </row>
    <row r="93" spans="1:37" ht="26" x14ac:dyDescent="0.3">
      <c r="A93" s="1519"/>
      <c r="B93" s="52"/>
      <c r="C93" s="26"/>
      <c r="D93" s="101"/>
      <c r="E93" s="790"/>
      <c r="F93" s="789"/>
      <c r="G93" s="790"/>
      <c r="H93" s="1647">
        <v>11</v>
      </c>
      <c r="I93" s="1648">
        <v>11</v>
      </c>
      <c r="J93" s="45" t="b">
        <f>IF(AND(E93&gt;=H93,E93&lt;=I93),TRUE,FALSE)</f>
        <v>0</v>
      </c>
      <c r="K93" s="45"/>
      <c r="L93" s="45"/>
      <c r="M93" s="45"/>
      <c r="N93" s="1623"/>
      <c r="O93" s="1647">
        <v>11</v>
      </c>
      <c r="P93" s="1648">
        <v>11</v>
      </c>
      <c r="Q93" s="1623" t="b">
        <f>IF(AND(E93&gt;=O93,E93&lt;=P93),TRUE,FALSE)</f>
        <v>0</v>
      </c>
      <c r="R93" s="1647">
        <v>11</v>
      </c>
      <c r="S93" s="1648">
        <v>11</v>
      </c>
      <c r="T93" s="1623" t="b">
        <f>IF(AND(E93&gt;=R93,E93&lt;=S93),TRUE,FALSE)</f>
        <v>0</v>
      </c>
      <c r="U93" s="931"/>
      <c r="V93" s="1403"/>
      <c r="W93" s="1422">
        <v>11</v>
      </c>
      <c r="X93" s="1423"/>
      <c r="Y93" s="1424">
        <v>11</v>
      </c>
      <c r="Z93" s="1423"/>
      <c r="AA93" s="1416">
        <v>11</v>
      </c>
      <c r="AC93" s="960"/>
      <c r="AD93" s="961"/>
      <c r="AE93" s="960"/>
      <c r="AF93" s="961"/>
      <c r="AG93" s="960"/>
      <c r="AH93" s="961"/>
      <c r="AI93" s="10"/>
      <c r="AJ93" s="10"/>
      <c r="AK93" s="10"/>
    </row>
    <row r="94" spans="1:37" ht="26" x14ac:dyDescent="0.3">
      <c r="A94" s="1519"/>
      <c r="B94" s="52"/>
      <c r="C94" s="26"/>
      <c r="D94" s="62"/>
      <c r="E94" s="35"/>
      <c r="F94" s="35"/>
      <c r="G94" s="35"/>
      <c r="H94" s="1647">
        <v>11</v>
      </c>
      <c r="I94" s="1648">
        <v>11</v>
      </c>
      <c r="J94" s="45" t="b">
        <f>IF(AND(E94&gt;=H94,E94&lt;=I94),TRUE,FALSE)</f>
        <v>0</v>
      </c>
      <c r="K94" s="45"/>
      <c r="L94" s="45"/>
      <c r="M94" s="45"/>
      <c r="N94" s="1623"/>
      <c r="O94" s="1647">
        <v>11</v>
      </c>
      <c r="P94" s="1648">
        <v>11</v>
      </c>
      <c r="Q94" s="1623" t="b">
        <f>IF(AND(E94&gt;=O94,E94&lt;=P94),TRUE,FALSE)</f>
        <v>0</v>
      </c>
      <c r="R94" s="1647">
        <v>11</v>
      </c>
      <c r="S94" s="1648">
        <v>11</v>
      </c>
      <c r="T94" s="1623" t="b">
        <f>IF(AND(E94&gt;=R94,E94&lt;=S94),TRUE,FALSE)</f>
        <v>0</v>
      </c>
      <c r="U94" s="931"/>
      <c r="V94" s="1406" t="s">
        <v>943</v>
      </c>
      <c r="W94" s="1425">
        <v>11</v>
      </c>
      <c r="X94" s="1426"/>
      <c r="Y94" s="1427">
        <v>11</v>
      </c>
      <c r="Z94" s="1426"/>
      <c r="AA94" s="1421">
        <v>11</v>
      </c>
      <c r="AC94" s="960"/>
      <c r="AD94" s="961"/>
      <c r="AE94" s="960"/>
      <c r="AF94" s="961"/>
      <c r="AG94" s="960"/>
      <c r="AH94" s="961"/>
      <c r="AI94" s="10"/>
      <c r="AJ94" s="10"/>
      <c r="AK94" s="10"/>
    </row>
    <row r="95" spans="1:37" ht="27" thickBot="1" x14ac:dyDescent="0.35">
      <c r="A95" s="1519"/>
      <c r="B95" s="798"/>
      <c r="C95" s="799"/>
      <c r="D95" s="800"/>
      <c r="E95" s="801"/>
      <c r="F95" s="801"/>
      <c r="G95" s="801"/>
      <c r="H95" s="1625"/>
      <c r="I95" s="802"/>
      <c r="J95" s="803" t="b">
        <f>IF(AND(J93=FALSE,J94=FALSE),FALSE,TRUE)</f>
        <v>0</v>
      </c>
      <c r="K95" s="45"/>
      <c r="L95" s="45"/>
      <c r="M95" s="45"/>
      <c r="N95" s="1623"/>
      <c r="O95" s="1625"/>
      <c r="P95" s="802"/>
      <c r="Q95" s="1638" t="b">
        <f>IF(AND(Q93=FALSE,Q94=FALSE),FALSE,TRUE)</f>
        <v>0</v>
      </c>
      <c r="R95" s="1625"/>
      <c r="S95" s="802"/>
      <c r="T95" s="1638" t="b">
        <f>IF(AND(T93=FALSE,T94=FALSE),FALSE,TRUE)</f>
        <v>0</v>
      </c>
      <c r="U95" s="931"/>
      <c r="V95" s="931"/>
      <c r="W95" s="1392"/>
      <c r="X95" s="8"/>
      <c r="Y95" s="1397"/>
      <c r="Z95" s="8"/>
      <c r="AA95" s="1400"/>
      <c r="AC95" s="960"/>
      <c r="AD95" s="961"/>
      <c r="AE95" s="960"/>
      <c r="AF95" s="961"/>
      <c r="AG95" s="960"/>
      <c r="AH95" s="961"/>
      <c r="AI95" s="10"/>
      <c r="AJ95" s="10"/>
      <c r="AK95" s="10"/>
    </row>
    <row r="96" spans="1:37" ht="27" thickBot="1" x14ac:dyDescent="0.35">
      <c r="A96" s="1519"/>
      <c r="B96" s="804"/>
      <c r="C96" s="805"/>
      <c r="D96" s="805"/>
      <c r="E96" s="806"/>
      <c r="F96" s="806"/>
      <c r="G96" s="806"/>
      <c r="H96" s="1626"/>
      <c r="I96" s="807"/>
      <c r="J96" s="808" t="b">
        <f>IF(AND(J92=FALSE,J95=FALSE),FALSE,TRUE)</f>
        <v>1</v>
      </c>
      <c r="K96" s="1610"/>
      <c r="L96" s="1610"/>
      <c r="M96" s="1610"/>
      <c r="N96" s="1627"/>
      <c r="O96" s="1626"/>
      <c r="P96" s="807"/>
      <c r="Q96" s="808" t="b">
        <f>IF(AND(Q92=FALSE,Q95=FALSE),FALSE,TRUE)</f>
        <v>0</v>
      </c>
      <c r="R96" s="1626"/>
      <c r="S96" s="807"/>
      <c r="T96" s="808" t="b">
        <f>IF(AND(T92=FALSE,T95=FALSE),FALSE,TRUE)</f>
        <v>1</v>
      </c>
      <c r="U96" s="931"/>
      <c r="V96" s="931" t="s">
        <v>942</v>
      </c>
      <c r="W96" s="1392"/>
      <c r="X96" s="8"/>
      <c r="Y96" s="1397"/>
      <c r="Z96" s="8"/>
      <c r="AA96" s="1400"/>
      <c r="AC96" s="960"/>
      <c r="AD96" s="961"/>
      <c r="AE96" s="960"/>
      <c r="AF96" s="961"/>
      <c r="AG96" s="960"/>
      <c r="AH96" s="961"/>
      <c r="AI96" s="10" t="str">
        <f>IF(OR(AC96="V",AE96="V"),IF(G95&gt;G92,"Le NC contribue plus que le coparent","Le coparent joue un plus grand rôle que le NC"),"pas de contexte significatif de la part du coparent et NC")</f>
        <v>pas de contexte significatif de la part du coparent et NC</v>
      </c>
      <c r="AJ96" s="10"/>
      <c r="AK96" s="10"/>
    </row>
    <row r="97" spans="1:37" ht="26" x14ac:dyDescent="0.3">
      <c r="A97" s="1519"/>
      <c r="B97" s="313"/>
      <c r="C97" s="26"/>
      <c r="D97" s="101"/>
      <c r="E97" s="790"/>
      <c r="F97" s="789"/>
      <c r="G97" s="790"/>
      <c r="H97" s="1647">
        <v>11</v>
      </c>
      <c r="I97" s="1648">
        <v>11</v>
      </c>
      <c r="J97" s="45" t="b">
        <f>IF(AND(E97&gt;=H97,E97&lt;=I97),TRUE,FALSE)</f>
        <v>0</v>
      </c>
      <c r="K97" s="45"/>
      <c r="L97" s="45"/>
      <c r="M97" s="45"/>
      <c r="N97" s="1623"/>
      <c r="O97" s="1647">
        <v>11</v>
      </c>
      <c r="P97" s="1648">
        <v>11</v>
      </c>
      <c r="Q97" s="1623" t="b">
        <f>IF(AND(E97&gt;=O97,E97&lt;=P97),TRUE,FALSE)</f>
        <v>0</v>
      </c>
      <c r="R97" s="1622"/>
      <c r="S97" s="1615"/>
      <c r="T97" s="1623"/>
      <c r="U97" s="931"/>
      <c r="V97" s="1403"/>
      <c r="W97" s="1422">
        <v>11</v>
      </c>
      <c r="X97" s="1423"/>
      <c r="Y97" s="1424">
        <v>11</v>
      </c>
      <c r="Z97" s="1423"/>
      <c r="AA97" s="1416">
        <v>11</v>
      </c>
      <c r="AC97" s="960"/>
      <c r="AD97" s="961"/>
      <c r="AE97" s="960"/>
      <c r="AF97" s="961"/>
      <c r="AG97" s="960"/>
      <c r="AH97" s="961"/>
      <c r="AI97" s="10"/>
      <c r="AJ97" s="10"/>
      <c r="AK97" s="10"/>
    </row>
    <row r="98" spans="1:37" ht="27" thickBot="1" x14ac:dyDescent="0.35">
      <c r="A98" s="1519"/>
      <c r="B98" s="313"/>
      <c r="C98" s="26"/>
      <c r="D98" s="101"/>
      <c r="E98" s="790"/>
      <c r="F98" s="789"/>
      <c r="G98" s="790"/>
      <c r="H98" s="1647">
        <v>11</v>
      </c>
      <c r="I98" s="1648">
        <v>11</v>
      </c>
      <c r="J98" s="45" t="b">
        <f>IF(AND(E98&gt;=H98,E98&lt;=I98),TRUE,FALSE)</f>
        <v>0</v>
      </c>
      <c r="K98" s="45"/>
      <c r="L98" s="45"/>
      <c r="M98" s="45"/>
      <c r="N98" s="1623"/>
      <c r="O98" s="1647">
        <v>11</v>
      </c>
      <c r="P98" s="1648">
        <v>11</v>
      </c>
      <c r="Q98" s="1623" t="b">
        <f>IF(AND(E98&gt;=O98,E98&lt;=P98),TRUE,FALSE)</f>
        <v>0</v>
      </c>
      <c r="R98" s="1647"/>
      <c r="S98" s="1648"/>
      <c r="T98" s="1623"/>
      <c r="U98" s="931"/>
      <c r="V98" s="1406" t="s">
        <v>943</v>
      </c>
      <c r="W98" s="1425">
        <v>11</v>
      </c>
      <c r="X98" s="1426"/>
      <c r="Y98" s="1427">
        <v>11</v>
      </c>
      <c r="Z98" s="1426"/>
      <c r="AA98" s="1421">
        <v>11</v>
      </c>
      <c r="AC98" s="960"/>
      <c r="AD98" s="961"/>
      <c r="AE98" s="960"/>
      <c r="AF98" s="961"/>
      <c r="AG98" s="960"/>
      <c r="AH98" s="961"/>
      <c r="AI98" s="10"/>
      <c r="AJ98" s="10"/>
      <c r="AK98" s="10"/>
    </row>
    <row r="99" spans="1:37" ht="27" thickBot="1" x14ac:dyDescent="0.35">
      <c r="A99" s="1519"/>
      <c r="B99" s="809" t="s">
        <v>747</v>
      </c>
      <c r="C99" s="810">
        <f>_xlfn.XLOOKUP(G99,G97:G98,C97:C98)</f>
        <v>0</v>
      </c>
      <c r="D99" s="810"/>
      <c r="E99" s="811"/>
      <c r="F99" s="811"/>
      <c r="G99" s="811"/>
      <c r="H99" s="1628"/>
      <c r="I99" s="812"/>
      <c r="J99" s="813" t="b">
        <f>IF(AND(J97=FALSE,J98=FALSE),FALSE,TRUE)</f>
        <v>0</v>
      </c>
      <c r="K99" s="1611"/>
      <c r="L99" s="1611"/>
      <c r="M99" s="1611"/>
      <c r="N99" s="1629"/>
      <c r="O99" s="1628"/>
      <c r="P99" s="812"/>
      <c r="Q99" s="813" t="b">
        <f>IF(AND(Q97=FALSE,Q98=FALSE),FALSE,TRUE)</f>
        <v>0</v>
      </c>
      <c r="R99" s="1628"/>
      <c r="S99" s="812"/>
      <c r="T99" s="813"/>
      <c r="U99" s="931"/>
      <c r="V99" s="931"/>
      <c r="W99" s="1394"/>
      <c r="Y99" s="1398"/>
      <c r="AA99" s="1402"/>
      <c r="AC99" s="960"/>
      <c r="AD99" s="961"/>
      <c r="AE99" s="960"/>
      <c r="AF99" s="961"/>
      <c r="AG99" s="960"/>
      <c r="AH99" s="961"/>
      <c r="AI99" s="10"/>
      <c r="AJ99" s="10"/>
      <c r="AK99" s="10"/>
    </row>
    <row r="100" spans="1:37" ht="26" x14ac:dyDescent="0.3">
      <c r="A100" s="1519"/>
      <c r="C100" s="421" t="s">
        <v>310</v>
      </c>
      <c r="D100" s="785"/>
      <c r="E100" s="474" t="s">
        <v>398</v>
      </c>
      <c r="F100" s="47"/>
      <c r="G100" s="47">
        <f>G92+G95+G99</f>
        <v>0</v>
      </c>
      <c r="H100" s="1630"/>
      <c r="I100" s="475"/>
      <c r="J100" s="1613"/>
      <c r="K100" s="1614"/>
      <c r="L100" s="1614"/>
      <c r="M100" s="1614"/>
      <c r="N100" s="1631"/>
      <c r="O100" s="1630"/>
      <c r="P100" s="475"/>
      <c r="Q100" s="1639"/>
      <c r="R100" s="1630"/>
      <c r="S100" s="475"/>
      <c r="T100" s="1639"/>
      <c r="U100" s="1664"/>
      <c r="V100" s="170"/>
      <c r="W100" s="1394"/>
      <c r="Y100" s="1398"/>
      <c r="AA100" s="1402"/>
      <c r="AC100" s="962"/>
      <c r="AD100" s="963"/>
      <c r="AE100" s="962"/>
      <c r="AF100" s="963"/>
      <c r="AG100" s="962"/>
      <c r="AH100" s="963"/>
      <c r="AI100" s="10"/>
      <c r="AJ100" s="10"/>
      <c r="AK100" s="10"/>
    </row>
    <row r="101" spans="1:37" ht="26" x14ac:dyDescent="0.3">
      <c r="A101" s="1519"/>
      <c r="B101" t="s">
        <v>243</v>
      </c>
      <c r="H101" s="146"/>
      <c r="K101" s="46"/>
      <c r="L101" s="46"/>
      <c r="M101" s="46"/>
      <c r="N101" s="1652"/>
      <c r="O101" s="146"/>
      <c r="Q101" s="326"/>
      <c r="R101" s="146"/>
      <c r="T101" s="326"/>
      <c r="W101" s="1394"/>
      <c r="Y101" s="1398"/>
      <c r="AA101" s="1402"/>
      <c r="AC101" s="960"/>
      <c r="AD101" s="961"/>
      <c r="AE101" s="960"/>
      <c r="AF101" s="961"/>
      <c r="AG101" s="960"/>
      <c r="AH101" s="961"/>
      <c r="AI101" s="10"/>
      <c r="AJ101" s="10"/>
      <c r="AK101" s="10"/>
    </row>
    <row r="102" spans="1:37" ht="26" x14ac:dyDescent="0.3">
      <c r="A102" s="1519"/>
      <c r="B102" s="964"/>
      <c r="C102" s="972"/>
      <c r="D102" s="965"/>
      <c r="E102" s="973"/>
      <c r="F102" s="973"/>
      <c r="G102" s="973"/>
      <c r="H102" s="1647">
        <v>11</v>
      </c>
      <c r="I102" s="1648">
        <v>11</v>
      </c>
      <c r="J102" s="45" t="b">
        <f>IF(AND(E102&gt;=H102,E102&lt;=I102),TRUE,FALSE)</f>
        <v>0</v>
      </c>
      <c r="K102" s="32"/>
      <c r="L102" s="32"/>
      <c r="M102" s="32"/>
      <c r="N102" s="1632"/>
      <c r="O102" s="1647">
        <v>11</v>
      </c>
      <c r="P102" s="1648">
        <v>11</v>
      </c>
      <c r="Q102" s="1623" t="b">
        <f>IF(AND(E102&gt;=O102,E102&lt;=P102),TRUE,FALSE)</f>
        <v>0</v>
      </c>
      <c r="R102" s="1647">
        <v>11</v>
      </c>
      <c r="S102" s="1648">
        <v>11</v>
      </c>
      <c r="T102" s="1623" t="b">
        <f>IF(AND(E102&gt;=R102,E102&lt;=S102),TRUE,FALSE)</f>
        <v>0</v>
      </c>
      <c r="U102" s="931"/>
      <c r="V102" s="1428"/>
      <c r="W102" s="1422">
        <v>11</v>
      </c>
      <c r="X102" s="1423"/>
      <c r="Y102" s="1424">
        <v>11</v>
      </c>
      <c r="Z102" s="1423"/>
      <c r="AA102" s="1416">
        <v>11</v>
      </c>
      <c r="AC102" s="960"/>
      <c r="AD102" s="961"/>
      <c r="AE102" s="960"/>
      <c r="AF102" s="961"/>
      <c r="AG102" s="960"/>
      <c r="AH102" s="961"/>
      <c r="AI102" s="10"/>
      <c r="AJ102" s="10"/>
      <c r="AK102" s="10"/>
    </row>
    <row r="103" spans="1:37" ht="27" thickBot="1" x14ac:dyDescent="0.35">
      <c r="A103" s="1519"/>
      <c r="B103" s="964"/>
      <c r="C103" s="972"/>
      <c r="D103" s="965"/>
      <c r="E103" s="973"/>
      <c r="F103" s="973"/>
      <c r="G103" s="973"/>
      <c r="H103" s="1647">
        <v>11</v>
      </c>
      <c r="I103" s="1648">
        <v>11</v>
      </c>
      <c r="J103" s="45" t="b">
        <f>IF(AND(E103&gt;=H103,E103&lt;=I103),TRUE,FALSE)</f>
        <v>0</v>
      </c>
      <c r="K103" s="32"/>
      <c r="L103" s="32"/>
      <c r="M103" s="32"/>
      <c r="N103" s="1632"/>
      <c r="O103" s="1647">
        <v>11</v>
      </c>
      <c r="P103" s="1648">
        <v>11</v>
      </c>
      <c r="Q103" s="1623" t="b">
        <f>IF(AND(E103&gt;=O103,E103&lt;=P103),TRUE,FALSE)</f>
        <v>0</v>
      </c>
      <c r="R103" s="1647">
        <v>11</v>
      </c>
      <c r="S103" s="1648">
        <v>11</v>
      </c>
      <c r="T103" s="1623" t="b">
        <f>IF(AND(E103&gt;=R103,E103&lt;=S103),TRUE,FALSE)</f>
        <v>0</v>
      </c>
      <c r="U103" s="931"/>
      <c r="V103" s="1429"/>
      <c r="W103" s="1425">
        <v>11</v>
      </c>
      <c r="X103" s="1426"/>
      <c r="Y103" s="1427">
        <v>11</v>
      </c>
      <c r="Z103" s="1426"/>
      <c r="AA103" s="1421">
        <v>11</v>
      </c>
      <c r="AC103" s="960"/>
      <c r="AD103" s="961"/>
      <c r="AE103" s="960"/>
      <c r="AF103" s="961"/>
      <c r="AG103" s="960"/>
      <c r="AH103" s="961"/>
      <c r="AI103" s="10"/>
      <c r="AJ103" s="10"/>
      <c r="AK103" s="10"/>
    </row>
    <row r="104" spans="1:37" ht="27" thickBot="1" x14ac:dyDescent="0.35">
      <c r="A104" s="657"/>
      <c r="C104" s="16"/>
      <c r="D104" s="16"/>
      <c r="E104" s="89"/>
      <c r="F104" s="473"/>
      <c r="G104" s="473"/>
      <c r="H104" s="1644"/>
      <c r="I104" s="1645"/>
      <c r="J104" s="1651" t="b">
        <f>IF(AND(J102=FALSE,J103=FALSE),FALSE,TRUE)</f>
        <v>0</v>
      </c>
      <c r="K104" s="1633"/>
      <c r="L104" s="1634"/>
      <c r="M104" s="1634"/>
      <c r="N104" s="1635"/>
      <c r="O104" s="1644"/>
      <c r="P104" s="1645"/>
      <c r="Q104" s="1651" t="b">
        <f>IF(AND(Q102=FALSE,Q103=FALSE),FALSE,TRUE)</f>
        <v>0</v>
      </c>
      <c r="R104" s="1656"/>
      <c r="S104" s="1657"/>
      <c r="T104" s="1658" t="b">
        <f>IF(AND(T102=FALSE,T103=FALSE),FALSE,TRUE)</f>
        <v>0</v>
      </c>
      <c r="U104" s="80"/>
      <c r="AC104" s="1564"/>
      <c r="AD104" s="1565"/>
      <c r="AE104" s="1564"/>
      <c r="AF104" s="1565"/>
      <c r="AG104" s="1564"/>
      <c r="AH104" s="1565"/>
      <c r="AI104" s="10"/>
      <c r="AJ104" s="10"/>
      <c r="AK104" s="10"/>
    </row>
    <row r="105" spans="1:37" ht="26" x14ac:dyDescent="0.3">
      <c r="A105" s="657"/>
      <c r="C105" s="16"/>
      <c r="D105" s="16"/>
      <c r="E105" s="89"/>
      <c r="F105" s="473"/>
      <c r="G105" s="473"/>
      <c r="H105" s="8"/>
      <c r="I105" s="8"/>
      <c r="J105" s="80"/>
      <c r="K105" s="80"/>
      <c r="L105" s="80"/>
      <c r="M105" s="80"/>
      <c r="N105" s="80"/>
      <c r="O105" s="80"/>
      <c r="P105" s="80"/>
      <c r="Q105" s="80"/>
      <c r="R105" s="80"/>
      <c r="S105" s="80"/>
      <c r="T105" s="80"/>
      <c r="U105" s="80"/>
      <c r="AC105" s="1649"/>
      <c r="AD105" s="1650"/>
      <c r="AE105" s="1649"/>
      <c r="AF105" s="1650"/>
      <c r="AG105" s="1649"/>
      <c r="AH105" s="1650"/>
      <c r="AI105" s="10"/>
      <c r="AJ105" s="10"/>
      <c r="AK105" s="10"/>
    </row>
    <row r="106" spans="1:37" ht="26" x14ac:dyDescent="0.3">
      <c r="A106" s="657"/>
      <c r="C106" s="16"/>
      <c r="D106" s="16"/>
      <c r="E106" s="89"/>
      <c r="F106" s="473"/>
      <c r="G106" s="473"/>
      <c r="H106" s="8"/>
      <c r="I106" s="8"/>
      <c r="J106" s="80"/>
      <c r="K106" s="80"/>
      <c r="L106" s="80"/>
      <c r="M106" s="80"/>
      <c r="N106" s="80"/>
      <c r="O106" s="80"/>
      <c r="P106" s="80"/>
      <c r="Q106" s="80"/>
      <c r="R106" s="80"/>
      <c r="S106" s="80"/>
      <c r="T106" s="80"/>
      <c r="U106" s="80"/>
      <c r="AC106" s="1668" t="s">
        <v>1388</v>
      </c>
      <c r="AD106" s="1669">
        <f>IF(AF105=1,AD105*(1+$AH$28),AD105)</f>
        <v>0</v>
      </c>
      <c r="AE106" s="1409"/>
      <c r="AF106" s="1409"/>
      <c r="AG106" s="1409"/>
      <c r="AH106" s="1409"/>
      <c r="AI106" s="10"/>
      <c r="AJ106" s="10"/>
      <c r="AK106" s="10"/>
    </row>
    <row r="107" spans="1:37" ht="26" x14ac:dyDescent="0.3">
      <c r="A107" s="1518">
        <v>6</v>
      </c>
      <c r="C107" s="476" t="str">
        <f>'CPTS indépendants'!F17</f>
        <v>Nv conjoint meilleur</v>
      </c>
      <c r="D107" s="107"/>
      <c r="E107" s="65"/>
      <c r="F107" s="18"/>
      <c r="G107" s="18"/>
      <c r="H107" s="2255" t="s">
        <v>734</v>
      </c>
      <c r="I107" s="2256"/>
      <c r="J107" s="2256"/>
      <c r="K107" s="2257" t="s">
        <v>1378</v>
      </c>
      <c r="L107" s="2257"/>
      <c r="M107" s="2257"/>
      <c r="N107" s="2258"/>
      <c r="O107" s="2259" t="s">
        <v>733</v>
      </c>
      <c r="P107" s="2260"/>
      <c r="Q107" s="2261"/>
      <c r="R107" s="2262" t="s">
        <v>735</v>
      </c>
      <c r="S107" s="2263"/>
      <c r="T107" s="2264"/>
      <c r="U107" s="15"/>
      <c r="V107" s="15"/>
      <c r="AC107" s="956"/>
      <c r="AD107" s="956"/>
      <c r="AE107" s="956"/>
      <c r="AF107" s="956"/>
      <c r="AG107" s="956"/>
      <c r="AH107" s="957"/>
      <c r="AI107" s="10"/>
      <c r="AJ107" s="10"/>
      <c r="AK107" s="10"/>
    </row>
    <row r="108" spans="1:37" ht="68" x14ac:dyDescent="0.3">
      <c r="A108" s="1519"/>
      <c r="C108" s="102" t="s">
        <v>998</v>
      </c>
      <c r="D108" s="983"/>
      <c r="E108" s="32" t="s">
        <v>748</v>
      </c>
      <c r="F108" s="32" t="s">
        <v>749</v>
      </c>
      <c r="G108" s="32" t="s">
        <v>750</v>
      </c>
      <c r="H108" s="1620" t="s">
        <v>306</v>
      </c>
      <c r="I108" s="43" t="s">
        <v>307</v>
      </c>
      <c r="J108" s="43" t="s">
        <v>308</v>
      </c>
      <c r="K108" s="43"/>
      <c r="L108" s="43"/>
      <c r="M108" s="43"/>
      <c r="N108" s="1621"/>
      <c r="O108" s="1620" t="s">
        <v>306</v>
      </c>
      <c r="P108" s="43" t="s">
        <v>307</v>
      </c>
      <c r="Q108" s="1621" t="s">
        <v>308</v>
      </c>
      <c r="R108" s="1620" t="s">
        <v>306</v>
      </c>
      <c r="S108" s="43" t="s">
        <v>307</v>
      </c>
      <c r="T108" s="1621" t="s">
        <v>308</v>
      </c>
      <c r="U108" s="818"/>
      <c r="V108" s="955" t="s">
        <v>928</v>
      </c>
      <c r="W108" s="1391" t="s">
        <v>734</v>
      </c>
      <c r="X108" s="955" t="s">
        <v>928</v>
      </c>
      <c r="Y108" s="1395" t="s">
        <v>733</v>
      </c>
      <c r="Z108" s="955" t="s">
        <v>928</v>
      </c>
      <c r="AA108" s="1399" t="s">
        <v>735</v>
      </c>
      <c r="AC108" s="970"/>
      <c r="AD108" s="971"/>
      <c r="AE108" s="970"/>
      <c r="AF108" s="971"/>
      <c r="AG108" s="970"/>
      <c r="AH108" s="971"/>
      <c r="AI108" s="10"/>
      <c r="AJ108" s="10"/>
      <c r="AK108" s="10"/>
    </row>
    <row r="109" spans="1:37" ht="34" x14ac:dyDescent="0.3">
      <c r="A109" s="1519"/>
      <c r="B109" s="414" t="str">
        <f>'CPTS indépendants'!G17</f>
        <v>PFA26</v>
      </c>
      <c r="C109" s="26" t="str">
        <f>Test_Bible!B216</f>
        <v>L’autre parent considère que son nouveau ou nouvelle conjoint·e est un meilleur parent que vous.</v>
      </c>
      <c r="D109" s="101"/>
      <c r="E109" s="790">
        <f>Test_Bible!P216</f>
        <v>1</v>
      </c>
      <c r="F109" s="789">
        <f>Test_Bible!D216</f>
        <v>2</v>
      </c>
      <c r="G109" s="790">
        <f>E109*F109</f>
        <v>2</v>
      </c>
      <c r="H109" s="1622">
        <v>7</v>
      </c>
      <c r="I109" s="1615">
        <v>10</v>
      </c>
      <c r="J109" s="45" t="b">
        <f>IF(AND(E109&gt;=H109,E109&lt;=I109),TRUE,FALSE)</f>
        <v>0</v>
      </c>
      <c r="K109" s="45"/>
      <c r="L109" s="45"/>
      <c r="M109" s="45"/>
      <c r="N109" s="1623"/>
      <c r="O109" s="1647">
        <v>11</v>
      </c>
      <c r="P109" s="1648">
        <v>11</v>
      </c>
      <c r="Q109" s="1623" t="b">
        <f>IF(AND(E109&gt;=O109,E109&lt;=P109),TRUE,FALSE)</f>
        <v>0</v>
      </c>
      <c r="R109" s="1622">
        <v>4</v>
      </c>
      <c r="S109" s="1615">
        <v>10</v>
      </c>
      <c r="T109" s="1623" t="b">
        <f>IF(AND(E109&gt;=R109,E109&lt;=S109),TRUE,FALSE)</f>
        <v>0</v>
      </c>
      <c r="U109" s="931"/>
      <c r="V109" s="1403"/>
      <c r="W109" s="1404">
        <v>7</v>
      </c>
      <c r="X109" s="1405"/>
      <c r="Y109" s="1424">
        <v>11</v>
      </c>
      <c r="Z109" s="1405"/>
      <c r="AA109" s="1415">
        <v>4</v>
      </c>
      <c r="AC109" s="958"/>
      <c r="AD109" s="959"/>
      <c r="AE109" s="958"/>
      <c r="AF109" s="959"/>
      <c r="AG109" s="958"/>
      <c r="AH109" s="959"/>
      <c r="AI109" s="10"/>
      <c r="AJ109" s="10"/>
      <c r="AK109" s="10"/>
    </row>
    <row r="110" spans="1:37" ht="26" x14ac:dyDescent="0.3">
      <c r="A110" s="1519"/>
      <c r="B110" s="414"/>
      <c r="C110" s="26"/>
      <c r="D110" s="101"/>
      <c r="E110" s="790"/>
      <c r="F110" s="789"/>
      <c r="G110" s="790"/>
      <c r="H110" s="1647">
        <v>11</v>
      </c>
      <c r="I110" s="1648">
        <v>11</v>
      </c>
      <c r="J110" s="45" t="b">
        <f>IF(AND(E110&gt;=H110,E110&lt;=I110),TRUE,FALSE)</f>
        <v>0</v>
      </c>
      <c r="K110" s="45"/>
      <c r="L110" s="45"/>
      <c r="M110" s="45"/>
      <c r="N110" s="1623"/>
      <c r="O110" s="1647">
        <v>11</v>
      </c>
      <c r="P110" s="1648">
        <v>11</v>
      </c>
      <c r="Q110" s="1623" t="b">
        <f>IF(AND(E110&gt;=O110,E110&lt;=P110),TRUE,FALSE)</f>
        <v>0</v>
      </c>
      <c r="R110" s="1647">
        <v>11</v>
      </c>
      <c r="S110" s="1648">
        <v>11</v>
      </c>
      <c r="T110" s="1623" t="b">
        <f>IF(AND(E110&gt;=R110,E110&lt;=S110),TRUE,FALSE)</f>
        <v>0</v>
      </c>
      <c r="U110" s="931"/>
      <c r="V110" s="1406" t="s">
        <v>943</v>
      </c>
      <c r="W110" s="1425">
        <v>11</v>
      </c>
      <c r="X110" s="1426"/>
      <c r="Y110" s="1427">
        <v>11</v>
      </c>
      <c r="Z110" s="1426"/>
      <c r="AA110" s="1421">
        <v>11</v>
      </c>
      <c r="AC110" s="960"/>
      <c r="AD110" s="961"/>
      <c r="AE110" s="960"/>
      <c r="AF110" s="961"/>
      <c r="AG110" s="960"/>
      <c r="AH110" s="961"/>
      <c r="AI110" s="10"/>
      <c r="AJ110" s="10"/>
      <c r="AK110" s="10"/>
    </row>
    <row r="111" spans="1:37" ht="26" x14ac:dyDescent="0.3">
      <c r="A111" s="1519"/>
      <c r="B111" s="792" t="s">
        <v>745</v>
      </c>
      <c r="C111" s="793"/>
      <c r="D111" s="794"/>
      <c r="E111" s="795"/>
      <c r="F111" s="795"/>
      <c r="G111" s="795"/>
      <c r="H111" s="1624"/>
      <c r="I111" s="796"/>
      <c r="J111" s="797" t="b">
        <f>IF(AND(J109=FALSE,J110=FALSE),FALSE,TRUE)</f>
        <v>0</v>
      </c>
      <c r="K111" s="45"/>
      <c r="L111" s="45"/>
      <c r="M111" s="45"/>
      <c r="N111" s="1623"/>
      <c r="O111" s="1624"/>
      <c r="P111" s="796"/>
      <c r="Q111" s="1637" t="b">
        <f>IF(AND(Q109=FALSE,Q110=FALSE),FALSE,TRUE)</f>
        <v>0</v>
      </c>
      <c r="R111" s="1624"/>
      <c r="S111" s="796"/>
      <c r="T111" s="1637" t="b">
        <f>IF(AND(T109=FALSE,T110=FALSE),FALSE,TRUE)</f>
        <v>0</v>
      </c>
      <c r="U111" s="931"/>
      <c r="V111" s="931" t="s">
        <v>943</v>
      </c>
      <c r="W111" s="1392"/>
      <c r="X111" s="8"/>
      <c r="Y111" s="1397"/>
      <c r="Z111" s="8"/>
      <c r="AA111" s="1400"/>
      <c r="AC111" s="960"/>
      <c r="AD111" s="961"/>
      <c r="AE111" s="960"/>
      <c r="AF111" s="961"/>
      <c r="AG111" s="960"/>
      <c r="AH111" s="961"/>
      <c r="AI111" s="10"/>
      <c r="AJ111" s="10"/>
      <c r="AK111" s="10"/>
    </row>
    <row r="112" spans="1:37" ht="34" x14ac:dyDescent="0.3">
      <c r="A112" s="1519"/>
      <c r="B112" s="52" t="str">
        <f>'CPTS indépendants'!K17</f>
        <v>NC15</v>
      </c>
      <c r="C112" s="26" t="str">
        <f>Test_Bible!B425</f>
        <v>Dans quelle mesure diriez-vous que votre relation avec votre enfant est fragilisée depuis l'arrivée du nouveau ou nouvelle conjoint·e ?</v>
      </c>
      <c r="D112" s="101"/>
      <c r="E112" s="790">
        <f>Test_Bible!P425</f>
        <v>0</v>
      </c>
      <c r="F112" s="789">
        <f>Test_Bible!D425</f>
        <v>2</v>
      </c>
      <c r="G112" s="790">
        <f>E112*F112</f>
        <v>0</v>
      </c>
      <c r="H112" s="1622">
        <v>7</v>
      </c>
      <c r="I112" s="1615">
        <v>10</v>
      </c>
      <c r="J112" s="45" t="b">
        <f>IF(AND(E112&gt;=H112,E112&lt;=I112),TRUE,FALSE)</f>
        <v>0</v>
      </c>
      <c r="K112" s="45"/>
      <c r="L112" s="45"/>
      <c r="M112" s="45"/>
      <c r="N112" s="1623"/>
      <c r="O112" s="1647">
        <v>11</v>
      </c>
      <c r="P112" s="1648">
        <v>11</v>
      </c>
      <c r="Q112" s="1623" t="b">
        <f>IF(AND(E112&gt;=O112,E112&lt;=P112),TRUE,FALSE)</f>
        <v>0</v>
      </c>
      <c r="R112" s="1622">
        <v>4</v>
      </c>
      <c r="S112" s="1615">
        <v>10</v>
      </c>
      <c r="T112" s="1623" t="b">
        <f>IF(AND(E112&gt;=R112,E112&lt;=S112),TRUE,FALSE)</f>
        <v>0</v>
      </c>
      <c r="U112" s="931"/>
      <c r="V112" s="1403"/>
      <c r="W112" s="1404">
        <v>7</v>
      </c>
      <c r="X112" s="1405"/>
      <c r="Y112" s="1424">
        <v>11</v>
      </c>
      <c r="Z112" s="1405"/>
      <c r="AA112" s="1415">
        <v>4</v>
      </c>
      <c r="AC112" s="960"/>
      <c r="AD112" s="961"/>
      <c r="AE112" s="960"/>
      <c r="AF112" s="961"/>
      <c r="AG112" s="960"/>
      <c r="AH112" s="961"/>
      <c r="AI112" s="10"/>
      <c r="AJ112" s="10"/>
      <c r="AK112" s="10"/>
    </row>
    <row r="113" spans="1:37" ht="26" x14ac:dyDescent="0.3">
      <c r="A113" s="1519"/>
      <c r="B113" s="52"/>
      <c r="C113" s="26"/>
      <c r="D113" s="62"/>
      <c r="E113" s="35"/>
      <c r="F113" s="35"/>
      <c r="G113" s="35"/>
      <c r="H113" s="1647">
        <v>11</v>
      </c>
      <c r="I113" s="1648">
        <v>11</v>
      </c>
      <c r="J113" s="45" t="b">
        <f>IF(AND(E113&gt;=H113,E113&lt;=I113),TRUE,FALSE)</f>
        <v>0</v>
      </c>
      <c r="K113" s="45"/>
      <c r="L113" s="45"/>
      <c r="M113" s="45"/>
      <c r="N113" s="1623"/>
      <c r="O113" s="1647">
        <v>11</v>
      </c>
      <c r="P113" s="1648">
        <v>11</v>
      </c>
      <c r="Q113" s="1623" t="b">
        <f>IF(AND(E113&gt;=O113,E113&lt;=P113),TRUE,FALSE)</f>
        <v>0</v>
      </c>
      <c r="R113" s="1647">
        <v>11</v>
      </c>
      <c r="S113" s="1648">
        <v>11</v>
      </c>
      <c r="T113" s="1623" t="b">
        <f>IF(AND(E113&gt;=R113,E113&lt;=S113),TRUE,FALSE)</f>
        <v>0</v>
      </c>
      <c r="U113" s="931"/>
      <c r="V113" s="1406" t="s">
        <v>943</v>
      </c>
      <c r="W113" s="1425">
        <v>11</v>
      </c>
      <c r="X113" s="1426"/>
      <c r="Y113" s="1427">
        <v>11</v>
      </c>
      <c r="Z113" s="1426"/>
      <c r="AA113" s="1421">
        <v>11</v>
      </c>
      <c r="AC113" s="960"/>
      <c r="AD113" s="961"/>
      <c r="AE113" s="960"/>
      <c r="AF113" s="961"/>
      <c r="AG113" s="960"/>
      <c r="AH113" s="961"/>
      <c r="AI113" s="10"/>
      <c r="AJ113" s="10"/>
      <c r="AK113" s="10"/>
    </row>
    <row r="114" spans="1:37" ht="27" thickBot="1" x14ac:dyDescent="0.35">
      <c r="A114" s="1519"/>
      <c r="B114" s="798"/>
      <c r="C114" s="799"/>
      <c r="D114" s="800"/>
      <c r="E114" s="801"/>
      <c r="F114" s="801"/>
      <c r="G114" s="801"/>
      <c r="H114" s="1625"/>
      <c r="I114" s="802"/>
      <c r="J114" s="803" t="b">
        <f>IF(AND(J112=FALSE,J113=FALSE),FALSE,TRUE)</f>
        <v>0</v>
      </c>
      <c r="K114" s="45"/>
      <c r="L114" s="45"/>
      <c r="M114" s="45"/>
      <c r="N114" s="1623"/>
      <c r="O114" s="1625"/>
      <c r="P114" s="802"/>
      <c r="Q114" s="1638" t="b">
        <f>IF(AND(Q112=FALSE,Q113=FALSE),FALSE,TRUE)</f>
        <v>0</v>
      </c>
      <c r="R114" s="1625"/>
      <c r="S114" s="802"/>
      <c r="T114" s="1638" t="b">
        <f>IF(AND(T112=FALSE,T113=FALSE),FALSE,TRUE)</f>
        <v>0</v>
      </c>
      <c r="U114" s="931"/>
      <c r="V114" s="931"/>
      <c r="W114" s="1392"/>
      <c r="X114" s="8"/>
      <c r="Y114" s="1397"/>
      <c r="Z114" s="8"/>
      <c r="AA114" s="1400"/>
      <c r="AC114" s="960"/>
      <c r="AD114" s="961"/>
      <c r="AE114" s="960"/>
      <c r="AF114" s="961"/>
      <c r="AG114" s="960"/>
      <c r="AH114" s="961"/>
      <c r="AI114" s="10"/>
      <c r="AJ114" s="10"/>
      <c r="AK114" s="10"/>
    </row>
    <row r="115" spans="1:37" ht="27" thickBot="1" x14ac:dyDescent="0.35">
      <c r="A115" s="1519"/>
      <c r="B115" s="804"/>
      <c r="C115" s="805"/>
      <c r="D115" s="805"/>
      <c r="E115" s="806"/>
      <c r="F115" s="806"/>
      <c r="G115" s="806"/>
      <c r="H115" s="1626"/>
      <c r="I115" s="807"/>
      <c r="J115" s="808" t="b">
        <f>IF(AND(J111=FALSE,J114=FALSE),FALSE,TRUE)</f>
        <v>0</v>
      </c>
      <c r="K115" s="1610"/>
      <c r="L115" s="1610"/>
      <c r="M115" s="1610"/>
      <c r="N115" s="1627"/>
      <c r="O115" s="1626"/>
      <c r="P115" s="807"/>
      <c r="Q115" s="808" t="b">
        <f>IF(AND(Q111=FALSE,Q114=FALSE),FALSE,TRUE)</f>
        <v>0</v>
      </c>
      <c r="R115" s="1626"/>
      <c r="S115" s="807"/>
      <c r="T115" s="808" t="b">
        <f>IF(AND(T111=FALSE,T114=FALSE),FALSE,TRUE)</f>
        <v>0</v>
      </c>
      <c r="U115" s="931"/>
      <c r="V115" s="931" t="s">
        <v>942</v>
      </c>
      <c r="W115" s="1392"/>
      <c r="X115" s="8"/>
      <c r="Y115" s="1397"/>
      <c r="Z115" s="8"/>
      <c r="AA115" s="1400"/>
      <c r="AC115" s="960"/>
      <c r="AD115" s="961"/>
      <c r="AE115" s="960"/>
      <c r="AF115" s="961"/>
      <c r="AG115" s="960"/>
      <c r="AH115" s="961"/>
      <c r="AI115" s="10" t="str">
        <f>IF(OR(AC115="V",AE115="V"),IF(G114&gt;G111,"Le NC contribue plus que le coparent","Le coparent joue un plus grand rôle que le NC"),"pas de contexte significatif de la part du coparent et NC")</f>
        <v>pas de contexte significatif de la part du coparent et NC</v>
      </c>
      <c r="AJ115" s="10"/>
      <c r="AK115" s="10"/>
    </row>
    <row r="116" spans="1:37" ht="26" x14ac:dyDescent="0.3">
      <c r="A116" s="1519"/>
      <c r="B116" s="313"/>
      <c r="C116" s="26"/>
      <c r="D116" s="101"/>
      <c r="E116" s="790"/>
      <c r="F116" s="789"/>
      <c r="G116" s="790"/>
      <c r="H116" s="1647">
        <v>11</v>
      </c>
      <c r="I116" s="1648">
        <v>11</v>
      </c>
      <c r="J116" s="45" t="b">
        <f>IF(AND(E116&gt;=H116,E116&lt;=I116),TRUE,FALSE)</f>
        <v>0</v>
      </c>
      <c r="K116" s="45"/>
      <c r="L116" s="45"/>
      <c r="M116" s="45"/>
      <c r="N116" s="1623"/>
      <c r="O116" s="1647">
        <v>11</v>
      </c>
      <c r="P116" s="1648">
        <v>11</v>
      </c>
      <c r="Q116" s="1623" t="b">
        <f>IF(AND(E116&gt;=O116,E116&lt;=P116),TRUE,FALSE)</f>
        <v>0</v>
      </c>
      <c r="R116" s="1622"/>
      <c r="S116" s="1615"/>
      <c r="T116" s="1623"/>
      <c r="U116" s="931"/>
      <c r="V116" s="1403"/>
      <c r="W116" s="1422">
        <v>11</v>
      </c>
      <c r="X116" s="1423"/>
      <c r="Y116" s="1424">
        <v>11</v>
      </c>
      <c r="Z116" s="1423"/>
      <c r="AA116" s="1416">
        <v>11</v>
      </c>
      <c r="AC116" s="960"/>
      <c r="AD116" s="961"/>
      <c r="AE116" s="960"/>
      <c r="AF116" s="961"/>
      <c r="AG116" s="960"/>
      <c r="AH116" s="961"/>
      <c r="AI116" s="10"/>
      <c r="AJ116" s="10"/>
      <c r="AK116" s="10"/>
    </row>
    <row r="117" spans="1:37" ht="27" thickBot="1" x14ac:dyDescent="0.35">
      <c r="A117" s="1519"/>
      <c r="B117" s="313"/>
      <c r="C117" s="26"/>
      <c r="D117" s="101"/>
      <c r="E117" s="790"/>
      <c r="F117" s="789"/>
      <c r="G117" s="790"/>
      <c r="H117" s="1647">
        <v>11</v>
      </c>
      <c r="I117" s="1648">
        <v>11</v>
      </c>
      <c r="J117" s="45" t="b">
        <f>IF(AND(E117&gt;=H117,E117&lt;=I117),TRUE,FALSE)</f>
        <v>0</v>
      </c>
      <c r="K117" s="45"/>
      <c r="L117" s="45"/>
      <c r="M117" s="45"/>
      <c r="N117" s="1623"/>
      <c r="O117" s="1647">
        <v>11</v>
      </c>
      <c r="P117" s="1648">
        <v>11</v>
      </c>
      <c r="Q117" s="1623" t="b">
        <f>IF(AND(E117&gt;=O117,E117&lt;=P117),TRUE,FALSE)</f>
        <v>0</v>
      </c>
      <c r="R117" s="1647"/>
      <c r="S117" s="1648"/>
      <c r="T117" s="1623"/>
      <c r="U117" s="931"/>
      <c r="V117" s="1406" t="s">
        <v>943</v>
      </c>
      <c r="W117" s="1425">
        <v>11</v>
      </c>
      <c r="X117" s="1426"/>
      <c r="Y117" s="1427">
        <v>11</v>
      </c>
      <c r="Z117" s="1426"/>
      <c r="AA117" s="1421">
        <v>11</v>
      </c>
      <c r="AC117" s="960"/>
      <c r="AD117" s="961"/>
      <c r="AE117" s="960"/>
      <c r="AF117" s="961"/>
      <c r="AG117" s="960"/>
      <c r="AH117" s="961"/>
      <c r="AI117" s="10"/>
      <c r="AJ117" s="10"/>
      <c r="AK117" s="10"/>
    </row>
    <row r="118" spans="1:37" ht="27" thickBot="1" x14ac:dyDescent="0.35">
      <c r="A118" s="1519"/>
      <c r="B118" s="809"/>
      <c r="C118" s="810"/>
      <c r="D118" s="810"/>
      <c r="E118" s="811"/>
      <c r="F118" s="811"/>
      <c r="G118" s="811"/>
      <c r="H118" s="1628"/>
      <c r="I118" s="812"/>
      <c r="J118" s="813" t="b">
        <f>IF(AND(J116=FALSE,J117=FALSE),FALSE,TRUE)</f>
        <v>0</v>
      </c>
      <c r="K118" s="1611"/>
      <c r="L118" s="1611"/>
      <c r="M118" s="1611"/>
      <c r="N118" s="1629"/>
      <c r="O118" s="1628"/>
      <c r="P118" s="812"/>
      <c r="Q118" s="813" t="b">
        <f>IF(AND(Q116=FALSE,Q117=FALSE),FALSE,TRUE)</f>
        <v>0</v>
      </c>
      <c r="R118" s="1628"/>
      <c r="S118" s="812"/>
      <c r="T118" s="813"/>
      <c r="U118" s="931"/>
      <c r="V118" s="931"/>
      <c r="W118" s="1394"/>
      <c r="Y118" s="1398"/>
      <c r="AA118" s="1402"/>
      <c r="AC118" s="960"/>
      <c r="AD118" s="961"/>
      <c r="AE118" s="960"/>
      <c r="AF118" s="961"/>
      <c r="AG118" s="960"/>
      <c r="AH118" s="961"/>
      <c r="AI118" s="10"/>
      <c r="AJ118" s="10"/>
      <c r="AK118" s="10"/>
    </row>
    <row r="119" spans="1:37" ht="26" x14ac:dyDescent="0.3">
      <c r="A119" s="1519"/>
      <c r="C119" s="421"/>
      <c r="D119" s="785"/>
      <c r="E119" s="474"/>
      <c r="F119" s="47"/>
      <c r="G119" s="47"/>
      <c r="H119" s="1630"/>
      <c r="I119" s="475"/>
      <c r="J119" s="1613"/>
      <c r="K119" s="1614" t="str">
        <f>IF(AND(J118=TRUE,J115=TRUE),D118,"")</f>
        <v/>
      </c>
      <c r="L119" s="1614"/>
      <c r="M119" s="1614" t="str">
        <f>IF(AND(J115=FALSE,J118=TRUE),D118&amp;" sans signe de la participation du parent favorisé et|ou nouveau conjoint.e","")</f>
        <v/>
      </c>
      <c r="N119" s="1631"/>
      <c r="O119" s="1630"/>
      <c r="P119" s="475"/>
      <c r="Q119" s="1639"/>
      <c r="R119" s="1630"/>
      <c r="S119" s="475"/>
      <c r="T119" s="1639"/>
      <c r="U119" s="1664"/>
      <c r="V119" s="170"/>
      <c r="W119" s="1394"/>
      <c r="Y119" s="1398"/>
      <c r="AA119" s="1402"/>
      <c r="AC119" s="962"/>
      <c r="AD119" s="963"/>
      <c r="AE119" s="962"/>
      <c r="AF119" s="963"/>
      <c r="AG119" s="962"/>
      <c r="AH119" s="963"/>
      <c r="AI119" s="10"/>
      <c r="AJ119" s="10"/>
      <c r="AK119" s="10"/>
    </row>
    <row r="120" spans="1:37" ht="26" x14ac:dyDescent="0.3">
      <c r="A120" s="1519"/>
      <c r="B120" t="s">
        <v>243</v>
      </c>
      <c r="H120" s="146"/>
      <c r="K120" s="46"/>
      <c r="L120" s="46"/>
      <c r="M120" s="46"/>
      <c r="N120" s="1652"/>
      <c r="O120" s="146"/>
      <c r="Q120" s="326"/>
      <c r="R120" s="146"/>
      <c r="T120" s="326"/>
      <c r="W120" s="1394"/>
      <c r="Y120" s="1398"/>
      <c r="AA120" s="1402"/>
      <c r="AC120" s="960"/>
      <c r="AD120" s="961"/>
      <c r="AE120" s="960"/>
      <c r="AF120" s="961"/>
      <c r="AG120" s="960"/>
      <c r="AH120" s="961"/>
      <c r="AI120" s="10"/>
      <c r="AJ120" s="10"/>
      <c r="AK120" s="10"/>
    </row>
    <row r="121" spans="1:37" ht="26" x14ac:dyDescent="0.3">
      <c r="A121" s="1519"/>
      <c r="B121" s="964"/>
      <c r="C121" s="972"/>
      <c r="D121" s="965"/>
      <c r="E121" s="973"/>
      <c r="F121" s="973"/>
      <c r="G121" s="973"/>
      <c r="H121" s="1647">
        <v>11</v>
      </c>
      <c r="I121" s="1648">
        <v>11</v>
      </c>
      <c r="J121" s="45" t="b">
        <f>IF(AND(E121&gt;=H121,E121&lt;=I121),TRUE,FALSE)</f>
        <v>0</v>
      </c>
      <c r="K121" s="32"/>
      <c r="L121" s="32"/>
      <c r="M121" s="32"/>
      <c r="N121" s="1632"/>
      <c r="O121" s="1647">
        <v>11</v>
      </c>
      <c r="P121" s="1648">
        <v>11</v>
      </c>
      <c r="Q121" s="1623" t="b">
        <f>IF(AND(E121&gt;=O121,E121&lt;=P121),TRUE,FALSE)</f>
        <v>0</v>
      </c>
      <c r="R121" s="1647">
        <v>11</v>
      </c>
      <c r="S121" s="1648">
        <v>11</v>
      </c>
      <c r="T121" s="1623" t="b">
        <f>IF(AND(E121&gt;=R121,E121&lt;=S121),TRUE,FALSE)</f>
        <v>0</v>
      </c>
      <c r="U121" s="931"/>
      <c r="V121" s="1428"/>
      <c r="W121" s="1422">
        <v>11</v>
      </c>
      <c r="X121" s="1423"/>
      <c r="Y121" s="1424">
        <v>11</v>
      </c>
      <c r="Z121" s="1423"/>
      <c r="AA121" s="1416">
        <v>11</v>
      </c>
      <c r="AC121" s="960"/>
      <c r="AD121" s="961"/>
      <c r="AE121" s="960"/>
      <c r="AF121" s="961"/>
      <c r="AG121" s="960"/>
      <c r="AH121" s="961"/>
      <c r="AI121" s="10"/>
      <c r="AJ121" s="10"/>
      <c r="AK121" s="10"/>
    </row>
    <row r="122" spans="1:37" ht="27" thickBot="1" x14ac:dyDescent="0.35">
      <c r="A122" s="1519"/>
      <c r="B122" s="964"/>
      <c r="C122" s="972"/>
      <c r="D122" s="965"/>
      <c r="E122" s="973"/>
      <c r="F122" s="973"/>
      <c r="G122" s="973"/>
      <c r="H122" s="1647">
        <v>11</v>
      </c>
      <c r="I122" s="1648">
        <v>11</v>
      </c>
      <c r="J122" s="45" t="b">
        <f>IF(AND(E122&gt;=H122,E122&lt;=I122),TRUE,FALSE)</f>
        <v>0</v>
      </c>
      <c r="K122" s="32"/>
      <c r="L122" s="32"/>
      <c r="M122" s="32"/>
      <c r="N122" s="1632"/>
      <c r="O122" s="1647">
        <v>11</v>
      </c>
      <c r="P122" s="1648">
        <v>11</v>
      </c>
      <c r="Q122" s="1623" t="b">
        <f>IF(AND(E122&gt;=O122,E122&lt;=P122),TRUE,FALSE)</f>
        <v>0</v>
      </c>
      <c r="R122" s="1647">
        <v>11</v>
      </c>
      <c r="S122" s="1648">
        <v>11</v>
      </c>
      <c r="T122" s="1623" t="b">
        <f>IF(AND(E122&gt;=R122,E122&lt;=S122),TRUE,FALSE)</f>
        <v>0</v>
      </c>
      <c r="U122" s="931"/>
      <c r="V122" s="1429"/>
      <c r="W122" s="1425">
        <v>11</v>
      </c>
      <c r="X122" s="1426"/>
      <c r="Y122" s="1427">
        <v>11</v>
      </c>
      <c r="Z122" s="1426"/>
      <c r="AA122" s="1421">
        <v>11</v>
      </c>
      <c r="AC122" s="960"/>
      <c r="AD122" s="961"/>
      <c r="AE122" s="960"/>
      <c r="AF122" s="961"/>
      <c r="AG122" s="960"/>
      <c r="AH122" s="961"/>
      <c r="AI122" s="10"/>
      <c r="AJ122" s="10"/>
      <c r="AK122" s="10"/>
    </row>
    <row r="123" spans="1:37" ht="27" thickBot="1" x14ac:dyDescent="0.35">
      <c r="A123" s="657"/>
      <c r="C123" s="16"/>
      <c r="D123" s="16"/>
      <c r="E123" s="89"/>
      <c r="F123" s="473"/>
      <c r="G123" s="473"/>
      <c r="H123" s="1644"/>
      <c r="I123" s="1645"/>
      <c r="J123" s="1651" t="b">
        <f>IF(AND(J121=FALSE,J122=FALSE),FALSE,TRUE)</f>
        <v>0</v>
      </c>
      <c r="K123" s="1633"/>
      <c r="L123" s="1634"/>
      <c r="M123" s="1634"/>
      <c r="N123" s="1635"/>
      <c r="O123" s="1644"/>
      <c r="P123" s="1645"/>
      <c r="Q123" s="1651" t="b">
        <f>IF(AND(Q121=FALSE,Q122=FALSE),FALSE,TRUE)</f>
        <v>0</v>
      </c>
      <c r="R123" s="1656"/>
      <c r="S123" s="1657"/>
      <c r="T123" s="1658" t="b">
        <f>IF(AND(T121=FALSE,T122=FALSE),FALSE,TRUE)</f>
        <v>0</v>
      </c>
      <c r="U123" s="932"/>
      <c r="AC123" s="1564"/>
      <c r="AD123" s="1565"/>
      <c r="AE123" s="1564"/>
      <c r="AF123" s="1565"/>
      <c r="AG123" s="1564"/>
      <c r="AH123" s="1565"/>
      <c r="AI123" s="10"/>
      <c r="AJ123" s="10"/>
      <c r="AK123" s="10"/>
    </row>
    <row r="124" spans="1:37" ht="26" x14ac:dyDescent="0.3">
      <c r="A124" s="657"/>
      <c r="C124" s="16"/>
      <c r="D124" s="16"/>
      <c r="E124" s="89"/>
      <c r="F124" s="473"/>
      <c r="G124" s="473"/>
      <c r="H124" s="8"/>
      <c r="I124" s="8"/>
      <c r="J124" s="80"/>
      <c r="K124" s="80"/>
      <c r="L124" s="80"/>
      <c r="M124" s="80"/>
      <c r="N124" s="80"/>
      <c r="O124" s="80"/>
      <c r="P124" s="80"/>
      <c r="Q124" s="80"/>
      <c r="R124" s="80"/>
      <c r="S124" s="80"/>
      <c r="T124" s="80"/>
      <c r="U124" s="80"/>
      <c r="AC124" s="1649"/>
      <c r="AD124" s="1650"/>
      <c r="AE124" s="1649"/>
      <c r="AF124" s="1650"/>
      <c r="AG124" s="1649"/>
      <c r="AH124" s="1650"/>
      <c r="AI124" s="10"/>
      <c r="AJ124" s="10"/>
      <c r="AK124" s="10"/>
    </row>
    <row r="125" spans="1:37" ht="26" x14ac:dyDescent="0.3">
      <c r="A125" s="657"/>
      <c r="C125" s="16"/>
      <c r="D125" s="16"/>
      <c r="E125" s="89"/>
      <c r="F125" s="473"/>
      <c r="G125" s="473"/>
      <c r="H125" s="8"/>
      <c r="I125" s="8"/>
      <c r="J125" s="80"/>
      <c r="K125" s="80"/>
      <c r="L125" s="80"/>
      <c r="M125" s="80"/>
      <c r="N125" s="80"/>
      <c r="O125" s="80"/>
      <c r="P125" s="80"/>
      <c r="Q125" s="80"/>
      <c r="R125" s="80"/>
      <c r="S125" s="80"/>
      <c r="T125" s="80"/>
      <c r="U125" s="80"/>
      <c r="AC125" s="1668" t="s">
        <v>1388</v>
      </c>
      <c r="AD125" s="1669">
        <f>IF(AF124=1,AD124*(1+$AH$28),AD124)</f>
        <v>0</v>
      </c>
      <c r="AI125" s="10"/>
      <c r="AJ125" s="10"/>
      <c r="AK125" s="10"/>
    </row>
    <row r="126" spans="1:37" ht="26" x14ac:dyDescent="0.3">
      <c r="A126" s="1518">
        <v>7</v>
      </c>
      <c r="C126" s="476" t="str">
        <f>'CPTS indépendants'!F19</f>
        <v>Exclusion parentale</v>
      </c>
      <c r="D126" s="107"/>
      <c r="E126" s="65"/>
      <c r="F126" s="18"/>
      <c r="G126" s="18"/>
      <c r="H126" s="2255" t="s">
        <v>734</v>
      </c>
      <c r="I126" s="2256"/>
      <c r="J126" s="2256"/>
      <c r="K126" s="2257" t="s">
        <v>1378</v>
      </c>
      <c r="L126" s="2257"/>
      <c r="M126" s="2257"/>
      <c r="N126" s="2258"/>
      <c r="O126" s="2259" t="s">
        <v>733</v>
      </c>
      <c r="P126" s="2260"/>
      <c r="Q126" s="2261"/>
      <c r="R126" s="2262" t="s">
        <v>735</v>
      </c>
      <c r="S126" s="2263"/>
      <c r="T126" s="2264"/>
      <c r="U126" s="15"/>
      <c r="V126" s="170"/>
      <c r="AC126" s="956"/>
      <c r="AD126" s="956"/>
      <c r="AE126" s="956"/>
      <c r="AF126" s="956"/>
      <c r="AG126" s="956"/>
      <c r="AH126" s="957"/>
      <c r="AI126" s="10"/>
      <c r="AJ126" s="10"/>
      <c r="AK126" s="10"/>
    </row>
    <row r="127" spans="1:37" ht="68" x14ac:dyDescent="0.3">
      <c r="A127" s="1519"/>
      <c r="C127" s="102" t="s">
        <v>998</v>
      </c>
      <c r="D127" s="983"/>
      <c r="E127" s="32" t="s">
        <v>748</v>
      </c>
      <c r="F127" s="32" t="s">
        <v>749</v>
      </c>
      <c r="G127" s="32" t="s">
        <v>750</v>
      </c>
      <c r="H127" s="1620" t="s">
        <v>306</v>
      </c>
      <c r="I127" s="43" t="s">
        <v>307</v>
      </c>
      <c r="J127" s="43" t="s">
        <v>308</v>
      </c>
      <c r="K127" s="43"/>
      <c r="L127" s="43"/>
      <c r="M127" s="43"/>
      <c r="N127" s="1621"/>
      <c r="O127" s="1620" t="s">
        <v>306</v>
      </c>
      <c r="P127" s="43" t="s">
        <v>307</v>
      </c>
      <c r="Q127" s="1621" t="s">
        <v>308</v>
      </c>
      <c r="R127" s="1620" t="s">
        <v>306</v>
      </c>
      <c r="S127" s="43" t="s">
        <v>307</v>
      </c>
      <c r="T127" s="1621" t="s">
        <v>308</v>
      </c>
      <c r="U127" s="818"/>
      <c r="V127" s="955" t="s">
        <v>928</v>
      </c>
      <c r="W127" s="1391" t="s">
        <v>734</v>
      </c>
      <c r="X127" s="955" t="s">
        <v>928</v>
      </c>
      <c r="Y127" s="1395" t="s">
        <v>733</v>
      </c>
      <c r="Z127" s="955" t="s">
        <v>928</v>
      </c>
      <c r="AA127" s="1399" t="s">
        <v>735</v>
      </c>
      <c r="AC127" s="970"/>
      <c r="AD127" s="971"/>
      <c r="AE127" s="970"/>
      <c r="AF127" s="971"/>
      <c r="AG127" s="970"/>
      <c r="AH127" s="971"/>
      <c r="AI127" s="10"/>
      <c r="AJ127" s="10"/>
      <c r="AK127" s="10"/>
    </row>
    <row r="128" spans="1:37" ht="26" x14ac:dyDescent="0.3">
      <c r="A128" s="1519"/>
      <c r="B128" s="414" t="str">
        <f>'CPTS indépendants'!G19</f>
        <v>PFA30a</v>
      </c>
      <c r="C128" s="26" t="str">
        <f>Test_Bible!B235</f>
        <v/>
      </c>
      <c r="D128" s="101"/>
      <c r="E128" s="790">
        <f>Test_Bible!P235</f>
        <v>0</v>
      </c>
      <c r="F128" s="789">
        <f>Test_Bible!D235</f>
        <v>3</v>
      </c>
      <c r="G128" s="790">
        <f>E128*F128</f>
        <v>0</v>
      </c>
      <c r="H128" s="1622">
        <v>4</v>
      </c>
      <c r="I128" s="1615">
        <v>10</v>
      </c>
      <c r="J128" s="45" t="b">
        <f>IF(AND(E128&gt;=H128,E128&lt;=I128),TRUE,FALSE)</f>
        <v>0</v>
      </c>
      <c r="K128" s="45"/>
      <c r="L128" s="45"/>
      <c r="M128" s="45"/>
      <c r="N128" s="1623"/>
      <c r="O128" s="1647">
        <v>11</v>
      </c>
      <c r="P128" s="1648">
        <v>11</v>
      </c>
      <c r="Q128" s="1623" t="b">
        <f>IF(AND(E128&gt;=O128,E128&lt;=P128),TRUE,FALSE)</f>
        <v>0</v>
      </c>
      <c r="R128" s="1647">
        <v>11</v>
      </c>
      <c r="S128" s="1648">
        <v>11</v>
      </c>
      <c r="T128" s="1623" t="b">
        <f>IF(AND(E128&gt;=R128,E128&lt;=S128),TRUE,FALSE)</f>
        <v>0</v>
      </c>
      <c r="U128" s="931"/>
      <c r="V128" s="1403"/>
      <c r="W128" s="1404">
        <v>4</v>
      </c>
      <c r="X128" s="1405"/>
      <c r="Y128" s="1424">
        <v>11</v>
      </c>
      <c r="Z128" s="1405"/>
      <c r="AA128" s="1416">
        <v>11</v>
      </c>
      <c r="AC128" s="958"/>
      <c r="AD128" s="959"/>
      <c r="AE128" s="958"/>
      <c r="AF128" s="959"/>
      <c r="AG128" s="958"/>
      <c r="AH128" s="959"/>
      <c r="AI128" s="10"/>
      <c r="AJ128" s="10"/>
      <c r="AK128" s="10"/>
    </row>
    <row r="129" spans="1:37" ht="26" x14ac:dyDescent="0.2">
      <c r="A129" s="1521"/>
      <c r="B129" s="414"/>
      <c r="C129" s="26"/>
      <c r="D129" s="101"/>
      <c r="E129" s="790"/>
      <c r="F129" s="789"/>
      <c r="G129" s="790"/>
      <c r="H129" s="1647">
        <v>11</v>
      </c>
      <c r="I129" s="1648">
        <v>11</v>
      </c>
      <c r="J129" s="45" t="b">
        <f>IF(AND(E129&gt;=H129,E129&lt;=I129),TRUE,FALSE)</f>
        <v>0</v>
      </c>
      <c r="K129" s="45"/>
      <c r="L129" s="45"/>
      <c r="M129" s="45"/>
      <c r="N129" s="1623"/>
      <c r="O129" s="1647">
        <v>11</v>
      </c>
      <c r="P129" s="1648">
        <v>11</v>
      </c>
      <c r="Q129" s="1623" t="b">
        <f>IF(AND(E129&gt;=O129,E129&lt;=P129),TRUE,FALSE)</f>
        <v>0</v>
      </c>
      <c r="R129" s="1647">
        <v>11</v>
      </c>
      <c r="S129" s="1648">
        <v>11</v>
      </c>
      <c r="T129" s="1623" t="b">
        <f>IF(AND(E129&gt;=R129,E129&lt;=S129),TRUE,FALSE)</f>
        <v>0</v>
      </c>
      <c r="U129" s="931"/>
      <c r="V129" s="1406" t="s">
        <v>943</v>
      </c>
      <c r="W129" s="1425">
        <v>11</v>
      </c>
      <c r="X129" s="1426"/>
      <c r="Y129" s="1427">
        <v>11</v>
      </c>
      <c r="Z129" s="1426"/>
      <c r="AA129" s="1421">
        <v>11</v>
      </c>
      <c r="AC129" s="960"/>
      <c r="AD129" s="961"/>
      <c r="AE129" s="960"/>
      <c r="AF129" s="961"/>
      <c r="AG129" s="960"/>
      <c r="AH129" s="961"/>
      <c r="AI129" s="10"/>
      <c r="AJ129" s="10"/>
      <c r="AK129" s="10"/>
    </row>
    <row r="130" spans="1:37" ht="26" x14ac:dyDescent="0.2">
      <c r="A130" s="1521"/>
      <c r="B130" s="792"/>
      <c r="C130" s="793"/>
      <c r="D130" s="794"/>
      <c r="E130" s="795"/>
      <c r="F130" s="795"/>
      <c r="G130" s="795"/>
      <c r="H130" s="1624"/>
      <c r="I130" s="796"/>
      <c r="J130" s="797" t="b">
        <f>IF(AND(J128=FALSE,J129=FALSE),FALSE,TRUE)</f>
        <v>0</v>
      </c>
      <c r="K130" s="45"/>
      <c r="L130" s="45"/>
      <c r="M130" s="45"/>
      <c r="N130" s="1623"/>
      <c r="O130" s="1624"/>
      <c r="P130" s="796"/>
      <c r="Q130" s="1637" t="b">
        <f>IF(AND(Q128=FALSE,Q129=FALSE),FALSE,TRUE)</f>
        <v>0</v>
      </c>
      <c r="R130" s="1624"/>
      <c r="S130" s="796"/>
      <c r="T130" s="1637" t="b">
        <f>IF(AND(T128=FALSE,T129=FALSE),FALSE,TRUE)</f>
        <v>0</v>
      </c>
      <c r="U130" s="931"/>
      <c r="V130" s="931" t="s">
        <v>943</v>
      </c>
      <c r="W130" s="1392"/>
      <c r="X130" s="8"/>
      <c r="Y130" s="1397"/>
      <c r="Z130" s="8"/>
      <c r="AA130" s="1400"/>
      <c r="AC130" s="960"/>
      <c r="AD130" s="961"/>
      <c r="AE130" s="960"/>
      <c r="AF130" s="961"/>
      <c r="AG130" s="960"/>
      <c r="AH130" s="961"/>
      <c r="AI130" s="10"/>
      <c r="AJ130" s="10"/>
      <c r="AK130" s="10"/>
    </row>
    <row r="131" spans="1:37" ht="26" x14ac:dyDescent="0.2">
      <c r="A131" s="1521"/>
      <c r="B131" s="52"/>
      <c r="C131" s="26"/>
      <c r="D131" s="101"/>
      <c r="E131" s="790"/>
      <c r="F131" s="789"/>
      <c r="G131" s="790"/>
      <c r="H131" s="1647">
        <v>11</v>
      </c>
      <c r="I131" s="1648">
        <v>11</v>
      </c>
      <c r="J131" s="45" t="b">
        <f>IF(AND(E131&gt;=H131,E131&lt;=I131),TRUE,FALSE)</f>
        <v>0</v>
      </c>
      <c r="K131" s="45"/>
      <c r="L131" s="45"/>
      <c r="M131" s="45"/>
      <c r="N131" s="1623"/>
      <c r="O131" s="1647">
        <v>11</v>
      </c>
      <c r="P131" s="1648">
        <v>11</v>
      </c>
      <c r="Q131" s="1623" t="b">
        <f>IF(AND(E131&gt;=O131,E131&lt;=P131),TRUE,FALSE)</f>
        <v>0</v>
      </c>
      <c r="R131" s="1647">
        <v>11</v>
      </c>
      <c r="S131" s="1648">
        <v>11</v>
      </c>
      <c r="T131" s="1623" t="b">
        <f>IF(AND(E131&gt;=R131,E131&lt;=S131),TRUE,FALSE)</f>
        <v>0</v>
      </c>
      <c r="U131" s="931"/>
      <c r="V131" s="1403"/>
      <c r="W131" s="1422">
        <v>11</v>
      </c>
      <c r="X131" s="1423"/>
      <c r="Y131" s="1424">
        <v>11</v>
      </c>
      <c r="Z131" s="1423"/>
      <c r="AA131" s="1416">
        <v>11</v>
      </c>
      <c r="AC131" s="960"/>
      <c r="AD131" s="961"/>
      <c r="AE131" s="960"/>
      <c r="AF131" s="961"/>
      <c r="AG131" s="960"/>
      <c r="AH131" s="961"/>
      <c r="AI131" s="10"/>
      <c r="AJ131" s="10"/>
      <c r="AK131" s="10"/>
    </row>
    <row r="132" spans="1:37" ht="26" x14ac:dyDescent="0.3">
      <c r="A132" s="1519"/>
      <c r="B132" s="52"/>
      <c r="C132" s="26"/>
      <c r="D132" s="62"/>
      <c r="E132" s="35"/>
      <c r="F132" s="35"/>
      <c r="G132" s="35"/>
      <c r="H132" s="1647">
        <v>11</v>
      </c>
      <c r="I132" s="1648">
        <v>11</v>
      </c>
      <c r="J132" s="45" t="b">
        <f>IF(AND(E132&gt;=H132,E132&lt;=I132),TRUE,FALSE)</f>
        <v>0</v>
      </c>
      <c r="K132" s="45"/>
      <c r="L132" s="45"/>
      <c r="M132" s="45"/>
      <c r="N132" s="1623"/>
      <c r="O132" s="1647">
        <v>11</v>
      </c>
      <c r="P132" s="1648">
        <v>11</v>
      </c>
      <c r="Q132" s="1623" t="b">
        <f>IF(AND(E132&gt;=O132,E132&lt;=P132),TRUE,FALSE)</f>
        <v>0</v>
      </c>
      <c r="R132" s="1647">
        <v>11</v>
      </c>
      <c r="S132" s="1648">
        <v>11</v>
      </c>
      <c r="T132" s="1623" t="b">
        <f>IF(AND(E132&gt;=R132,E132&lt;=S132),TRUE,FALSE)</f>
        <v>0</v>
      </c>
      <c r="U132" s="931"/>
      <c r="V132" s="1406" t="s">
        <v>943</v>
      </c>
      <c r="W132" s="1425">
        <v>11</v>
      </c>
      <c r="X132" s="1426"/>
      <c r="Y132" s="1427">
        <v>11</v>
      </c>
      <c r="Z132" s="1426"/>
      <c r="AA132" s="1421">
        <v>11</v>
      </c>
      <c r="AC132" s="960"/>
      <c r="AD132" s="961"/>
      <c r="AE132" s="960"/>
      <c r="AF132" s="961"/>
      <c r="AG132" s="960"/>
      <c r="AH132" s="961"/>
      <c r="AI132" s="10"/>
      <c r="AJ132" s="10"/>
      <c r="AK132" s="10"/>
    </row>
    <row r="133" spans="1:37" ht="27" thickBot="1" x14ac:dyDescent="0.35">
      <c r="A133" s="1519"/>
      <c r="B133" s="798"/>
      <c r="C133" s="799"/>
      <c r="D133" s="800"/>
      <c r="E133" s="801"/>
      <c r="F133" s="801"/>
      <c r="G133" s="801"/>
      <c r="H133" s="1625"/>
      <c r="I133" s="802"/>
      <c r="J133" s="803" t="b">
        <f>IF(AND(J131=FALSE,J132=FALSE),FALSE,TRUE)</f>
        <v>0</v>
      </c>
      <c r="K133" s="45"/>
      <c r="L133" s="45"/>
      <c r="M133" s="45"/>
      <c r="N133" s="1623"/>
      <c r="O133" s="1625"/>
      <c r="P133" s="802"/>
      <c r="Q133" s="1638" t="b">
        <f>IF(AND(Q131=FALSE,Q132=FALSE),FALSE,TRUE)</f>
        <v>0</v>
      </c>
      <c r="R133" s="1625"/>
      <c r="S133" s="802"/>
      <c r="T133" s="1638" t="b">
        <f>IF(AND(T131=FALSE,T132=FALSE),FALSE,TRUE)</f>
        <v>0</v>
      </c>
      <c r="U133" s="931"/>
      <c r="V133" s="931"/>
      <c r="W133" s="1392"/>
      <c r="X133" s="8"/>
      <c r="Y133" s="1397"/>
      <c r="Z133" s="8"/>
      <c r="AA133" s="1400"/>
      <c r="AC133" s="960"/>
      <c r="AD133" s="961"/>
      <c r="AE133" s="960"/>
      <c r="AF133" s="961"/>
      <c r="AG133" s="960"/>
      <c r="AH133" s="961"/>
      <c r="AI133" s="10"/>
      <c r="AJ133" s="10"/>
      <c r="AK133" s="10"/>
    </row>
    <row r="134" spans="1:37" ht="27" thickBot="1" x14ac:dyDescent="0.35">
      <c r="A134" s="1519"/>
      <c r="B134" s="804"/>
      <c r="C134" s="805"/>
      <c r="D134" s="805"/>
      <c r="E134" s="806"/>
      <c r="F134" s="806"/>
      <c r="G134" s="806"/>
      <c r="H134" s="1626"/>
      <c r="I134" s="807"/>
      <c r="J134" s="808" t="b">
        <f>IF(AND(J130=FALSE,J133=FALSE),FALSE,TRUE)</f>
        <v>0</v>
      </c>
      <c r="K134" s="1610"/>
      <c r="L134" s="1610"/>
      <c r="M134" s="1610"/>
      <c r="N134" s="1627"/>
      <c r="O134" s="1626"/>
      <c r="P134" s="807"/>
      <c r="Q134" s="808" t="b">
        <f>IF(AND(Q130=FALSE,Q133=FALSE),FALSE,TRUE)</f>
        <v>0</v>
      </c>
      <c r="R134" s="1626"/>
      <c r="S134" s="807"/>
      <c r="T134" s="808" t="b">
        <f>IF(AND(T130=FALSE,T133=FALSE),FALSE,TRUE)</f>
        <v>0</v>
      </c>
      <c r="U134" s="931"/>
      <c r="V134" s="931" t="s">
        <v>942</v>
      </c>
      <c r="W134" s="1392"/>
      <c r="X134" s="8"/>
      <c r="Y134" s="1397"/>
      <c r="Z134" s="8"/>
      <c r="AA134" s="1400"/>
      <c r="AC134" s="960"/>
      <c r="AD134" s="961"/>
      <c r="AE134" s="960"/>
      <c r="AF134" s="961"/>
      <c r="AG134" s="960"/>
      <c r="AH134" s="961"/>
      <c r="AI134" s="10" t="str">
        <f>IF(OR(AC134="V",AE134="V"),IF(G133&gt;G130,"Le NC contribue plus que le coparent","Le coparent joue un plus grand rôle que le NC"),"pas de contexte significatif de la part du coparent et NC")</f>
        <v>pas de contexte significatif de la part du coparent et NC</v>
      </c>
      <c r="AJ134" s="10"/>
      <c r="AK134" s="10"/>
    </row>
    <row r="135" spans="1:37" ht="26" x14ac:dyDescent="0.3">
      <c r="A135" s="1519"/>
      <c r="B135" s="313"/>
      <c r="C135" s="26"/>
      <c r="D135" s="101"/>
      <c r="E135" s="790"/>
      <c r="F135" s="789"/>
      <c r="G135" s="790"/>
      <c r="H135" s="1647">
        <v>11</v>
      </c>
      <c r="I135" s="1648">
        <v>11</v>
      </c>
      <c r="J135" s="45" t="b">
        <f>IF(AND(E135&gt;=H135,E135&lt;=I135),TRUE,FALSE)</f>
        <v>0</v>
      </c>
      <c r="K135" s="45"/>
      <c r="L135" s="45"/>
      <c r="M135" s="45"/>
      <c r="N135" s="1623"/>
      <c r="O135" s="1647">
        <v>11</v>
      </c>
      <c r="P135" s="1648">
        <v>11</v>
      </c>
      <c r="Q135" s="1623" t="b">
        <f>IF(AND(E135&gt;=O135,E135&lt;=P135),TRUE,FALSE)</f>
        <v>0</v>
      </c>
      <c r="R135" s="1622"/>
      <c r="S135" s="1615"/>
      <c r="T135" s="1623"/>
      <c r="U135" s="931"/>
      <c r="V135" s="1403"/>
      <c r="W135" s="1422">
        <v>11</v>
      </c>
      <c r="X135" s="1405"/>
      <c r="Y135" s="1424">
        <v>11</v>
      </c>
      <c r="Z135" s="1405"/>
      <c r="AA135" s="1448">
        <v>11</v>
      </c>
      <c r="AC135" s="960"/>
      <c r="AD135" s="961"/>
      <c r="AE135" s="960"/>
      <c r="AF135" s="961"/>
      <c r="AG135" s="960"/>
      <c r="AH135" s="961"/>
      <c r="AI135" s="10"/>
      <c r="AJ135" s="10"/>
      <c r="AK135" s="10"/>
    </row>
    <row r="136" spans="1:37" ht="27" thickBot="1" x14ac:dyDescent="0.35">
      <c r="A136" s="1519"/>
      <c r="B136" s="313"/>
      <c r="C136" s="26"/>
      <c r="D136" s="101"/>
      <c r="E136" s="790"/>
      <c r="F136" s="789"/>
      <c r="G136" s="790"/>
      <c r="H136" s="1647">
        <v>11</v>
      </c>
      <c r="I136" s="1648">
        <v>11</v>
      </c>
      <c r="J136" s="45" t="b">
        <f>IF(AND(E136&gt;=H136,E136&lt;=I136),TRUE,FALSE)</f>
        <v>0</v>
      </c>
      <c r="K136" s="45"/>
      <c r="L136" s="45"/>
      <c r="M136" s="45"/>
      <c r="N136" s="1623"/>
      <c r="O136" s="1647">
        <v>11</v>
      </c>
      <c r="P136" s="1648">
        <v>11</v>
      </c>
      <c r="Q136" s="1623" t="b">
        <f>IF(AND(E136&gt;=O136,E136&lt;=P136),TRUE,FALSE)</f>
        <v>0</v>
      </c>
      <c r="R136" s="1647"/>
      <c r="S136" s="1648"/>
      <c r="T136" s="1623"/>
      <c r="U136" s="931"/>
      <c r="V136" s="1406" t="s">
        <v>943</v>
      </c>
      <c r="W136" s="1425">
        <v>11</v>
      </c>
      <c r="X136" s="1426"/>
      <c r="Y136" s="1427">
        <v>11</v>
      </c>
      <c r="Z136" s="1426"/>
      <c r="AA136" s="1421">
        <v>11</v>
      </c>
      <c r="AC136" s="960"/>
      <c r="AD136" s="961"/>
      <c r="AE136" s="960"/>
      <c r="AF136" s="961"/>
      <c r="AG136" s="960"/>
      <c r="AH136" s="961"/>
      <c r="AI136" s="10"/>
      <c r="AJ136" s="10"/>
      <c r="AK136" s="10"/>
    </row>
    <row r="137" spans="1:37" ht="27" thickBot="1" x14ac:dyDescent="0.35">
      <c r="A137" s="1519"/>
      <c r="B137" s="809"/>
      <c r="C137" s="810"/>
      <c r="D137" s="810"/>
      <c r="E137" s="811"/>
      <c r="F137" s="811"/>
      <c r="G137" s="811"/>
      <c r="H137" s="1628"/>
      <c r="I137" s="812"/>
      <c r="J137" s="813" t="b">
        <f>IF(AND(J135=FALSE,J136=FALSE),FALSE,TRUE)</f>
        <v>0</v>
      </c>
      <c r="K137" s="1611"/>
      <c r="L137" s="1611"/>
      <c r="M137" s="1611"/>
      <c r="N137" s="1629"/>
      <c r="O137" s="1628"/>
      <c r="P137" s="812"/>
      <c r="Q137" s="813" t="b">
        <f>IF(AND(Q135=FALSE,Q136=FALSE),FALSE,TRUE)</f>
        <v>0</v>
      </c>
      <c r="R137" s="1628"/>
      <c r="S137" s="812"/>
      <c r="T137" s="813"/>
      <c r="U137" s="931"/>
      <c r="V137" s="931"/>
      <c r="W137" s="1394"/>
      <c r="Y137" s="1398"/>
      <c r="AA137" s="1402"/>
      <c r="AC137" s="960"/>
      <c r="AD137" s="961"/>
      <c r="AE137" s="960"/>
      <c r="AF137" s="961"/>
      <c r="AG137" s="960"/>
      <c r="AH137" s="961"/>
      <c r="AI137" s="10"/>
      <c r="AJ137" s="10"/>
      <c r="AK137" s="10"/>
    </row>
    <row r="138" spans="1:37" ht="26" x14ac:dyDescent="0.3">
      <c r="A138" s="1519"/>
      <c r="C138" s="421" t="s">
        <v>310</v>
      </c>
      <c r="D138" s="785"/>
      <c r="E138" s="474" t="s">
        <v>398</v>
      </c>
      <c r="F138" s="47"/>
      <c r="G138" s="47">
        <f>G130+G133+G137</f>
        <v>0</v>
      </c>
      <c r="H138" s="1630"/>
      <c r="I138" s="475"/>
      <c r="J138" s="1613"/>
      <c r="K138" s="1614"/>
      <c r="L138" s="1614"/>
      <c r="M138" s="1614"/>
      <c r="N138" s="1631"/>
      <c r="O138" s="1630"/>
      <c r="P138" s="475"/>
      <c r="Q138" s="1639"/>
      <c r="R138" s="1630"/>
      <c r="S138" s="475"/>
      <c r="T138" s="1639"/>
      <c r="U138" s="1664"/>
      <c r="V138" s="170"/>
      <c r="W138" s="1394"/>
      <c r="Y138" s="1398"/>
      <c r="AA138" s="1402"/>
      <c r="AC138" s="962"/>
      <c r="AD138" s="963"/>
      <c r="AE138" s="962"/>
      <c r="AF138" s="963"/>
      <c r="AG138" s="962"/>
      <c r="AH138" s="963"/>
      <c r="AI138" s="10"/>
      <c r="AJ138" s="10"/>
      <c r="AK138" s="10"/>
    </row>
    <row r="139" spans="1:37" ht="26" x14ac:dyDescent="0.3">
      <c r="A139" s="1519"/>
      <c r="B139" t="s">
        <v>243</v>
      </c>
      <c r="H139" s="146"/>
      <c r="K139" s="46"/>
      <c r="L139" s="46"/>
      <c r="M139" s="46"/>
      <c r="N139" s="1652"/>
      <c r="O139" s="146"/>
      <c r="Q139" s="326"/>
      <c r="R139" s="146"/>
      <c r="T139" s="326"/>
      <c r="W139" s="1394"/>
      <c r="Y139" s="1398"/>
      <c r="AA139" s="1402"/>
      <c r="AC139" s="960"/>
      <c r="AD139" s="961"/>
      <c r="AE139" s="960"/>
      <c r="AF139" s="961"/>
      <c r="AG139" s="960"/>
      <c r="AH139" s="961"/>
      <c r="AI139" s="10"/>
      <c r="AJ139" s="10"/>
      <c r="AK139" s="10"/>
    </row>
    <row r="140" spans="1:37" ht="26" x14ac:dyDescent="0.3">
      <c r="A140" s="1519"/>
      <c r="B140" s="964"/>
      <c r="C140" s="965"/>
      <c r="D140" s="965"/>
      <c r="E140" s="973"/>
      <c r="F140" s="973"/>
      <c r="G140" s="973"/>
      <c r="H140" s="1647">
        <v>11</v>
      </c>
      <c r="I140" s="1648">
        <v>11</v>
      </c>
      <c r="J140" s="45" t="b">
        <f>IF(AND(E140&gt;=H140,E140&lt;=I140),TRUE,FALSE)</f>
        <v>0</v>
      </c>
      <c r="K140" s="32"/>
      <c r="L140" s="32"/>
      <c r="M140" s="32"/>
      <c r="N140" s="1632"/>
      <c r="O140" s="1647">
        <v>11</v>
      </c>
      <c r="P140" s="1648">
        <v>11</v>
      </c>
      <c r="Q140" s="1623" t="b">
        <f>IF(AND(E140&gt;=O140,E140&lt;=P140),TRUE,FALSE)</f>
        <v>0</v>
      </c>
      <c r="R140" s="1647">
        <v>11</v>
      </c>
      <c r="S140" s="1648">
        <v>11</v>
      </c>
      <c r="T140" s="1623" t="b">
        <f>IF(AND(E140&gt;=R140,E140&lt;=S140),TRUE,FALSE)</f>
        <v>0</v>
      </c>
      <c r="U140" s="931"/>
      <c r="V140" s="1428"/>
      <c r="W140" s="1422">
        <v>11</v>
      </c>
      <c r="X140" s="1405"/>
      <c r="Y140" s="1424">
        <v>11</v>
      </c>
      <c r="Z140" s="1405"/>
      <c r="AA140" s="1448">
        <v>11</v>
      </c>
      <c r="AC140" s="960"/>
      <c r="AD140" s="961"/>
      <c r="AE140" s="960"/>
      <c r="AF140" s="961"/>
      <c r="AG140" s="960"/>
      <c r="AH140" s="961"/>
      <c r="AI140" s="10"/>
      <c r="AJ140" s="10"/>
      <c r="AK140" s="10"/>
    </row>
    <row r="141" spans="1:37" ht="27" thickBot="1" x14ac:dyDescent="0.35">
      <c r="A141" s="1519"/>
      <c r="B141" s="964"/>
      <c r="C141" s="972"/>
      <c r="D141" s="965"/>
      <c r="E141" s="973"/>
      <c r="F141" s="973"/>
      <c r="G141" s="973"/>
      <c r="H141" s="1647">
        <v>11</v>
      </c>
      <c r="I141" s="1648">
        <v>11</v>
      </c>
      <c r="J141" s="45" t="b">
        <f>IF(AND(E141&gt;=H141,E141&lt;=I141),TRUE,FALSE)</f>
        <v>0</v>
      </c>
      <c r="K141" s="32"/>
      <c r="L141" s="32"/>
      <c r="M141" s="32"/>
      <c r="N141" s="1632"/>
      <c r="O141" s="1647">
        <v>11</v>
      </c>
      <c r="P141" s="1648">
        <v>11</v>
      </c>
      <c r="Q141" s="1623" t="b">
        <f>IF(AND(E141&gt;=O141,E141&lt;=P141),TRUE,FALSE)</f>
        <v>0</v>
      </c>
      <c r="R141" s="1647">
        <v>11</v>
      </c>
      <c r="S141" s="1648">
        <v>11</v>
      </c>
      <c r="T141" s="1623" t="b">
        <f>IF(AND(E141&gt;=R141,E141&lt;=S141),TRUE,FALSE)</f>
        <v>0</v>
      </c>
      <c r="U141" s="931"/>
      <c r="V141" s="1429"/>
      <c r="W141" s="1425">
        <v>11</v>
      </c>
      <c r="X141" s="1426"/>
      <c r="Y141" s="1427">
        <v>11</v>
      </c>
      <c r="Z141" s="1426"/>
      <c r="AA141" s="1421">
        <v>11</v>
      </c>
      <c r="AC141" s="960"/>
      <c r="AD141" s="961"/>
      <c r="AE141" s="960"/>
      <c r="AF141" s="961"/>
      <c r="AG141" s="960"/>
      <c r="AH141" s="961"/>
      <c r="AI141" s="10"/>
      <c r="AJ141" s="10"/>
      <c r="AK141" s="10"/>
    </row>
    <row r="142" spans="1:37" ht="27" thickBot="1" x14ac:dyDescent="0.35">
      <c r="A142" s="1519"/>
      <c r="B142" s="7"/>
      <c r="C142" s="297"/>
      <c r="D142" s="297"/>
      <c r="E142" s="89"/>
      <c r="F142" s="16"/>
      <c r="G142" s="89"/>
      <c r="H142" s="1644"/>
      <c r="I142" s="1645"/>
      <c r="J142" s="1651" t="b">
        <f>IF(AND(J140=FALSE,J141=FALSE),FALSE,TRUE)</f>
        <v>0</v>
      </c>
      <c r="K142" s="1633"/>
      <c r="L142" s="1634"/>
      <c r="M142" s="1634"/>
      <c r="N142" s="1635"/>
      <c r="O142" s="1644"/>
      <c r="P142" s="1645"/>
      <c r="Q142" s="1651" t="b">
        <f>IF(AND(Q140=FALSE,Q141=FALSE),FALSE,TRUE)</f>
        <v>0</v>
      </c>
      <c r="R142" s="1656"/>
      <c r="S142" s="1657"/>
      <c r="T142" s="1658" t="b">
        <f>IF(AND(T140=FALSE,T141=FALSE),FALSE,TRUE)</f>
        <v>0</v>
      </c>
      <c r="U142" s="931"/>
      <c r="AC142" s="1564"/>
      <c r="AD142" s="1565"/>
      <c r="AE142" s="1564"/>
      <c r="AF142" s="1565"/>
      <c r="AG142" s="1564"/>
      <c r="AH142" s="1565"/>
      <c r="AI142" s="10"/>
      <c r="AJ142" s="10"/>
      <c r="AK142" s="10"/>
    </row>
    <row r="143" spans="1:37" ht="26" x14ac:dyDescent="0.3">
      <c r="A143" s="657"/>
      <c r="C143" s="16"/>
      <c r="D143" s="16"/>
      <c r="E143" s="89"/>
      <c r="F143" s="473"/>
      <c r="G143" s="473"/>
      <c r="H143" s="8"/>
      <c r="I143" s="8"/>
      <c r="J143" s="932"/>
      <c r="K143" s="932"/>
      <c r="L143" s="932"/>
      <c r="M143" s="932"/>
      <c r="N143" s="932"/>
      <c r="O143" s="932"/>
      <c r="P143" s="932"/>
      <c r="Q143" s="932"/>
      <c r="R143" s="932"/>
      <c r="S143" s="932"/>
      <c r="T143" s="932"/>
      <c r="U143" s="932"/>
      <c r="V143" s="933"/>
      <c r="AC143" s="1649"/>
      <c r="AD143" s="1650"/>
      <c r="AE143" s="1649"/>
      <c r="AF143" s="1650"/>
      <c r="AG143" s="1649"/>
      <c r="AH143" s="1650"/>
      <c r="AI143" s="10"/>
      <c r="AJ143" s="10"/>
      <c r="AK143" s="10"/>
    </row>
    <row r="144" spans="1:37" ht="26" x14ac:dyDescent="0.3">
      <c r="A144" s="657"/>
      <c r="C144" s="16"/>
      <c r="D144" s="16"/>
      <c r="E144" s="89"/>
      <c r="F144" s="473"/>
      <c r="G144" s="473"/>
      <c r="H144" s="8"/>
      <c r="I144" s="8"/>
      <c r="J144" s="80"/>
      <c r="K144" s="80"/>
      <c r="L144" s="80"/>
      <c r="M144" s="80"/>
      <c r="N144" s="80"/>
      <c r="O144" s="80"/>
      <c r="P144" s="80"/>
      <c r="Q144" s="80"/>
      <c r="R144" s="80"/>
      <c r="S144" s="80"/>
      <c r="T144" s="80"/>
      <c r="U144" s="80"/>
      <c r="AC144" s="1668" t="s">
        <v>1388</v>
      </c>
      <c r="AD144" s="1669">
        <f>IF(AF143=1,AD143*(1+$AH$28),AD143)</f>
        <v>0</v>
      </c>
      <c r="AI144" s="10"/>
      <c r="AJ144" s="10"/>
      <c r="AK144" s="10"/>
    </row>
    <row r="145" spans="1:37" ht="26" x14ac:dyDescent="0.3">
      <c r="A145" s="1518">
        <v>8</v>
      </c>
      <c r="C145" s="476" t="str">
        <f>'CPTS indépendants'!F21</f>
        <v>Position du nouveau conjoint</v>
      </c>
      <c r="D145" s="107"/>
      <c r="E145" s="65"/>
      <c r="F145" s="18"/>
      <c r="G145" s="18"/>
      <c r="H145" s="2255" t="s">
        <v>734</v>
      </c>
      <c r="I145" s="2256"/>
      <c r="J145" s="2256"/>
      <c r="K145" s="2257" t="s">
        <v>1378</v>
      </c>
      <c r="L145" s="2257"/>
      <c r="M145" s="2257"/>
      <c r="N145" s="2258"/>
      <c r="O145" s="2259" t="s">
        <v>733</v>
      </c>
      <c r="P145" s="2260"/>
      <c r="Q145" s="2261"/>
      <c r="R145" s="2262" t="s">
        <v>735</v>
      </c>
      <c r="S145" s="2263"/>
      <c r="T145" s="2264"/>
      <c r="U145" s="15"/>
      <c r="X145" s="9"/>
      <c r="AC145" s="956"/>
      <c r="AD145" s="956"/>
      <c r="AE145" s="956"/>
      <c r="AF145" s="956"/>
      <c r="AG145" s="956"/>
      <c r="AH145" s="957"/>
      <c r="AI145" s="10"/>
      <c r="AJ145" s="10"/>
      <c r="AK145" s="10"/>
    </row>
    <row r="146" spans="1:37" ht="68" x14ac:dyDescent="0.3">
      <c r="A146" s="1519"/>
      <c r="C146" s="102" t="s">
        <v>998</v>
      </c>
      <c r="D146" s="983"/>
      <c r="E146" s="32" t="s">
        <v>748</v>
      </c>
      <c r="F146" s="32" t="s">
        <v>749</v>
      </c>
      <c r="G146" s="32" t="s">
        <v>750</v>
      </c>
      <c r="H146" s="1620" t="s">
        <v>306</v>
      </c>
      <c r="I146" s="43" t="s">
        <v>307</v>
      </c>
      <c r="J146" s="43" t="s">
        <v>308</v>
      </c>
      <c r="K146" s="43"/>
      <c r="L146" s="43"/>
      <c r="M146" s="43"/>
      <c r="N146" s="1621"/>
      <c r="O146" s="1620" t="s">
        <v>306</v>
      </c>
      <c r="P146" s="43" t="s">
        <v>307</v>
      </c>
      <c r="Q146" s="1621" t="s">
        <v>308</v>
      </c>
      <c r="R146" s="1620" t="s">
        <v>306</v>
      </c>
      <c r="S146" s="43" t="s">
        <v>307</v>
      </c>
      <c r="T146" s="1621" t="s">
        <v>308</v>
      </c>
      <c r="U146" s="818"/>
      <c r="V146" s="955" t="s">
        <v>928</v>
      </c>
      <c r="W146" s="1391" t="s">
        <v>734</v>
      </c>
      <c r="X146" s="955" t="s">
        <v>928</v>
      </c>
      <c r="Y146" s="1395" t="s">
        <v>733</v>
      </c>
      <c r="Z146" s="955" t="s">
        <v>928</v>
      </c>
      <c r="AA146" s="1399" t="s">
        <v>735</v>
      </c>
      <c r="AC146" s="970"/>
      <c r="AD146" s="971"/>
      <c r="AE146" s="970"/>
      <c r="AF146" s="971"/>
      <c r="AG146" s="970"/>
      <c r="AH146" s="971"/>
      <c r="AI146" s="10"/>
      <c r="AJ146" s="10"/>
      <c r="AK146" s="10"/>
    </row>
    <row r="147" spans="1:37" ht="26" x14ac:dyDescent="0.2">
      <c r="A147" s="1521"/>
      <c r="B147" s="414"/>
      <c r="C147" s="26"/>
      <c r="D147" s="101"/>
      <c r="E147" s="790"/>
      <c r="F147" s="789"/>
      <c r="G147" s="790"/>
      <c r="H147" s="1647">
        <v>11</v>
      </c>
      <c r="I147" s="1648">
        <v>11</v>
      </c>
      <c r="J147" s="45" t="b">
        <f>IF(AND(E147&gt;=H147,E147&lt;=I147),TRUE,FALSE)</f>
        <v>0</v>
      </c>
      <c r="K147" s="45"/>
      <c r="L147" s="45"/>
      <c r="M147" s="45"/>
      <c r="N147" s="1623"/>
      <c r="O147" s="1647">
        <v>11</v>
      </c>
      <c r="P147" s="1648">
        <v>11</v>
      </c>
      <c r="Q147" s="1623" t="b">
        <f>IF(AND(E147&gt;=O147,E147&lt;=P147),TRUE,FALSE)</f>
        <v>0</v>
      </c>
      <c r="R147" s="1647">
        <v>11</v>
      </c>
      <c r="S147" s="1648">
        <v>11</v>
      </c>
      <c r="T147" s="1623" t="b">
        <f>IF(AND(E147&gt;=R147,E147&lt;=S147),TRUE,FALSE)</f>
        <v>0</v>
      </c>
      <c r="U147" s="931"/>
      <c r="V147" s="1403"/>
      <c r="W147" s="1422">
        <v>11</v>
      </c>
      <c r="X147" s="1405"/>
      <c r="Y147" s="1424">
        <v>11</v>
      </c>
      <c r="Z147" s="1405"/>
      <c r="AA147" s="1448">
        <v>11</v>
      </c>
      <c r="AC147" s="958"/>
      <c r="AD147" s="959"/>
      <c r="AE147" s="958"/>
      <c r="AF147" s="959"/>
      <c r="AG147" s="958"/>
      <c r="AH147" s="959"/>
      <c r="AI147" s="10"/>
      <c r="AJ147" s="10"/>
      <c r="AK147" s="10"/>
    </row>
    <row r="148" spans="1:37" ht="26" x14ac:dyDescent="0.2">
      <c r="A148" s="1521"/>
      <c r="B148" s="414"/>
      <c r="C148" s="26"/>
      <c r="D148" s="101"/>
      <c r="E148" s="790"/>
      <c r="F148" s="789"/>
      <c r="G148" s="790"/>
      <c r="H148" s="1647">
        <v>11</v>
      </c>
      <c r="I148" s="1648">
        <v>11</v>
      </c>
      <c r="J148" s="45" t="b">
        <f>IF(AND(E148&gt;=H148,E148&lt;=I148),TRUE,FALSE)</f>
        <v>0</v>
      </c>
      <c r="K148" s="45"/>
      <c r="L148" s="45"/>
      <c r="M148" s="45"/>
      <c r="N148" s="1623"/>
      <c r="O148" s="1647">
        <v>11</v>
      </c>
      <c r="P148" s="1648">
        <v>11</v>
      </c>
      <c r="Q148" s="1623" t="b">
        <f>IF(AND(E148&gt;=O148,E148&lt;=P148),TRUE,FALSE)</f>
        <v>0</v>
      </c>
      <c r="R148" s="1647">
        <v>11</v>
      </c>
      <c r="S148" s="1648">
        <v>11</v>
      </c>
      <c r="T148" s="1623" t="b">
        <f>IF(AND(E148&gt;=R148,E148&lt;=S148),TRUE,FALSE)</f>
        <v>0</v>
      </c>
      <c r="U148" s="931"/>
      <c r="V148" s="1406" t="s">
        <v>943</v>
      </c>
      <c r="W148" s="1425">
        <v>11</v>
      </c>
      <c r="X148" s="1426"/>
      <c r="Y148" s="1427">
        <v>11</v>
      </c>
      <c r="Z148" s="1426"/>
      <c r="AA148" s="1421">
        <v>11</v>
      </c>
      <c r="AC148" s="960"/>
      <c r="AD148" s="961"/>
      <c r="AE148" s="960"/>
      <c r="AF148" s="961"/>
      <c r="AG148" s="960"/>
      <c r="AH148" s="961"/>
      <c r="AI148" s="10"/>
      <c r="AJ148" s="10"/>
      <c r="AK148" s="10"/>
    </row>
    <row r="149" spans="1:37" ht="26" x14ac:dyDescent="0.2">
      <c r="A149" s="1521"/>
      <c r="B149" s="792"/>
      <c r="C149" s="793"/>
      <c r="D149" s="794"/>
      <c r="E149" s="795"/>
      <c r="F149" s="795"/>
      <c r="G149" s="795"/>
      <c r="H149" s="1624"/>
      <c r="I149" s="796"/>
      <c r="J149" s="797" t="b">
        <f>IF(AND(J147=FALSE,J148=FALSE),FALSE,TRUE)</f>
        <v>0</v>
      </c>
      <c r="K149" s="45"/>
      <c r="L149" s="45"/>
      <c r="M149" s="45"/>
      <c r="N149" s="1623"/>
      <c r="O149" s="1624"/>
      <c r="P149" s="796"/>
      <c r="Q149" s="1637" t="b">
        <f>IF(AND(Q147=FALSE,Q148=FALSE),FALSE,TRUE)</f>
        <v>0</v>
      </c>
      <c r="R149" s="1624"/>
      <c r="S149" s="796"/>
      <c r="T149" s="1637" t="b">
        <f>IF(AND(T147=FALSE,T148=FALSE),FALSE,TRUE)</f>
        <v>0</v>
      </c>
      <c r="U149" s="931"/>
      <c r="V149" s="931" t="s">
        <v>943</v>
      </c>
      <c r="W149" s="1392"/>
      <c r="X149" s="8"/>
      <c r="Y149" s="1397"/>
      <c r="Z149" s="8"/>
      <c r="AA149" s="1400"/>
      <c r="AC149" s="960"/>
      <c r="AD149" s="961"/>
      <c r="AE149" s="960"/>
      <c r="AF149" s="961"/>
      <c r="AG149" s="960"/>
      <c r="AH149" s="961"/>
      <c r="AI149" s="10"/>
      <c r="AJ149" s="10"/>
      <c r="AK149" s="10"/>
    </row>
    <row r="150" spans="1:37" ht="34" x14ac:dyDescent="0.2">
      <c r="A150" s="1524"/>
      <c r="B150" s="52" t="str">
        <f>'CPTS indépendants'!K21</f>
        <v>NC01</v>
      </c>
      <c r="C150" s="26" t="str">
        <f>Test_Bible!B404</f>
        <v>Le nouveau ou nouvelle conjoint·e joue un rôle de confident·e auprès de votre enfant.</v>
      </c>
      <c r="D150" s="101"/>
      <c r="E150" s="790">
        <f>Test_Bible!P404</f>
        <v>2</v>
      </c>
      <c r="F150" s="789">
        <f>Test_Bible!D404</f>
        <v>0</v>
      </c>
      <c r="G150" s="790">
        <f>E150*F150</f>
        <v>0</v>
      </c>
      <c r="H150" s="1622">
        <v>4</v>
      </c>
      <c r="I150" s="1615">
        <v>10</v>
      </c>
      <c r="J150" s="45" t="b">
        <f>IF(AND(E150&gt;=H150,E150&lt;=I150),TRUE,FALSE)</f>
        <v>0</v>
      </c>
      <c r="K150" s="45"/>
      <c r="L150" s="45"/>
      <c r="M150" s="45"/>
      <c r="N150" s="1623"/>
      <c r="O150" s="1622">
        <v>4</v>
      </c>
      <c r="P150" s="1615">
        <v>7</v>
      </c>
      <c r="Q150" s="1623" t="b">
        <f>IF(AND(E150&gt;=O150,E150&lt;=P150),TRUE,FALSE)</f>
        <v>0</v>
      </c>
      <c r="R150" s="1647">
        <v>11</v>
      </c>
      <c r="S150" s="1648">
        <v>11</v>
      </c>
      <c r="T150" s="1623" t="b">
        <f>IF(AND(E150&gt;=R150,E150&lt;=S150),TRUE,FALSE)</f>
        <v>0</v>
      </c>
      <c r="U150" s="931"/>
      <c r="V150" s="1403"/>
      <c r="W150" s="1404">
        <v>4</v>
      </c>
      <c r="X150" s="1405"/>
      <c r="Y150" s="1408">
        <v>4</v>
      </c>
      <c r="Z150" s="1405"/>
      <c r="AA150" s="1416">
        <v>11</v>
      </c>
      <c r="AC150" s="960"/>
      <c r="AD150" s="961"/>
      <c r="AE150" s="960"/>
      <c r="AF150" s="961"/>
      <c r="AG150" s="960"/>
      <c r="AH150" s="961"/>
      <c r="AI150" s="10"/>
      <c r="AJ150" s="10"/>
      <c r="AK150" s="10"/>
    </row>
    <row r="151" spans="1:37" ht="26" x14ac:dyDescent="0.2">
      <c r="A151" s="1525"/>
      <c r="B151" s="52" t="str">
        <f>'CPTS indépendants'!K22</f>
        <v>NC01a</v>
      </c>
      <c r="C151" s="26" t="str">
        <f>Test_Bible!B405</f>
        <v/>
      </c>
      <c r="D151" s="62"/>
      <c r="E151" s="790">
        <f>Test_Bible!P405</f>
        <v>0</v>
      </c>
      <c r="F151" s="789">
        <f>Test_Bible!D405</f>
        <v>2</v>
      </c>
      <c r="G151" s="790">
        <f>E151*F151</f>
        <v>0</v>
      </c>
      <c r="H151" s="1622">
        <v>4</v>
      </c>
      <c r="I151" s="1615">
        <v>10</v>
      </c>
      <c r="J151" s="45" t="b">
        <f>IF(AND(E151&gt;=H151,E151&lt;=I151),TRUE,FALSE)</f>
        <v>0</v>
      </c>
      <c r="K151" s="45"/>
      <c r="L151" s="45"/>
      <c r="M151" s="45"/>
      <c r="N151" s="1623"/>
      <c r="O151" s="1622">
        <v>4</v>
      </c>
      <c r="P151" s="1615">
        <v>7</v>
      </c>
      <c r="Q151" s="1623" t="b">
        <f>IF(AND(E151&gt;=O151,E151&lt;=P151),TRUE,FALSE)</f>
        <v>0</v>
      </c>
      <c r="R151" s="1647">
        <v>11</v>
      </c>
      <c r="S151" s="1648">
        <v>11</v>
      </c>
      <c r="T151" s="1623" t="b">
        <f>IF(AND(E151&gt;=R151,E151&lt;=S151),TRUE,FALSE)</f>
        <v>0</v>
      </c>
      <c r="U151" s="931"/>
      <c r="V151" s="1406" t="s">
        <v>943</v>
      </c>
      <c r="W151" s="1411">
        <v>4</v>
      </c>
      <c r="X151" s="1412"/>
      <c r="Y151" s="1413">
        <v>4</v>
      </c>
      <c r="Z151" s="1426"/>
      <c r="AA151" s="1421">
        <v>11</v>
      </c>
      <c r="AC151" s="960"/>
      <c r="AD151" s="961"/>
      <c r="AE151" s="960"/>
      <c r="AF151" s="961"/>
      <c r="AG151" s="960"/>
      <c r="AH151" s="961"/>
      <c r="AI151" s="10"/>
      <c r="AJ151" s="10"/>
      <c r="AK151" s="10"/>
    </row>
    <row r="152" spans="1:37" ht="27" thickBot="1" x14ac:dyDescent="0.25">
      <c r="A152" s="1521"/>
      <c r="B152" s="798"/>
      <c r="C152" s="799"/>
      <c r="D152" s="800"/>
      <c r="E152" s="801"/>
      <c r="F152" s="801"/>
      <c r="G152" s="801"/>
      <c r="H152" s="1625"/>
      <c r="I152" s="802"/>
      <c r="J152" s="803" t="b">
        <f>IF(AND(J150=FALSE,J151=FALSE),FALSE,TRUE)</f>
        <v>0</v>
      </c>
      <c r="K152" s="45"/>
      <c r="L152" s="45"/>
      <c r="M152" s="45"/>
      <c r="N152" s="1623"/>
      <c r="O152" s="1625"/>
      <c r="P152" s="802"/>
      <c r="Q152" s="1638" t="b">
        <f>IF(AND(Q150=FALSE,Q151=FALSE),FALSE,TRUE)</f>
        <v>0</v>
      </c>
      <c r="R152" s="1625"/>
      <c r="S152" s="802"/>
      <c r="T152" s="1638" t="b">
        <f>IF(AND(T150=FALSE,T151=FALSE),FALSE,TRUE)</f>
        <v>0</v>
      </c>
      <c r="U152" s="931"/>
      <c r="V152" s="931"/>
      <c r="W152" s="1392"/>
      <c r="X152" s="8"/>
      <c r="Y152" s="1397"/>
      <c r="Z152" s="8"/>
      <c r="AA152" s="1400"/>
      <c r="AC152" s="960"/>
      <c r="AD152" s="961"/>
      <c r="AE152" s="960"/>
      <c r="AF152" s="961"/>
      <c r="AG152" s="960"/>
      <c r="AH152" s="961"/>
      <c r="AI152" s="10"/>
      <c r="AJ152" s="10"/>
      <c r="AK152" s="10"/>
    </row>
    <row r="153" spans="1:37" ht="27" thickBot="1" x14ac:dyDescent="0.35">
      <c r="A153" s="1519"/>
      <c r="B153" s="804"/>
      <c r="C153" s="805"/>
      <c r="D153" s="805"/>
      <c r="E153" s="806"/>
      <c r="F153" s="806"/>
      <c r="G153" s="806"/>
      <c r="H153" s="1626"/>
      <c r="I153" s="807"/>
      <c r="J153" s="808" t="b">
        <f>IF(AND(J149=FALSE,J152=FALSE),FALSE,TRUE)</f>
        <v>0</v>
      </c>
      <c r="K153" s="1610"/>
      <c r="L153" s="1610"/>
      <c r="M153" s="1610"/>
      <c r="N153" s="1627"/>
      <c r="O153" s="1626"/>
      <c r="P153" s="807"/>
      <c r="Q153" s="808" t="b">
        <f>IF(AND(Q149=FALSE,Q152=FALSE),FALSE,TRUE)</f>
        <v>0</v>
      </c>
      <c r="R153" s="1626"/>
      <c r="S153" s="807"/>
      <c r="T153" s="808" t="b">
        <f>IF(AND(T149=FALSE,T152=FALSE),FALSE,TRUE)</f>
        <v>0</v>
      </c>
      <c r="U153" s="931"/>
      <c r="V153" s="931" t="s">
        <v>942</v>
      </c>
      <c r="W153" s="1392"/>
      <c r="X153" s="8"/>
      <c r="Y153" s="1397"/>
      <c r="Z153" s="8"/>
      <c r="AA153" s="1400"/>
      <c r="AC153" s="960"/>
      <c r="AD153" s="961"/>
      <c r="AE153" s="960"/>
      <c r="AF153" s="961"/>
      <c r="AG153" s="960"/>
      <c r="AH153" s="961"/>
      <c r="AI153" s="10" t="str">
        <f>IF(OR(AC153="V",AE153="V"),IF(G152&gt;G149,"Le NC contribue plus que le coparent","Le coparent joue un plus grand rôle que le NC"),"pas de contexte significatif de la part du coparent et NC")</f>
        <v>pas de contexte significatif de la part du coparent et NC</v>
      </c>
      <c r="AJ153" s="10"/>
      <c r="AK153" s="10"/>
    </row>
    <row r="154" spans="1:37" ht="26" x14ac:dyDescent="0.3">
      <c r="A154" s="1519"/>
      <c r="B154" s="313"/>
      <c r="C154" s="26"/>
      <c r="D154" s="101"/>
      <c r="E154" s="790"/>
      <c r="F154" s="789"/>
      <c r="G154" s="790"/>
      <c r="H154" s="1647">
        <v>11</v>
      </c>
      <c r="I154" s="1648">
        <v>11</v>
      </c>
      <c r="J154" s="45" t="b">
        <f>IF(AND(E154&gt;=H154,E154&lt;=I154),TRUE,FALSE)</f>
        <v>0</v>
      </c>
      <c r="K154" s="45"/>
      <c r="L154" s="45"/>
      <c r="M154" s="45"/>
      <c r="N154" s="1623"/>
      <c r="O154" s="1647">
        <v>11</v>
      </c>
      <c r="P154" s="1648">
        <v>11</v>
      </c>
      <c r="Q154" s="1623" t="b">
        <f>IF(AND(E154&gt;=O154,E154&lt;=P154),TRUE,FALSE)</f>
        <v>0</v>
      </c>
      <c r="R154" s="1622"/>
      <c r="S154" s="1615"/>
      <c r="T154" s="1623"/>
      <c r="U154" s="931"/>
      <c r="V154" s="1403"/>
      <c r="W154" s="1422">
        <v>11</v>
      </c>
      <c r="X154" s="1405"/>
      <c r="Y154" s="1424">
        <v>11</v>
      </c>
      <c r="Z154" s="1405"/>
      <c r="AA154" s="1448">
        <v>11</v>
      </c>
      <c r="AC154" s="960"/>
      <c r="AD154" s="961"/>
      <c r="AE154" s="960"/>
      <c r="AF154" s="961"/>
      <c r="AG154" s="960"/>
      <c r="AH154" s="961"/>
      <c r="AI154" s="10"/>
      <c r="AJ154" s="10"/>
      <c r="AK154" s="10"/>
    </row>
    <row r="155" spans="1:37" ht="27" thickBot="1" x14ac:dyDescent="0.35">
      <c r="A155" s="1519"/>
      <c r="B155" s="313"/>
      <c r="C155" s="26"/>
      <c r="D155" s="62"/>
      <c r="E155" s="790"/>
      <c r="F155" s="789"/>
      <c r="G155" s="790"/>
      <c r="H155" s="1647">
        <v>11</v>
      </c>
      <c r="I155" s="1648">
        <v>11</v>
      </c>
      <c r="J155" s="45" t="b">
        <f>IF(AND(E155&gt;=H155,E155&lt;=I155),TRUE,FALSE)</f>
        <v>0</v>
      </c>
      <c r="K155" s="45"/>
      <c r="L155" s="45"/>
      <c r="M155" s="45"/>
      <c r="N155" s="1623"/>
      <c r="O155" s="1647">
        <v>11</v>
      </c>
      <c r="P155" s="1648">
        <v>11</v>
      </c>
      <c r="Q155" s="1623" t="b">
        <f>IF(AND(E155&gt;=O155,E155&lt;=P155),TRUE,FALSE)</f>
        <v>0</v>
      </c>
      <c r="R155" s="1647"/>
      <c r="S155" s="1648"/>
      <c r="T155" s="1623"/>
      <c r="U155" s="931"/>
      <c r="V155" s="1406" t="s">
        <v>943</v>
      </c>
      <c r="W155" s="1425">
        <v>11</v>
      </c>
      <c r="X155" s="1426"/>
      <c r="Y155" s="1427">
        <v>11</v>
      </c>
      <c r="Z155" s="1426"/>
      <c r="AA155" s="1421">
        <v>11</v>
      </c>
      <c r="AC155" s="960"/>
      <c r="AD155" s="961"/>
      <c r="AE155" s="960"/>
      <c r="AF155" s="961"/>
      <c r="AG155" s="960"/>
      <c r="AH155" s="961"/>
      <c r="AI155" s="10"/>
      <c r="AJ155" s="10"/>
      <c r="AK155" s="10"/>
    </row>
    <row r="156" spans="1:37" ht="27" thickBot="1" x14ac:dyDescent="0.35">
      <c r="A156" s="1519"/>
      <c r="B156" s="809"/>
      <c r="C156" s="810"/>
      <c r="D156" s="810"/>
      <c r="E156" s="811"/>
      <c r="F156" s="811"/>
      <c r="G156" s="811"/>
      <c r="H156" s="1628"/>
      <c r="I156" s="812"/>
      <c r="J156" s="813" t="b">
        <f>IF(AND(J154=FALSE,J155=FALSE),FALSE,TRUE)</f>
        <v>0</v>
      </c>
      <c r="K156" s="1611"/>
      <c r="L156" s="1611"/>
      <c r="M156" s="1611"/>
      <c r="N156" s="1629"/>
      <c r="O156" s="1628"/>
      <c r="P156" s="812"/>
      <c r="Q156" s="813" t="b">
        <f>IF(AND(Q154=FALSE,Q155=FALSE),FALSE,TRUE)</f>
        <v>0</v>
      </c>
      <c r="R156" s="1628"/>
      <c r="S156" s="812"/>
      <c r="T156" s="813"/>
      <c r="U156" s="931"/>
      <c r="V156" s="931"/>
      <c r="W156" s="1394"/>
      <c r="Y156" s="1398"/>
      <c r="AA156" s="1402"/>
      <c r="AC156" s="960"/>
      <c r="AD156" s="961"/>
      <c r="AE156" s="960"/>
      <c r="AF156" s="961"/>
      <c r="AG156" s="960"/>
      <c r="AH156" s="961"/>
      <c r="AI156" s="10"/>
      <c r="AJ156" s="10"/>
      <c r="AK156" s="10"/>
    </row>
    <row r="157" spans="1:37" ht="26" x14ac:dyDescent="0.3">
      <c r="A157" s="1519"/>
      <c r="C157" s="421"/>
      <c r="D157" s="785"/>
      <c r="E157" s="474"/>
      <c r="F157" s="47"/>
      <c r="G157" s="47"/>
      <c r="H157" s="1630"/>
      <c r="I157" s="475"/>
      <c r="J157" s="1613"/>
      <c r="K157" s="1614"/>
      <c r="L157" s="1614"/>
      <c r="M157" s="1614"/>
      <c r="N157" s="1631"/>
      <c r="O157" s="1630"/>
      <c r="P157" s="475"/>
      <c r="Q157" s="1639"/>
      <c r="R157" s="1630"/>
      <c r="S157" s="475"/>
      <c r="T157" s="1639"/>
      <c r="U157" s="1664"/>
      <c r="V157" s="170"/>
      <c r="W157" s="1394"/>
      <c r="Y157" s="1398"/>
      <c r="AA157" s="1402"/>
      <c r="AC157" s="962"/>
      <c r="AD157" s="963"/>
      <c r="AE157" s="962"/>
      <c r="AF157" s="963"/>
      <c r="AG157" s="962"/>
      <c r="AH157" s="963"/>
      <c r="AI157" s="10"/>
      <c r="AJ157" s="10"/>
      <c r="AK157" s="10"/>
    </row>
    <row r="158" spans="1:37" ht="26" x14ac:dyDescent="0.3">
      <c r="A158" s="1519"/>
      <c r="B158" t="s">
        <v>243</v>
      </c>
      <c r="H158" s="146"/>
      <c r="K158" s="46"/>
      <c r="L158" s="46"/>
      <c r="M158" s="46"/>
      <c r="N158" s="1652"/>
      <c r="O158" s="146"/>
      <c r="Q158" s="326"/>
      <c r="R158" s="146"/>
      <c r="T158" s="326"/>
      <c r="W158" s="1394"/>
      <c r="Y158" s="1398"/>
      <c r="AA158" s="1402"/>
      <c r="AC158" s="960"/>
      <c r="AD158" s="961"/>
      <c r="AE158" s="960"/>
      <c r="AF158" s="961"/>
      <c r="AG158" s="960"/>
      <c r="AH158" s="961"/>
      <c r="AI158" s="10"/>
      <c r="AJ158" s="10"/>
      <c r="AK158" s="10"/>
    </row>
    <row r="159" spans="1:37" ht="26" x14ac:dyDescent="0.3">
      <c r="A159" s="1519"/>
      <c r="B159" s="964"/>
      <c r="C159" s="965"/>
      <c r="D159" s="965"/>
      <c r="E159" s="973"/>
      <c r="F159" s="973"/>
      <c r="G159" s="973"/>
      <c r="H159" s="1647">
        <v>11</v>
      </c>
      <c r="I159" s="1648">
        <v>11</v>
      </c>
      <c r="J159" s="45" t="b">
        <f>IF(AND(E159&gt;=H159,E159&lt;=I159),TRUE,FALSE)</f>
        <v>0</v>
      </c>
      <c r="K159" s="32"/>
      <c r="L159" s="32"/>
      <c r="M159" s="32"/>
      <c r="N159" s="1632"/>
      <c r="O159" s="1647">
        <v>11</v>
      </c>
      <c r="P159" s="1648">
        <v>11</v>
      </c>
      <c r="Q159" s="1623" t="b">
        <f>IF(AND(E159&gt;=O159,E159&lt;=P159),TRUE,FALSE)</f>
        <v>0</v>
      </c>
      <c r="R159" s="1647">
        <v>11</v>
      </c>
      <c r="S159" s="1648">
        <v>11</v>
      </c>
      <c r="T159" s="1623" t="b">
        <f>IF(AND(E159&gt;=R159,E159&lt;=S159),TRUE,FALSE)</f>
        <v>0</v>
      </c>
      <c r="U159" s="931"/>
      <c r="V159" s="1428"/>
      <c r="W159" s="1422">
        <v>11</v>
      </c>
      <c r="X159" s="1405"/>
      <c r="Y159" s="1424">
        <v>11</v>
      </c>
      <c r="Z159" s="1405"/>
      <c r="AA159" s="1448">
        <v>11</v>
      </c>
      <c r="AC159" s="960"/>
      <c r="AD159" s="961"/>
      <c r="AE159" s="960"/>
      <c r="AF159" s="961"/>
      <c r="AG159" s="960"/>
      <c r="AH159" s="961"/>
      <c r="AI159" s="10"/>
      <c r="AJ159" s="10"/>
      <c r="AK159" s="10"/>
    </row>
    <row r="160" spans="1:37" ht="27" thickBot="1" x14ac:dyDescent="0.35">
      <c r="A160" s="1519"/>
      <c r="B160" s="964"/>
      <c r="C160" s="972"/>
      <c r="D160" s="965"/>
      <c r="E160" s="973"/>
      <c r="F160" s="973"/>
      <c r="G160" s="973"/>
      <c r="H160" s="1647">
        <v>11</v>
      </c>
      <c r="I160" s="1648">
        <v>11</v>
      </c>
      <c r="J160" s="45" t="b">
        <f>IF(AND(E160&gt;=H160,E160&lt;=I160),TRUE,FALSE)</f>
        <v>0</v>
      </c>
      <c r="K160" s="32"/>
      <c r="L160" s="32"/>
      <c r="M160" s="32"/>
      <c r="N160" s="1632"/>
      <c r="O160" s="1647">
        <v>11</v>
      </c>
      <c r="P160" s="1648">
        <v>11</v>
      </c>
      <c r="Q160" s="1623" t="b">
        <f>IF(AND(E160&gt;=O160,E160&lt;=P160),TRUE,FALSE)</f>
        <v>0</v>
      </c>
      <c r="R160" s="1647">
        <v>11</v>
      </c>
      <c r="S160" s="1648">
        <v>11</v>
      </c>
      <c r="T160" s="1623" t="b">
        <f>IF(AND(E160&gt;=R160,E160&lt;=S160),TRUE,FALSE)</f>
        <v>0</v>
      </c>
      <c r="U160" s="931"/>
      <c r="V160" s="1429"/>
      <c r="W160" s="1425">
        <v>11</v>
      </c>
      <c r="X160" s="1426"/>
      <c r="Y160" s="1427">
        <v>11</v>
      </c>
      <c r="Z160" s="1426"/>
      <c r="AA160" s="1421">
        <v>11</v>
      </c>
      <c r="AC160" s="960"/>
      <c r="AD160" s="961"/>
      <c r="AE160" s="960"/>
      <c r="AF160" s="961"/>
      <c r="AG160" s="960"/>
      <c r="AH160" s="961"/>
      <c r="AI160" s="10"/>
      <c r="AJ160" s="10"/>
      <c r="AK160" s="10"/>
    </row>
    <row r="161" spans="1:37" ht="27" thickBot="1" x14ac:dyDescent="0.35">
      <c r="A161" s="657"/>
      <c r="C161" s="16"/>
      <c r="D161" s="16"/>
      <c r="E161" s="89"/>
      <c r="F161" s="473"/>
      <c r="G161" s="473"/>
      <c r="H161" s="1644"/>
      <c r="I161" s="1645"/>
      <c r="J161" s="1651" t="b">
        <f>IF(AND(J159=FALSE,J160=FALSE),FALSE,TRUE)</f>
        <v>0</v>
      </c>
      <c r="K161" s="1633"/>
      <c r="L161" s="1634"/>
      <c r="M161" s="1634"/>
      <c r="N161" s="1635"/>
      <c r="O161" s="1644"/>
      <c r="P161" s="1645"/>
      <c r="Q161" s="1651" t="b">
        <f>IF(AND(Q159=FALSE,Q160=FALSE),FALSE,TRUE)</f>
        <v>0</v>
      </c>
      <c r="R161" s="1656"/>
      <c r="S161" s="1657"/>
      <c r="T161" s="1658" t="b">
        <f>IF(AND(T159=FALSE,T160=FALSE),FALSE,TRUE)</f>
        <v>0</v>
      </c>
      <c r="U161" s="80"/>
      <c r="AC161" s="1564"/>
      <c r="AD161" s="1565"/>
      <c r="AE161" s="1564"/>
      <c r="AF161" s="1565"/>
      <c r="AG161" s="1564"/>
      <c r="AH161" s="1565"/>
      <c r="AI161" s="10"/>
      <c r="AJ161" s="10"/>
      <c r="AK161" s="10"/>
    </row>
    <row r="162" spans="1:37" ht="26" x14ac:dyDescent="0.3">
      <c r="A162" s="657"/>
      <c r="C162" s="16"/>
      <c r="D162" s="16"/>
      <c r="E162" s="89"/>
      <c r="F162" s="473"/>
      <c r="G162" s="473"/>
      <c r="H162" s="8"/>
      <c r="I162" s="8"/>
      <c r="J162" s="80"/>
      <c r="K162" s="80"/>
      <c r="L162" s="80"/>
      <c r="M162" s="80"/>
      <c r="N162" s="80"/>
      <c r="O162" s="80"/>
      <c r="P162" s="80"/>
      <c r="Q162" s="80"/>
      <c r="R162" s="80"/>
      <c r="S162" s="80"/>
      <c r="T162" s="80"/>
      <c r="U162" s="80"/>
      <c r="AC162" s="1649"/>
      <c r="AD162" s="1650"/>
      <c r="AE162" s="1649"/>
      <c r="AF162" s="1650"/>
      <c r="AG162" s="1649"/>
      <c r="AH162" s="1650"/>
      <c r="AI162" s="10"/>
      <c r="AJ162" s="10"/>
      <c r="AK162" s="10"/>
    </row>
    <row r="163" spans="1:37" ht="26" x14ac:dyDescent="0.3">
      <c r="A163" s="657"/>
      <c r="C163" s="16"/>
      <c r="D163" s="16"/>
      <c r="E163" s="89"/>
      <c r="F163" s="473"/>
      <c r="G163" s="473"/>
      <c r="H163" s="8"/>
      <c r="I163" s="8"/>
      <c r="J163" s="80"/>
      <c r="K163" s="80"/>
      <c r="L163" s="80"/>
      <c r="M163" s="80"/>
      <c r="N163" s="80"/>
      <c r="O163" s="80"/>
      <c r="P163" s="80"/>
      <c r="Q163" s="80"/>
      <c r="R163" s="80"/>
      <c r="S163" s="80"/>
      <c r="T163" s="80"/>
      <c r="U163" s="80"/>
      <c r="AC163" s="1668"/>
      <c r="AD163" s="1669"/>
      <c r="AE163" s="1409"/>
      <c r="AF163" s="1409"/>
      <c r="AG163" s="1409"/>
      <c r="AH163" s="1409"/>
      <c r="AI163" s="10"/>
      <c r="AJ163" s="10"/>
      <c r="AK163" s="10"/>
    </row>
    <row r="164" spans="1:37" ht="26" x14ac:dyDescent="0.3">
      <c r="A164" s="820">
        <v>9</v>
      </c>
      <c r="C164" s="476">
        <f>'CPTS indépendants'!F27</f>
        <v>0</v>
      </c>
      <c r="D164" s="107"/>
      <c r="E164" s="65"/>
      <c r="F164" s="18"/>
      <c r="G164" s="18"/>
      <c r="H164" s="2255" t="s">
        <v>734</v>
      </c>
      <c r="I164" s="2256"/>
      <c r="J164" s="2256"/>
      <c r="K164" s="2257" t="s">
        <v>1378</v>
      </c>
      <c r="L164" s="2257"/>
      <c r="M164" s="2257"/>
      <c r="N164" s="2258"/>
      <c r="O164" s="2259" t="s">
        <v>733</v>
      </c>
      <c r="P164" s="2260"/>
      <c r="Q164" s="2261"/>
      <c r="R164" s="2262" t="s">
        <v>735</v>
      </c>
      <c r="S164" s="2263"/>
      <c r="T164" s="2264"/>
      <c r="U164" s="15"/>
      <c r="V164" s="15"/>
      <c r="AC164" s="956"/>
      <c r="AD164" s="956"/>
      <c r="AE164" s="956"/>
      <c r="AF164" s="956"/>
      <c r="AG164" s="956"/>
      <c r="AH164" s="957"/>
      <c r="AI164" s="10"/>
      <c r="AJ164" s="10"/>
      <c r="AK164" s="10"/>
    </row>
    <row r="165" spans="1:37" ht="69" thickBot="1" x14ac:dyDescent="0.35">
      <c r="A165" s="657"/>
      <c r="C165" s="102" t="s">
        <v>998</v>
      </c>
      <c r="D165" s="983"/>
      <c r="E165" s="32" t="s">
        <v>748</v>
      </c>
      <c r="F165" s="32" t="s">
        <v>749</v>
      </c>
      <c r="G165" s="32" t="s">
        <v>750</v>
      </c>
      <c r="H165" s="1620" t="s">
        <v>306</v>
      </c>
      <c r="I165" s="43" t="s">
        <v>307</v>
      </c>
      <c r="J165" s="43" t="s">
        <v>308</v>
      </c>
      <c r="K165" s="43"/>
      <c r="L165" s="43"/>
      <c r="M165" s="43"/>
      <c r="N165" s="1621"/>
      <c r="O165" s="1620" t="s">
        <v>306</v>
      </c>
      <c r="P165" s="43" t="s">
        <v>307</v>
      </c>
      <c r="Q165" s="1621" t="s">
        <v>308</v>
      </c>
      <c r="R165" s="1620" t="s">
        <v>306</v>
      </c>
      <c r="S165" s="43" t="s">
        <v>307</v>
      </c>
      <c r="T165" s="1621" t="s">
        <v>308</v>
      </c>
      <c r="U165" s="818"/>
      <c r="V165" s="955" t="s">
        <v>928</v>
      </c>
      <c r="W165" s="1391" t="s">
        <v>734</v>
      </c>
      <c r="X165" s="955" t="s">
        <v>928</v>
      </c>
      <c r="Y165" s="1395" t="s">
        <v>733</v>
      </c>
      <c r="Z165" s="955"/>
      <c r="AA165" s="1399" t="s">
        <v>735</v>
      </c>
      <c r="AC165" s="970" t="s">
        <v>734</v>
      </c>
      <c r="AD165" s="971" t="s">
        <v>946</v>
      </c>
      <c r="AE165" s="970" t="s">
        <v>733</v>
      </c>
      <c r="AF165" s="971" t="s">
        <v>947</v>
      </c>
      <c r="AG165" s="970" t="s">
        <v>735</v>
      </c>
      <c r="AH165" s="971" t="s">
        <v>948</v>
      </c>
      <c r="AI165" s="10"/>
      <c r="AJ165" s="10"/>
      <c r="AK165" s="10"/>
    </row>
    <row r="166" spans="1:37" ht="26" hidden="1" x14ac:dyDescent="0.2">
      <c r="A166" s="821"/>
      <c r="B166" s="414"/>
      <c r="C166" s="26"/>
      <c r="D166" s="101"/>
      <c r="E166" s="790"/>
      <c r="F166" s="789"/>
      <c r="G166" s="790"/>
      <c r="H166" s="1647">
        <v>11</v>
      </c>
      <c r="I166" s="1648">
        <v>11</v>
      </c>
      <c r="J166" s="45" t="b">
        <f>IF(AND(E166&gt;=H166,E166&lt;=I166),TRUE,FALSE)</f>
        <v>0</v>
      </c>
      <c r="K166" s="45"/>
      <c r="L166" s="45"/>
      <c r="M166" s="45"/>
      <c r="N166" s="1623"/>
      <c r="O166" s="1647">
        <v>11</v>
      </c>
      <c r="P166" s="1648">
        <v>11</v>
      </c>
      <c r="Q166" s="1623" t="b">
        <f>IF(AND(E166&gt;=O166,E166&lt;=P166),TRUE,FALSE)</f>
        <v>0</v>
      </c>
      <c r="R166" s="1647">
        <v>11</v>
      </c>
      <c r="S166" s="1648">
        <v>11</v>
      </c>
      <c r="T166" s="1623" t="b">
        <f>IF(AND(E166&gt;=R166,E166&lt;=S166),TRUE,FALSE)</f>
        <v>0</v>
      </c>
      <c r="U166" s="931"/>
      <c r="V166" s="1403"/>
      <c r="W166" s="1436">
        <v>11</v>
      </c>
      <c r="X166" s="1447"/>
      <c r="Y166" s="1446">
        <v>11</v>
      </c>
      <c r="Z166" s="1405"/>
      <c r="AA166" s="1448">
        <v>11</v>
      </c>
      <c r="AC166" s="958"/>
      <c r="AD166" s="959"/>
      <c r="AE166" s="958"/>
      <c r="AF166" s="959"/>
      <c r="AG166" s="958"/>
      <c r="AH166" s="959"/>
      <c r="AI166" s="10"/>
      <c r="AJ166" s="10"/>
      <c r="AK166" s="10"/>
    </row>
    <row r="167" spans="1:37" ht="26" hidden="1" x14ac:dyDescent="0.3">
      <c r="A167" s="657"/>
      <c r="B167" s="414"/>
      <c r="C167" s="26"/>
      <c r="D167" s="101"/>
      <c r="E167" s="790"/>
      <c r="F167" s="789"/>
      <c r="G167" s="790"/>
      <c r="H167" s="1647">
        <v>11</v>
      </c>
      <c r="I167" s="1648">
        <v>11</v>
      </c>
      <c r="J167" s="45" t="b">
        <f>IF(AND(E167&gt;=H167,E167&lt;=I167),TRUE,FALSE)</f>
        <v>0</v>
      </c>
      <c r="K167" s="45"/>
      <c r="L167" s="45"/>
      <c r="M167" s="45"/>
      <c r="N167" s="1623"/>
      <c r="O167" s="1647">
        <v>11</v>
      </c>
      <c r="P167" s="1648">
        <v>11</v>
      </c>
      <c r="Q167" s="1623" t="b">
        <f>IF(AND(E167&gt;=O167,E167&lt;=P167),TRUE,FALSE)</f>
        <v>0</v>
      </c>
      <c r="R167" s="1647">
        <v>11</v>
      </c>
      <c r="S167" s="1648">
        <v>11</v>
      </c>
      <c r="T167" s="1623" t="b">
        <f>IF(AND(E167&gt;=R167,E167&lt;=S167),TRUE,FALSE)</f>
        <v>0</v>
      </c>
      <c r="U167" s="931"/>
      <c r="V167" s="1406" t="s">
        <v>943</v>
      </c>
      <c r="W167" s="1437">
        <v>11</v>
      </c>
      <c r="X167" s="1441"/>
      <c r="Y167" s="1440">
        <v>11</v>
      </c>
      <c r="Z167" s="1426"/>
      <c r="AA167" s="1442">
        <v>11</v>
      </c>
      <c r="AC167" s="960"/>
      <c r="AD167" s="961"/>
      <c r="AE167" s="960"/>
      <c r="AF167" s="961"/>
      <c r="AG167" s="960"/>
      <c r="AH167" s="961"/>
      <c r="AI167" s="10"/>
      <c r="AJ167" s="10"/>
      <c r="AK167" s="10"/>
    </row>
    <row r="168" spans="1:37" ht="26" hidden="1" x14ac:dyDescent="0.3">
      <c r="A168" s="657"/>
      <c r="B168" s="792"/>
      <c r="C168" s="793"/>
      <c r="D168" s="794"/>
      <c r="E168" s="795"/>
      <c r="F168" s="795"/>
      <c r="G168" s="795"/>
      <c r="H168" s="1624"/>
      <c r="I168" s="796"/>
      <c r="J168" s="797" t="b">
        <f>IF(AND(J166=FALSE,J167=FALSE),FALSE,TRUE)</f>
        <v>0</v>
      </c>
      <c r="K168" s="45"/>
      <c r="L168" s="45"/>
      <c r="M168" s="45"/>
      <c r="N168" s="1623"/>
      <c r="O168" s="1624"/>
      <c r="P168" s="796"/>
      <c r="Q168" s="1637" t="b">
        <f>IF(AND(Q166=FALSE,Q167=FALSE),FALSE,TRUE)</f>
        <v>0</v>
      </c>
      <c r="R168" s="1624"/>
      <c r="S168" s="796"/>
      <c r="T168" s="1637" t="b">
        <f>IF(AND(T166=FALSE,T167=FALSE),FALSE,TRUE)</f>
        <v>0</v>
      </c>
      <c r="U168" s="931"/>
      <c r="V168" s="931" t="s">
        <v>943</v>
      </c>
      <c r="W168" s="1438"/>
      <c r="X168" s="1444"/>
      <c r="Y168" s="1443"/>
      <c r="Z168" s="8"/>
      <c r="AA168" s="1445"/>
      <c r="AC168" s="960"/>
      <c r="AD168" s="961"/>
      <c r="AE168" s="960"/>
      <c r="AF168" s="961"/>
      <c r="AG168" s="960"/>
      <c r="AH168" s="961"/>
      <c r="AI168" s="10"/>
      <c r="AJ168" s="10"/>
      <c r="AK168" s="10"/>
    </row>
    <row r="169" spans="1:37" ht="26" hidden="1" x14ac:dyDescent="0.3">
      <c r="A169" s="657"/>
      <c r="B169" s="52"/>
      <c r="C169" s="26"/>
      <c r="D169" s="101"/>
      <c r="E169" s="790"/>
      <c r="F169" s="789"/>
      <c r="G169" s="790"/>
      <c r="H169" s="1647">
        <v>11</v>
      </c>
      <c r="I169" s="1648">
        <v>11</v>
      </c>
      <c r="J169" s="45" t="b">
        <f>IF(AND(E169&gt;=H169,E169&lt;=I169),TRUE,FALSE)</f>
        <v>0</v>
      </c>
      <c r="K169" s="45"/>
      <c r="L169" s="45"/>
      <c r="M169" s="45"/>
      <c r="N169" s="1623"/>
      <c r="O169" s="1647">
        <v>11</v>
      </c>
      <c r="P169" s="1648">
        <v>11</v>
      </c>
      <c r="Q169" s="1623" t="b">
        <f>IF(AND(E169&gt;=O169,E169&lt;=P169),TRUE,FALSE)</f>
        <v>0</v>
      </c>
      <c r="R169" s="1647">
        <v>11</v>
      </c>
      <c r="S169" s="1648">
        <v>11</v>
      </c>
      <c r="T169" s="1623" t="b">
        <f>IF(AND(E169&gt;=R169,E169&lt;=S169),TRUE,FALSE)</f>
        <v>0</v>
      </c>
      <c r="U169" s="931"/>
      <c r="V169" s="1403"/>
      <c r="W169" s="1436">
        <v>11</v>
      </c>
      <c r="X169" s="1447"/>
      <c r="Y169" s="1446">
        <v>11</v>
      </c>
      <c r="Z169" s="1405"/>
      <c r="AA169" s="1448">
        <v>11</v>
      </c>
      <c r="AC169" s="960"/>
      <c r="AD169" s="961"/>
      <c r="AE169" s="960"/>
      <c r="AF169" s="961"/>
      <c r="AG169" s="960"/>
      <c r="AH169" s="961"/>
      <c r="AI169" s="10"/>
      <c r="AJ169" s="10"/>
      <c r="AK169" s="10"/>
    </row>
    <row r="170" spans="1:37" ht="26" hidden="1" x14ac:dyDescent="0.3">
      <c r="A170" s="657"/>
      <c r="B170" s="52"/>
      <c r="C170" s="26"/>
      <c r="D170" s="101"/>
      <c r="E170" s="790"/>
      <c r="F170" s="789"/>
      <c r="G170" s="790"/>
      <c r="H170" s="1647">
        <v>11</v>
      </c>
      <c r="I170" s="1648">
        <v>11</v>
      </c>
      <c r="J170" s="45" t="b">
        <f>IF(AND(E170&gt;=H170,E170&lt;=I170),TRUE,FALSE)</f>
        <v>0</v>
      </c>
      <c r="K170" s="45"/>
      <c r="L170" s="45"/>
      <c r="M170" s="45"/>
      <c r="N170" s="1623"/>
      <c r="O170" s="1647">
        <v>11</v>
      </c>
      <c r="P170" s="1648">
        <v>11</v>
      </c>
      <c r="Q170" s="1623" t="b">
        <f>IF(AND(E170&gt;=O170,E170&lt;=P170),TRUE,FALSE)</f>
        <v>0</v>
      </c>
      <c r="R170" s="1647">
        <v>11</v>
      </c>
      <c r="S170" s="1648">
        <v>11</v>
      </c>
      <c r="T170" s="1623" t="b">
        <f>IF(AND(E170&gt;=R170,E170&lt;=S170),TRUE,FALSE)</f>
        <v>0</v>
      </c>
      <c r="U170" s="931"/>
      <c r="V170" s="1406" t="s">
        <v>943</v>
      </c>
      <c r="W170" s="1437">
        <v>11</v>
      </c>
      <c r="X170" s="1441"/>
      <c r="Y170" s="1440">
        <v>11</v>
      </c>
      <c r="Z170" s="1412"/>
      <c r="AA170" s="1442">
        <v>11</v>
      </c>
      <c r="AC170" s="960"/>
      <c r="AD170" s="961"/>
      <c r="AE170" s="960"/>
      <c r="AF170" s="961"/>
      <c r="AG170" s="960"/>
      <c r="AH170" s="961"/>
      <c r="AI170" s="10"/>
      <c r="AJ170" s="10"/>
      <c r="AK170" s="10"/>
    </row>
    <row r="171" spans="1:37" ht="27" hidden="1" thickBot="1" x14ac:dyDescent="0.35">
      <c r="A171" s="657"/>
      <c r="B171" s="798"/>
      <c r="C171" s="799"/>
      <c r="D171" s="800"/>
      <c r="E171" s="801"/>
      <c r="F171" s="801"/>
      <c r="G171" s="801"/>
      <c r="H171" s="1625"/>
      <c r="I171" s="802"/>
      <c r="J171" s="803" t="b">
        <f>IF(AND(J169=FALSE,J170=FALSE),FALSE,TRUE)</f>
        <v>0</v>
      </c>
      <c r="K171" s="45"/>
      <c r="L171" s="45"/>
      <c r="M171" s="45"/>
      <c r="N171" s="1623"/>
      <c r="O171" s="1625"/>
      <c r="P171" s="802"/>
      <c r="Q171" s="1638" t="b">
        <f>IF(AND(Q169=FALSE,Q170=FALSE),FALSE,TRUE)</f>
        <v>0</v>
      </c>
      <c r="R171" s="1625"/>
      <c r="S171" s="802"/>
      <c r="T171" s="1638" t="b">
        <f>IF(AND(T169=FALSE,T170=FALSE),FALSE,TRUE)</f>
        <v>0</v>
      </c>
      <c r="U171" s="931"/>
      <c r="V171" s="931"/>
      <c r="W171" s="1392"/>
      <c r="X171" s="8"/>
      <c r="Y171" s="1397"/>
      <c r="Z171" s="8"/>
      <c r="AA171" s="1400"/>
      <c r="AC171" s="960"/>
      <c r="AD171" s="961"/>
      <c r="AE171" s="960"/>
      <c r="AF171" s="961"/>
      <c r="AG171" s="960"/>
      <c r="AH171" s="961"/>
      <c r="AI171" s="10"/>
      <c r="AJ171" s="10"/>
      <c r="AK171" s="10"/>
    </row>
    <row r="172" spans="1:37" ht="27" thickBot="1" x14ac:dyDescent="0.35">
      <c r="A172" s="657"/>
      <c r="B172" s="804"/>
      <c r="C172" s="805"/>
      <c r="D172" s="805"/>
      <c r="E172" s="806"/>
      <c r="F172" s="806"/>
      <c r="G172" s="806"/>
      <c r="H172" s="1626"/>
      <c r="I172" s="807"/>
      <c r="J172" s="808" t="b">
        <f>IF(AND(J168=FALSE,J171=FALSE),FALSE,TRUE)</f>
        <v>0</v>
      </c>
      <c r="K172" s="1610"/>
      <c r="L172" s="1610"/>
      <c r="M172" s="1610"/>
      <c r="N172" s="1627"/>
      <c r="O172" s="1626"/>
      <c r="P172" s="807"/>
      <c r="Q172" s="808" t="b">
        <f>IF(AND(Q168=FALSE,Q171=FALSE),FALSE,TRUE)</f>
        <v>0</v>
      </c>
      <c r="R172" s="1626"/>
      <c r="S172" s="807"/>
      <c r="T172" s="808" t="b">
        <f>IF(AND(T168=FALSE,T171=FALSE),FALSE,TRUE)</f>
        <v>0</v>
      </c>
      <c r="U172" s="931"/>
      <c r="V172" s="931" t="s">
        <v>942</v>
      </c>
      <c r="W172" s="1392"/>
      <c r="X172" s="8"/>
      <c r="Y172" s="1397"/>
      <c r="Z172" s="8"/>
      <c r="AA172" s="1400"/>
      <c r="AC172" s="960" t="str">
        <f>IF(J172=TRUE,"V","F")</f>
        <v>F</v>
      </c>
      <c r="AD172" s="961"/>
      <c r="AE172" s="960" t="str">
        <f>IF(Q172=TRUE,"V","F")</f>
        <v>F</v>
      </c>
      <c r="AF172" s="961"/>
      <c r="AG172" s="960" t="str">
        <f>IF(T172=TRUE,"V","F")</f>
        <v>F</v>
      </c>
      <c r="AH172" s="961"/>
      <c r="AI172" s="10"/>
      <c r="AJ172" s="10"/>
      <c r="AK172" s="10"/>
    </row>
    <row r="173" spans="1:37" ht="34" x14ac:dyDescent="0.2">
      <c r="A173" s="821"/>
      <c r="B173" s="313">
        <f>'CPTS indépendants'!O27</f>
        <v>0</v>
      </c>
      <c r="C173" s="26" t="str">
        <f>Test_Bible!B329</f>
        <v xml:space="preserve">Votre enfant bloque les communications (tél., textos, réseaux sociaux, etc.). </v>
      </c>
      <c r="D173" s="101"/>
      <c r="E173" s="790">
        <f>Test_Bible!P329</f>
        <v>2</v>
      </c>
      <c r="F173" s="789">
        <f>Test_Bible!D329</f>
        <v>3</v>
      </c>
      <c r="G173" s="790">
        <f>E173*F173</f>
        <v>6</v>
      </c>
      <c r="H173" s="1622">
        <v>4</v>
      </c>
      <c r="I173" s="1615">
        <v>10</v>
      </c>
      <c r="J173" s="45" t="b">
        <f>IF(AND(E173&gt;=H173,E173&lt;=I173),TRUE,FALSE)</f>
        <v>0</v>
      </c>
      <c r="K173" s="45"/>
      <c r="L173" s="45"/>
      <c r="M173" s="45"/>
      <c r="N173" s="1623"/>
      <c r="O173" s="1622">
        <v>2</v>
      </c>
      <c r="P173" s="1615">
        <v>7</v>
      </c>
      <c r="Q173" s="1623" t="b">
        <f>IF(AND(E173&gt;=O173,E173&lt;=P173),TRUE,FALSE)</f>
        <v>1</v>
      </c>
      <c r="R173" s="1622"/>
      <c r="S173" s="1615"/>
      <c r="T173" s="1623"/>
      <c r="U173" s="931"/>
      <c r="V173" s="1403"/>
      <c r="W173" s="1404">
        <v>4</v>
      </c>
      <c r="X173" s="1405"/>
      <c r="Y173" s="1408">
        <v>2</v>
      </c>
      <c r="Z173" s="1405"/>
      <c r="AA173" s="1416">
        <v>11</v>
      </c>
      <c r="AC173" s="960" t="s">
        <v>945</v>
      </c>
      <c r="AD173" s="961"/>
      <c r="AE173" s="960"/>
      <c r="AF173" s="961"/>
      <c r="AG173" s="960"/>
      <c r="AH173" s="961"/>
      <c r="AI173" s="10"/>
      <c r="AJ173" s="10"/>
      <c r="AK173" s="10"/>
    </row>
    <row r="174" spans="1:37" ht="27" thickBot="1" x14ac:dyDescent="0.35">
      <c r="A174" s="657"/>
      <c r="B174" s="313"/>
      <c r="C174" s="26"/>
      <c r="D174" s="101"/>
      <c r="E174" s="790"/>
      <c r="F174" s="789"/>
      <c r="G174" s="790"/>
      <c r="H174" s="1647">
        <v>11</v>
      </c>
      <c r="I174" s="1648">
        <v>11</v>
      </c>
      <c r="J174" s="45" t="b">
        <f>IF(AND(E174&gt;=H174,E174&lt;=I174),TRUE,FALSE)</f>
        <v>0</v>
      </c>
      <c r="K174" s="45"/>
      <c r="L174" s="45"/>
      <c r="M174" s="45"/>
      <c r="N174" s="1623"/>
      <c r="O174" s="1647">
        <v>11</v>
      </c>
      <c r="P174" s="1648">
        <v>11</v>
      </c>
      <c r="Q174" s="1623" t="b">
        <f>IF(AND(E174&gt;=O174,E174&lt;=P174),TRUE,FALSE)</f>
        <v>0</v>
      </c>
      <c r="R174" s="1647"/>
      <c r="S174" s="1648"/>
      <c r="T174" s="1623"/>
      <c r="U174" s="931"/>
      <c r="V174" s="1406" t="s">
        <v>943</v>
      </c>
      <c r="W174" s="1425">
        <v>11</v>
      </c>
      <c r="X174" s="1426"/>
      <c r="Y174" s="1427">
        <v>11</v>
      </c>
      <c r="Z174" s="1426"/>
      <c r="AA174" s="1421">
        <v>11</v>
      </c>
      <c r="AC174" s="960"/>
      <c r="AD174" s="961"/>
      <c r="AE174" s="960"/>
      <c r="AF174" s="961"/>
      <c r="AG174" s="960"/>
      <c r="AH174" s="961"/>
      <c r="AI174" s="10"/>
      <c r="AJ174" s="10"/>
      <c r="AK174" s="10"/>
    </row>
    <row r="175" spans="1:37" ht="27" thickBot="1" x14ac:dyDescent="0.35">
      <c r="A175" s="657"/>
      <c r="B175" s="809"/>
      <c r="C175" s="810"/>
      <c r="D175" s="810"/>
      <c r="E175" s="811"/>
      <c r="F175" s="811"/>
      <c r="G175" s="811"/>
      <c r="H175" s="1628"/>
      <c r="I175" s="812"/>
      <c r="J175" s="813" t="b">
        <f>IF(AND(J173=FALSE,J174=FALSE),FALSE,TRUE)</f>
        <v>0</v>
      </c>
      <c r="K175" s="1611"/>
      <c r="L175" s="1611"/>
      <c r="M175" s="1611"/>
      <c r="N175" s="1629"/>
      <c r="O175" s="1628"/>
      <c r="P175" s="812"/>
      <c r="Q175" s="813" t="b">
        <f>IF(AND(Q173=FALSE,Q174=FALSE),FALSE,TRUE)</f>
        <v>1</v>
      </c>
      <c r="R175" s="1628"/>
      <c r="S175" s="812"/>
      <c r="T175" s="813"/>
      <c r="U175" s="931"/>
      <c r="V175" s="931"/>
      <c r="W175" s="1394"/>
      <c r="Y175" s="1398"/>
      <c r="AA175" s="1402"/>
      <c r="AC175" s="960" t="str">
        <f>IF(J175=TRUE,"V","F")</f>
        <v>F</v>
      </c>
      <c r="AD175" s="961"/>
      <c r="AE175" s="960" t="str">
        <f>IF(Q175=TRUE,"V","F")</f>
        <v>V</v>
      </c>
      <c r="AF175" s="961"/>
      <c r="AG175" s="960"/>
      <c r="AH175" s="961"/>
      <c r="AI175" s="10"/>
      <c r="AJ175" s="10"/>
      <c r="AK175" s="10"/>
    </row>
    <row r="176" spans="1:37" ht="26" x14ac:dyDescent="0.3">
      <c r="A176" s="657"/>
      <c r="C176" s="421"/>
      <c r="D176" s="785"/>
      <c r="E176" s="474"/>
      <c r="F176" s="47"/>
      <c r="G176" s="47"/>
      <c r="H176" s="1630"/>
      <c r="I176" s="475"/>
      <c r="J176" s="1613"/>
      <c r="K176" s="1614"/>
      <c r="L176" s="1614"/>
      <c r="M176" s="1614"/>
      <c r="N176" s="1631"/>
      <c r="O176" s="1630"/>
      <c r="P176" s="475"/>
      <c r="Q176" s="1639"/>
      <c r="R176" s="1630"/>
      <c r="S176" s="475"/>
      <c r="T176" s="1639"/>
      <c r="U176" s="1664"/>
      <c r="V176" s="170"/>
      <c r="W176" s="1394"/>
      <c r="Y176" s="1398"/>
      <c r="AA176" s="1402"/>
      <c r="AC176" s="962"/>
      <c r="AD176" s="963">
        <f>IF(AND(AC172="V",AC175="V"),2,IF(OR(AC172="V",AC175="V"),1,0))</f>
        <v>0</v>
      </c>
      <c r="AE176" s="962"/>
      <c r="AF176" s="963">
        <f>IF(OR(AE172="V",AE175="V"),1,0)</f>
        <v>1</v>
      </c>
      <c r="AG176" s="962"/>
      <c r="AH176" s="963"/>
      <c r="AI176" s="10"/>
      <c r="AJ176" s="10"/>
      <c r="AK176" s="10"/>
    </row>
    <row r="177" spans="1:37" ht="27" thickBot="1" x14ac:dyDescent="0.35">
      <c r="A177" s="657"/>
      <c r="B177" t="s">
        <v>243</v>
      </c>
      <c r="H177" s="146"/>
      <c r="K177" s="46"/>
      <c r="L177" s="46"/>
      <c r="M177" s="46"/>
      <c r="N177" s="1652"/>
      <c r="O177" s="146"/>
      <c r="Q177" s="326"/>
      <c r="R177" s="146"/>
      <c r="T177" s="326"/>
      <c r="W177" s="1394"/>
      <c r="Y177" s="1398"/>
      <c r="AA177" s="1402"/>
      <c r="AC177" s="960"/>
      <c r="AD177" s="961"/>
      <c r="AE177" s="960"/>
      <c r="AF177" s="961"/>
      <c r="AG177" s="960"/>
      <c r="AH177" s="961"/>
      <c r="AI177" s="10"/>
      <c r="AJ177" s="10"/>
      <c r="AK177" s="10"/>
    </row>
    <row r="178" spans="1:37" ht="26" hidden="1" x14ac:dyDescent="0.3">
      <c r="A178" s="657"/>
      <c r="B178" s="964"/>
      <c r="C178" s="965"/>
      <c r="D178" s="965"/>
      <c r="E178" s="973"/>
      <c r="F178" s="973"/>
      <c r="G178" s="973"/>
      <c r="H178" s="1647">
        <v>11</v>
      </c>
      <c r="I178" s="1648">
        <v>11</v>
      </c>
      <c r="J178" s="45" t="b">
        <f>IF(AND(E178&gt;=H178,E178&lt;=I178),TRUE,FALSE)</f>
        <v>0</v>
      </c>
      <c r="K178" s="32"/>
      <c r="L178" s="32"/>
      <c r="M178" s="32"/>
      <c r="N178" s="1632"/>
      <c r="O178" s="1647">
        <v>11</v>
      </c>
      <c r="P178" s="1648">
        <v>11</v>
      </c>
      <c r="Q178" s="1623" t="b">
        <f>IF(AND(E178&gt;=O178,E178&lt;=P178),TRUE,FALSE)</f>
        <v>0</v>
      </c>
      <c r="R178" s="1647">
        <v>11</v>
      </c>
      <c r="S178" s="1648">
        <v>11</v>
      </c>
      <c r="T178" s="1623" t="b">
        <f>IF(AND(E178&gt;=R178,E178&lt;=S178),TRUE,FALSE)</f>
        <v>0</v>
      </c>
      <c r="U178" s="931"/>
      <c r="V178" s="1428"/>
      <c r="W178" s="1422">
        <v>11</v>
      </c>
      <c r="X178" s="1405"/>
      <c r="Y178" s="1424">
        <v>11</v>
      </c>
      <c r="Z178" s="1405"/>
      <c r="AA178" s="1448">
        <v>11</v>
      </c>
      <c r="AC178" s="960"/>
      <c r="AD178" s="961"/>
      <c r="AE178" s="960"/>
      <c r="AF178" s="961"/>
      <c r="AG178" s="960"/>
      <c r="AH178" s="961"/>
      <c r="AI178" s="10"/>
      <c r="AJ178" s="10"/>
      <c r="AK178" s="10"/>
    </row>
    <row r="179" spans="1:37" ht="27" hidden="1" thickBot="1" x14ac:dyDescent="0.35">
      <c r="A179" s="657"/>
      <c r="B179" s="964"/>
      <c r="C179" s="972"/>
      <c r="D179" s="965"/>
      <c r="E179" s="973"/>
      <c r="F179" s="973"/>
      <c r="G179" s="973"/>
      <c r="H179" s="1647">
        <v>11</v>
      </c>
      <c r="I179" s="1648">
        <v>11</v>
      </c>
      <c r="J179" s="45" t="b">
        <f>IF(AND(E179&gt;=H179,E179&lt;=I179),TRUE,FALSE)</f>
        <v>0</v>
      </c>
      <c r="K179" s="32"/>
      <c r="L179" s="32"/>
      <c r="M179" s="32"/>
      <c r="N179" s="1632"/>
      <c r="O179" s="1647">
        <v>11</v>
      </c>
      <c r="P179" s="1648">
        <v>11</v>
      </c>
      <c r="Q179" s="1623" t="b">
        <f>IF(AND(E179&gt;=O179,E179&lt;=P179),TRUE,FALSE)</f>
        <v>0</v>
      </c>
      <c r="R179" s="1647">
        <v>11</v>
      </c>
      <c r="S179" s="1648">
        <v>11</v>
      </c>
      <c r="T179" s="1623" t="b">
        <f>IF(AND(E179&gt;=R179,E179&lt;=S179),TRUE,FALSE)</f>
        <v>0</v>
      </c>
      <c r="U179" s="931"/>
      <c r="V179" s="1429"/>
      <c r="W179" s="1425">
        <v>11</v>
      </c>
      <c r="X179" s="1426"/>
      <c r="Y179" s="1427">
        <v>11</v>
      </c>
      <c r="Z179" s="1426"/>
      <c r="AA179" s="1421">
        <v>11</v>
      </c>
      <c r="AC179" s="960"/>
      <c r="AD179" s="961"/>
      <c r="AE179" s="960"/>
      <c r="AF179" s="961"/>
      <c r="AG179" s="960"/>
      <c r="AH179" s="961"/>
      <c r="AI179" s="10"/>
      <c r="AJ179" s="10"/>
      <c r="AK179" s="10"/>
    </row>
    <row r="180" spans="1:37" ht="27" thickBot="1" x14ac:dyDescent="0.35">
      <c r="A180" s="657"/>
      <c r="C180" s="16"/>
      <c r="D180" s="16"/>
      <c r="E180" s="89"/>
      <c r="F180" s="473"/>
      <c r="G180" s="473"/>
      <c r="H180" s="1644"/>
      <c r="I180" s="1645"/>
      <c r="J180" s="1651" t="b">
        <f>IF(AND(J178=FALSE,J179=FALSE),FALSE,TRUE)</f>
        <v>0</v>
      </c>
      <c r="K180" s="1633"/>
      <c r="L180" s="1634"/>
      <c r="M180" s="1634"/>
      <c r="N180" s="1635"/>
      <c r="O180" s="1644"/>
      <c r="P180" s="1645"/>
      <c r="Q180" s="1651" t="b">
        <f>IF(AND(Q178=FALSE,Q179=FALSE),FALSE,TRUE)</f>
        <v>0</v>
      </c>
      <c r="R180" s="1656"/>
      <c r="S180" s="1657"/>
      <c r="T180" s="1658" t="b">
        <f>IF(AND(T178=FALSE,T179=FALSE),FALSE,TRUE)</f>
        <v>0</v>
      </c>
      <c r="U180" s="932"/>
      <c r="AC180" s="1564" t="str">
        <f>IF(J180=TRUE,"V","F")</f>
        <v>F</v>
      </c>
      <c r="AD180" s="1565"/>
      <c r="AE180" s="1564" t="str">
        <f>IF(Q180=TRUE,"V","F")</f>
        <v>F</v>
      </c>
      <c r="AF180" s="1565"/>
      <c r="AG180" s="1564" t="str">
        <f>IF(T180=TRUE,"V","F")</f>
        <v>F</v>
      </c>
      <c r="AH180" s="1565"/>
      <c r="AI180" s="10"/>
      <c r="AJ180" s="10"/>
      <c r="AK180" s="10"/>
    </row>
    <row r="181" spans="1:37" ht="21" x14ac:dyDescent="0.25">
      <c r="AC181" s="1649"/>
      <c r="AD181" s="1650">
        <f>IF(AND(AC180="V",AC172="V"),AD176-1,AD176)</f>
        <v>0</v>
      </c>
      <c r="AE181" s="1649"/>
      <c r="AF181" s="1650">
        <f>IF(OR(AE172="V",AE175="V",AE180="V"),1,0)</f>
        <v>1</v>
      </c>
      <c r="AG181" s="1649"/>
      <c r="AH181" s="1650">
        <f>IF(AG172="V",1,IF(AG180="V",1,0))</f>
        <v>0</v>
      </c>
      <c r="AI181" s="10">
        <v>1</v>
      </c>
      <c r="AJ181" s="10">
        <v>1</v>
      </c>
      <c r="AK181" s="10"/>
    </row>
    <row r="182" spans="1:37" ht="26" x14ac:dyDescent="0.3">
      <c r="A182" s="820">
        <v>10</v>
      </c>
      <c r="C182" s="476">
        <f>'CPTS indépendants'!F32</f>
        <v>0</v>
      </c>
      <c r="D182" s="107"/>
      <c r="E182" s="65"/>
      <c r="F182" s="18"/>
      <c r="G182" s="18"/>
      <c r="H182" s="2255" t="s">
        <v>734</v>
      </c>
      <c r="I182" s="2256"/>
      <c r="J182" s="2256"/>
      <c r="K182" s="2257" t="s">
        <v>1378</v>
      </c>
      <c r="L182" s="2257"/>
      <c r="M182" s="2257"/>
      <c r="N182" s="2258"/>
      <c r="O182" s="2259" t="s">
        <v>733</v>
      </c>
      <c r="P182" s="2260"/>
      <c r="Q182" s="2261"/>
      <c r="R182" s="2262" t="s">
        <v>735</v>
      </c>
      <c r="S182" s="2263"/>
      <c r="T182" s="2264"/>
      <c r="U182" s="15"/>
      <c r="V182" s="15"/>
      <c r="AC182" s="1668" t="s">
        <v>1388</v>
      </c>
      <c r="AD182" s="1669">
        <f>IF(AF181=1,AD181*(1+$AH$28),AD181)</f>
        <v>0</v>
      </c>
      <c r="AE182" s="956"/>
      <c r="AF182" s="956"/>
      <c r="AG182" s="956"/>
      <c r="AH182" s="957"/>
      <c r="AI182" s="10"/>
      <c r="AJ182" s="10"/>
      <c r="AK182" s="10"/>
    </row>
    <row r="183" spans="1:37" ht="69" thickBot="1" x14ac:dyDescent="0.25">
      <c r="C183" s="102" t="s">
        <v>998</v>
      </c>
      <c r="D183" s="983"/>
      <c r="E183" s="32" t="s">
        <v>748</v>
      </c>
      <c r="F183" s="32" t="s">
        <v>749</v>
      </c>
      <c r="G183" s="32" t="s">
        <v>750</v>
      </c>
      <c r="H183" s="1620" t="s">
        <v>306</v>
      </c>
      <c r="I183" s="43" t="s">
        <v>307</v>
      </c>
      <c r="J183" s="43" t="s">
        <v>308</v>
      </c>
      <c r="K183" s="43"/>
      <c r="L183" s="43"/>
      <c r="M183" s="43"/>
      <c r="N183" s="1621"/>
      <c r="O183" s="1620" t="s">
        <v>306</v>
      </c>
      <c r="P183" s="43" t="s">
        <v>307</v>
      </c>
      <c r="Q183" s="1621" t="s">
        <v>308</v>
      </c>
      <c r="R183" s="1620" t="s">
        <v>306</v>
      </c>
      <c r="S183" s="43" t="s">
        <v>307</v>
      </c>
      <c r="T183" s="1621" t="s">
        <v>308</v>
      </c>
      <c r="U183" s="818"/>
      <c r="V183" s="955" t="s">
        <v>928</v>
      </c>
      <c r="W183" s="1391" t="s">
        <v>734</v>
      </c>
      <c r="X183" s="955" t="s">
        <v>928</v>
      </c>
      <c r="Y183" s="1395" t="s">
        <v>733</v>
      </c>
      <c r="Z183" s="955"/>
      <c r="AA183" s="1399" t="s">
        <v>735</v>
      </c>
      <c r="AC183" s="970" t="s">
        <v>734</v>
      </c>
      <c r="AD183" s="971" t="s">
        <v>946</v>
      </c>
      <c r="AE183" s="970" t="s">
        <v>733</v>
      </c>
      <c r="AF183" s="971" t="s">
        <v>947</v>
      </c>
      <c r="AG183" s="970" t="s">
        <v>735</v>
      </c>
      <c r="AH183" s="971" t="s">
        <v>948</v>
      </c>
      <c r="AI183" s="10"/>
      <c r="AJ183" s="10"/>
      <c r="AK183" s="10"/>
    </row>
    <row r="184" spans="1:37" hidden="1" x14ac:dyDescent="0.2">
      <c r="B184" s="414"/>
      <c r="C184" s="26"/>
      <c r="D184" s="101"/>
      <c r="E184" s="790"/>
      <c r="F184" s="789"/>
      <c r="G184" s="790"/>
      <c r="H184" s="1647">
        <v>11</v>
      </c>
      <c r="I184" s="1648">
        <v>11</v>
      </c>
      <c r="J184" s="45" t="b">
        <f>IF(AND(E184&gt;=H184,E184&lt;=I184),TRUE,FALSE)</f>
        <v>0</v>
      </c>
      <c r="K184" s="45"/>
      <c r="L184" s="45"/>
      <c r="M184" s="45"/>
      <c r="N184" s="1623"/>
      <c r="O184" s="1647">
        <v>11</v>
      </c>
      <c r="P184" s="1648">
        <v>11</v>
      </c>
      <c r="Q184" s="1623" t="b">
        <f>IF(AND(E184&gt;=O184,E184&lt;=P184),TRUE,FALSE)</f>
        <v>0</v>
      </c>
      <c r="R184" s="1647">
        <v>11</v>
      </c>
      <c r="S184" s="1648">
        <v>11</v>
      </c>
      <c r="T184" s="1623" t="b">
        <f>IF(AND(E184&gt;=R184,E184&lt;=S184),TRUE,FALSE)</f>
        <v>0</v>
      </c>
      <c r="U184" s="931"/>
      <c r="V184" s="1403"/>
      <c r="W184" s="1436">
        <v>11</v>
      </c>
      <c r="X184" s="1447"/>
      <c r="Y184" s="1446">
        <v>11</v>
      </c>
      <c r="Z184" s="1405"/>
      <c r="AA184" s="1448">
        <v>11</v>
      </c>
      <c r="AC184" s="958"/>
      <c r="AD184" s="959"/>
      <c r="AE184" s="958"/>
      <c r="AF184" s="959"/>
      <c r="AG184" s="958"/>
      <c r="AH184" s="959"/>
      <c r="AI184" s="10"/>
      <c r="AJ184" s="10"/>
      <c r="AK184" s="10"/>
    </row>
    <row r="185" spans="1:37" hidden="1" x14ac:dyDescent="0.2">
      <c r="B185" s="414"/>
      <c r="C185" s="26"/>
      <c r="D185" s="101"/>
      <c r="E185" s="790"/>
      <c r="F185" s="789"/>
      <c r="G185" s="790"/>
      <c r="H185" s="1647">
        <v>11</v>
      </c>
      <c r="I185" s="1648">
        <v>11</v>
      </c>
      <c r="J185" s="45" t="b">
        <f>IF(AND(E185&gt;=H185,E185&lt;=I185),TRUE,FALSE)</f>
        <v>0</v>
      </c>
      <c r="K185" s="45"/>
      <c r="L185" s="45"/>
      <c r="M185" s="45"/>
      <c r="N185" s="1623"/>
      <c r="O185" s="1647">
        <v>11</v>
      </c>
      <c r="P185" s="1648">
        <v>11</v>
      </c>
      <c r="Q185" s="1623" t="b">
        <f>IF(AND(E185&gt;=O185,E185&lt;=P185),TRUE,FALSE)</f>
        <v>0</v>
      </c>
      <c r="R185" s="1647">
        <v>11</v>
      </c>
      <c r="S185" s="1648">
        <v>11</v>
      </c>
      <c r="T185" s="1623" t="b">
        <f>IF(AND(E185&gt;=R185,E185&lt;=S185),TRUE,FALSE)</f>
        <v>0</v>
      </c>
      <c r="U185" s="931"/>
      <c r="V185" s="1406" t="s">
        <v>943</v>
      </c>
      <c r="W185" s="1437">
        <v>11</v>
      </c>
      <c r="X185" s="1441"/>
      <c r="Y185" s="1440">
        <v>11</v>
      </c>
      <c r="Z185" s="1426"/>
      <c r="AA185" s="1442">
        <v>11</v>
      </c>
      <c r="AC185" s="960"/>
      <c r="AD185" s="961"/>
      <c r="AE185" s="960"/>
      <c r="AF185" s="961"/>
      <c r="AG185" s="960"/>
      <c r="AH185" s="961"/>
      <c r="AI185" s="10"/>
      <c r="AJ185" s="10"/>
      <c r="AK185" s="10"/>
    </row>
    <row r="186" spans="1:37" hidden="1" x14ac:dyDescent="0.2">
      <c r="B186" s="792"/>
      <c r="C186" s="793"/>
      <c r="D186" s="794"/>
      <c r="E186" s="795"/>
      <c r="F186" s="795"/>
      <c r="G186" s="795"/>
      <c r="H186" s="1624"/>
      <c r="I186" s="796"/>
      <c r="J186" s="797" t="b">
        <f>IF(AND(J184=FALSE,J185=FALSE),FALSE,TRUE)</f>
        <v>0</v>
      </c>
      <c r="K186" s="45"/>
      <c r="L186" s="45"/>
      <c r="M186" s="45"/>
      <c r="N186" s="1623"/>
      <c r="O186" s="1624"/>
      <c r="P186" s="796"/>
      <c r="Q186" s="1637" t="b">
        <f>IF(AND(Q184=FALSE,Q185=FALSE),FALSE,TRUE)</f>
        <v>0</v>
      </c>
      <c r="R186" s="1624"/>
      <c r="S186" s="796"/>
      <c r="T186" s="1637" t="b">
        <f>IF(AND(T184=FALSE,T185=FALSE),FALSE,TRUE)</f>
        <v>0</v>
      </c>
      <c r="U186" s="931"/>
      <c r="V186" s="931" t="s">
        <v>943</v>
      </c>
      <c r="W186" s="1438"/>
      <c r="X186" s="1444"/>
      <c r="Y186" s="1443"/>
      <c r="Z186" s="8"/>
      <c r="AA186" s="1445"/>
      <c r="AC186" s="960"/>
      <c r="AD186" s="961"/>
      <c r="AE186" s="960"/>
      <c r="AF186" s="961"/>
      <c r="AG186" s="960"/>
      <c r="AH186" s="961"/>
      <c r="AI186" s="10"/>
      <c r="AJ186" s="10"/>
      <c r="AK186" s="10"/>
    </row>
    <row r="187" spans="1:37" hidden="1" x14ac:dyDescent="0.2">
      <c r="B187" s="52"/>
      <c r="C187" s="26"/>
      <c r="D187" s="101"/>
      <c r="E187" s="790"/>
      <c r="F187" s="789"/>
      <c r="G187" s="790"/>
      <c r="H187" s="1647">
        <v>11</v>
      </c>
      <c r="I187" s="1648">
        <v>11</v>
      </c>
      <c r="J187" s="45" t="b">
        <f>IF(AND(E187&gt;=H187,E187&lt;=I187),TRUE,FALSE)</f>
        <v>0</v>
      </c>
      <c r="K187" s="45"/>
      <c r="L187" s="45"/>
      <c r="M187" s="45"/>
      <c r="N187" s="1623"/>
      <c r="O187" s="1647">
        <v>11</v>
      </c>
      <c r="P187" s="1648">
        <v>11</v>
      </c>
      <c r="Q187" s="1623" t="b">
        <f>IF(AND(E187&gt;=O187,E187&lt;=P187),TRUE,FALSE)</f>
        <v>0</v>
      </c>
      <c r="R187" s="1647">
        <v>11</v>
      </c>
      <c r="S187" s="1648">
        <v>11</v>
      </c>
      <c r="T187" s="1623" t="b">
        <f>IF(AND(E187&gt;=R187,E187&lt;=S187),TRUE,FALSE)</f>
        <v>0</v>
      </c>
      <c r="U187" s="931"/>
      <c r="V187" s="1403"/>
      <c r="W187" s="1436">
        <v>11</v>
      </c>
      <c r="X187" s="1447"/>
      <c r="Y187" s="1446">
        <v>11</v>
      </c>
      <c r="Z187" s="1405"/>
      <c r="AA187" s="1448">
        <v>11</v>
      </c>
      <c r="AC187" s="960"/>
      <c r="AD187" s="961"/>
      <c r="AE187" s="960"/>
      <c r="AF187" s="961"/>
      <c r="AG187" s="960"/>
      <c r="AH187" s="961"/>
      <c r="AI187" s="10"/>
      <c r="AJ187" s="10"/>
      <c r="AK187" s="10"/>
    </row>
    <row r="188" spans="1:37" hidden="1" x14ac:dyDescent="0.2">
      <c r="B188" s="52"/>
      <c r="C188" s="26"/>
      <c r="D188" s="101"/>
      <c r="E188" s="790"/>
      <c r="F188" s="789"/>
      <c r="G188" s="790"/>
      <c r="H188" s="1647">
        <v>11</v>
      </c>
      <c r="I188" s="1648">
        <v>11</v>
      </c>
      <c r="J188" s="45" t="b">
        <f>IF(AND(E188&gt;=H188,E188&lt;=I188),TRUE,FALSE)</f>
        <v>0</v>
      </c>
      <c r="K188" s="45"/>
      <c r="L188" s="45"/>
      <c r="M188" s="45"/>
      <c r="N188" s="1623"/>
      <c r="O188" s="1647">
        <v>11</v>
      </c>
      <c r="P188" s="1648">
        <v>11</v>
      </c>
      <c r="Q188" s="1623" t="b">
        <f>IF(AND(E188&gt;=O188,E188&lt;=P188),TRUE,FALSE)</f>
        <v>0</v>
      </c>
      <c r="R188" s="1647">
        <v>11</v>
      </c>
      <c r="S188" s="1648">
        <v>11</v>
      </c>
      <c r="T188" s="1623" t="b">
        <f>IF(AND(E188&gt;=R188,E188&lt;=S188),TRUE,FALSE)</f>
        <v>0</v>
      </c>
      <c r="U188" s="931"/>
      <c r="V188" s="1406" t="s">
        <v>943</v>
      </c>
      <c r="W188" s="1437">
        <v>11</v>
      </c>
      <c r="X188" s="1441"/>
      <c r="Y188" s="1440">
        <v>11</v>
      </c>
      <c r="Z188" s="1412"/>
      <c r="AA188" s="1442">
        <v>11</v>
      </c>
      <c r="AC188" s="960"/>
      <c r="AD188" s="961"/>
      <c r="AE188" s="960"/>
      <c r="AF188" s="961"/>
      <c r="AG188" s="960"/>
      <c r="AH188" s="961"/>
      <c r="AI188" s="10"/>
      <c r="AJ188" s="10"/>
      <c r="AK188" s="10"/>
    </row>
    <row r="189" spans="1:37" ht="17" hidden="1" thickBot="1" x14ac:dyDescent="0.25">
      <c r="B189" s="798"/>
      <c r="C189" s="799"/>
      <c r="D189" s="800"/>
      <c r="E189" s="801"/>
      <c r="F189" s="801"/>
      <c r="G189" s="801"/>
      <c r="H189" s="1625"/>
      <c r="I189" s="802"/>
      <c r="J189" s="803" t="b">
        <f>IF(AND(J187=FALSE,J188=FALSE),FALSE,TRUE)</f>
        <v>0</v>
      </c>
      <c r="K189" s="45"/>
      <c r="L189" s="45"/>
      <c r="M189" s="45"/>
      <c r="N189" s="1623"/>
      <c r="O189" s="1625"/>
      <c r="P189" s="802"/>
      <c r="Q189" s="1638" t="b">
        <f>IF(AND(Q187=FALSE,Q188=FALSE),FALSE,TRUE)</f>
        <v>0</v>
      </c>
      <c r="R189" s="1625"/>
      <c r="S189" s="802"/>
      <c r="T189" s="1638" t="b">
        <f>IF(AND(T187=FALSE,T188=FALSE),FALSE,TRUE)</f>
        <v>0</v>
      </c>
      <c r="U189" s="931"/>
      <c r="V189" s="931"/>
      <c r="W189" s="1392"/>
      <c r="X189" s="8"/>
      <c r="Y189" s="1397"/>
      <c r="Z189" s="8"/>
      <c r="AA189" s="1400"/>
      <c r="AC189" s="960"/>
      <c r="AD189" s="961"/>
      <c r="AE189" s="960"/>
      <c r="AF189" s="961"/>
      <c r="AG189" s="960"/>
      <c r="AH189" s="961"/>
      <c r="AI189" s="10"/>
      <c r="AJ189" s="10"/>
      <c r="AK189" s="10"/>
    </row>
    <row r="190" spans="1:37" ht="17" thickBot="1" x14ac:dyDescent="0.25">
      <c r="B190" s="804"/>
      <c r="C190" s="805"/>
      <c r="D190" s="805"/>
      <c r="E190" s="806"/>
      <c r="F190" s="806"/>
      <c r="G190" s="806"/>
      <c r="H190" s="1626"/>
      <c r="I190" s="807"/>
      <c r="J190" s="808" t="b">
        <f>IF(AND(J186=FALSE,J189=FALSE),FALSE,TRUE)</f>
        <v>0</v>
      </c>
      <c r="K190" s="1610"/>
      <c r="L190" s="1610"/>
      <c r="M190" s="1610"/>
      <c r="N190" s="1627"/>
      <c r="O190" s="1626"/>
      <c r="P190" s="807"/>
      <c r="Q190" s="808" t="b">
        <f>IF(AND(Q186=FALSE,Q189=FALSE),FALSE,TRUE)</f>
        <v>0</v>
      </c>
      <c r="R190" s="1626"/>
      <c r="S190" s="807"/>
      <c r="T190" s="808" t="b">
        <f>IF(AND(T186=FALSE,T189=FALSE),FALSE,TRUE)</f>
        <v>0</v>
      </c>
      <c r="U190" s="931"/>
      <c r="V190" s="931" t="s">
        <v>942</v>
      </c>
      <c r="W190" s="1392"/>
      <c r="X190" s="8"/>
      <c r="Y190" s="1397"/>
      <c r="Z190" s="8"/>
      <c r="AA190" s="1400"/>
      <c r="AC190" s="960" t="str">
        <f>IF(J190=TRUE,"V","F")</f>
        <v>F</v>
      </c>
      <c r="AD190" s="961"/>
      <c r="AE190" s="960" t="str">
        <f>IF(Q190=TRUE,"V","F")</f>
        <v>F</v>
      </c>
      <c r="AF190" s="961"/>
      <c r="AG190" s="960" t="str">
        <f>IF(T190=TRUE,"V","F")</f>
        <v>F</v>
      </c>
      <c r="AH190" s="961"/>
      <c r="AI190" s="10"/>
      <c r="AJ190" s="10"/>
      <c r="AK190" s="10"/>
    </row>
    <row r="191" spans="1:37" ht="50" customHeight="1" x14ac:dyDescent="0.2">
      <c r="B191" s="313">
        <f>'CPTS indépendants'!O32</f>
        <v>0</v>
      </c>
      <c r="C191" s="26" t="str">
        <f>Test_Bible!B283</f>
        <v>Votre enfant cherche à vous convaincre des qualités de l’autre parent.</v>
      </c>
      <c r="D191" s="101"/>
      <c r="E191" s="790">
        <f>Test_Bible!P283</f>
        <v>1</v>
      </c>
      <c r="F191" s="789">
        <f>Test_Bible!D283</f>
        <v>2</v>
      </c>
      <c r="G191" s="790">
        <f>E191*F191</f>
        <v>2</v>
      </c>
      <c r="H191" s="1622">
        <v>7</v>
      </c>
      <c r="I191" s="1615">
        <v>10</v>
      </c>
      <c r="J191" s="45" t="b">
        <f>IF(AND(E191&gt;=H191,E191&lt;=I191),TRUE,FALSE)</f>
        <v>0</v>
      </c>
      <c r="K191" s="45"/>
      <c r="L191" s="45"/>
      <c r="M191" s="45"/>
      <c r="N191" s="1623"/>
      <c r="O191" s="1622">
        <v>2</v>
      </c>
      <c r="P191" s="1615">
        <v>10</v>
      </c>
      <c r="Q191" s="1623" t="b">
        <f>IF(AND(E191&gt;=O191,E191&lt;=P191),TRUE,FALSE)</f>
        <v>0</v>
      </c>
      <c r="R191" s="1622"/>
      <c r="S191" s="1615"/>
      <c r="T191" s="1623"/>
      <c r="U191" s="931"/>
      <c r="V191" s="1403"/>
      <c r="W191" s="1404">
        <v>7</v>
      </c>
      <c r="X191" s="1405"/>
      <c r="Y191" s="1408">
        <v>4</v>
      </c>
      <c r="Z191" s="1405"/>
      <c r="AA191" s="1416">
        <v>11</v>
      </c>
      <c r="AC191" s="960"/>
      <c r="AD191" s="961"/>
      <c r="AE191" s="960"/>
      <c r="AF191" s="961"/>
      <c r="AG191" s="960"/>
      <c r="AH191" s="961"/>
      <c r="AI191" s="10"/>
      <c r="AJ191" s="10"/>
      <c r="AK191" s="10"/>
    </row>
    <row r="192" spans="1:37" ht="54" customHeight="1" x14ac:dyDescent="0.2">
      <c r="B192" s="313">
        <f>'CPTS indépendants'!O33</f>
        <v>0</v>
      </c>
      <c r="C192" s="26" t="str">
        <f>Test_Bible!B269</f>
        <v>Votre enfant défend l'autre parent, quoi que vous fassiez, quoi que vous disiez.</v>
      </c>
      <c r="D192" s="101"/>
      <c r="E192" s="790">
        <f>Test_Bible!P269</f>
        <v>0</v>
      </c>
      <c r="F192" s="790">
        <f>Test_Bible!D269</f>
        <v>2</v>
      </c>
      <c r="G192" s="790">
        <f>E192*F192</f>
        <v>0</v>
      </c>
      <c r="H192" s="1622">
        <v>4</v>
      </c>
      <c r="I192" s="1615">
        <v>10</v>
      </c>
      <c r="J192" s="45" t="b">
        <f>IF(AND(E192&gt;=H192,E192&lt;=I192),TRUE,FALSE)</f>
        <v>0</v>
      </c>
      <c r="K192" s="45"/>
      <c r="L192" s="45"/>
      <c r="M192" s="45"/>
      <c r="N192" s="1623"/>
      <c r="O192" s="1622">
        <v>2</v>
      </c>
      <c r="P192" s="1615">
        <v>10</v>
      </c>
      <c r="Q192" s="1623" t="b">
        <f>IF(AND(E192&gt;=O192,E192&lt;=P192),TRUE,FALSE)</f>
        <v>0</v>
      </c>
      <c r="R192" s="1647"/>
      <c r="S192" s="1648"/>
      <c r="T192" s="1623"/>
      <c r="U192" s="931"/>
      <c r="V192" s="1410"/>
      <c r="W192" s="1392">
        <v>4</v>
      </c>
      <c r="X192" s="8"/>
      <c r="Y192" s="1397">
        <v>2</v>
      </c>
      <c r="Z192" s="8"/>
      <c r="AA192" s="1432">
        <v>11</v>
      </c>
      <c r="AC192" s="960"/>
      <c r="AD192" s="961"/>
      <c r="AE192" s="960"/>
      <c r="AF192" s="961"/>
      <c r="AG192" s="960"/>
      <c r="AH192" s="961"/>
      <c r="AI192" s="10"/>
      <c r="AJ192" s="10"/>
      <c r="AK192" s="10"/>
    </row>
    <row r="193" spans="1:37" ht="50" customHeight="1" thickBot="1" x14ac:dyDescent="0.25">
      <c r="B193" s="22">
        <f>'CPTS indépendants'!O34</f>
        <v>0</v>
      </c>
      <c r="C193" s="767" t="str">
        <f>Test_Bible!B270</f>
        <v/>
      </c>
      <c r="D193" s="767" t="str">
        <f>Test_Bible!C270</f>
        <v xml:space="preserve">Jamais / Rarement / Occasionnellement / Régulièrement / Souvent / Toujours / S.O. </v>
      </c>
      <c r="E193" s="889">
        <f>Test_Bible!P270</f>
        <v>0</v>
      </c>
      <c r="F193" s="889">
        <f>Test_Bible!D270</f>
        <v>3</v>
      </c>
      <c r="G193" s="889">
        <f>E193*F193</f>
        <v>0</v>
      </c>
      <c r="H193" s="1622">
        <v>4</v>
      </c>
      <c r="I193" s="1615">
        <v>10</v>
      </c>
      <c r="J193" s="45" t="b">
        <f>IF(AND(E193&gt;=H193,E193&lt;=I193),TRUE,FALSE)</f>
        <v>0</v>
      </c>
      <c r="K193" s="45"/>
      <c r="L193" s="45"/>
      <c r="M193" s="45"/>
      <c r="N193" s="1623"/>
      <c r="O193" s="1622">
        <v>2</v>
      </c>
      <c r="P193" s="1615">
        <v>10</v>
      </c>
      <c r="Q193" s="1623" t="b">
        <f>IF(AND(E193&gt;=O193,E193&lt;=P193),TRUE,FALSE)</f>
        <v>0</v>
      </c>
      <c r="R193" s="1647"/>
      <c r="S193" s="1648"/>
      <c r="T193" s="1623"/>
      <c r="V193" s="1410"/>
      <c r="W193" s="1392">
        <v>4</v>
      </c>
      <c r="X193" s="8"/>
      <c r="Y193" s="1397">
        <v>2</v>
      </c>
      <c r="Z193" s="8"/>
      <c r="AA193" s="1432">
        <v>11</v>
      </c>
      <c r="AC193" s="960"/>
      <c r="AD193" s="961"/>
      <c r="AE193" s="960"/>
      <c r="AF193" s="961"/>
      <c r="AG193" s="960"/>
      <c r="AH193" s="961"/>
      <c r="AI193" s="10"/>
      <c r="AJ193" s="10"/>
      <c r="AK193" s="10"/>
    </row>
    <row r="194" spans="1:37" ht="24" customHeight="1" thickBot="1" x14ac:dyDescent="0.25">
      <c r="B194" s="809"/>
      <c r="C194" s="810"/>
      <c r="D194" s="810"/>
      <c r="E194" s="811"/>
      <c r="F194" s="811"/>
      <c r="G194" s="811"/>
      <c r="H194" s="1628"/>
      <c r="I194" s="812"/>
      <c r="J194" s="813" t="b">
        <f>IF(AND(J191=FALSE,J192=FALSE,J193=FALSE),FALSE,TRUE)</f>
        <v>0</v>
      </c>
      <c r="K194" s="1611"/>
      <c r="L194" s="1611"/>
      <c r="M194" s="1611"/>
      <c r="N194" s="1629"/>
      <c r="O194" s="1628"/>
      <c r="P194" s="812"/>
      <c r="Q194" s="813" t="b">
        <f>IF(AND(Q191=FALSE,Q192=FALSE,Q193=FALSE),FALSE,TRUE)</f>
        <v>0</v>
      </c>
      <c r="R194" s="1628"/>
      <c r="S194" s="812"/>
      <c r="T194" s="813"/>
      <c r="U194" s="931"/>
      <c r="V194" s="1406" t="s">
        <v>943</v>
      </c>
      <c r="W194" s="1425">
        <v>11</v>
      </c>
      <c r="X194" s="1426"/>
      <c r="Y194" s="1427">
        <v>11</v>
      </c>
      <c r="Z194" s="1426"/>
      <c r="AA194" s="1421">
        <v>11</v>
      </c>
      <c r="AC194" s="960" t="str">
        <f>IF(J194=TRUE,"V","F")</f>
        <v>F</v>
      </c>
      <c r="AD194" s="961"/>
      <c r="AE194" s="960" t="str">
        <f>IF(Q194=TRUE,"V","F")</f>
        <v>F</v>
      </c>
      <c r="AF194" s="961"/>
      <c r="AG194" s="960"/>
      <c r="AH194" s="961"/>
      <c r="AI194" s="10"/>
      <c r="AJ194" s="10"/>
      <c r="AK194" s="10"/>
    </row>
    <row r="195" spans="1:37" x14ac:dyDescent="0.2">
      <c r="C195" s="421"/>
      <c r="D195" s="785"/>
      <c r="E195" s="474"/>
      <c r="F195" s="47"/>
      <c r="G195" s="47"/>
      <c r="H195" s="1630"/>
      <c r="I195" s="475"/>
      <c r="J195" s="1613"/>
      <c r="K195" s="1614"/>
      <c r="L195" s="1614"/>
      <c r="M195" s="1614"/>
      <c r="N195" s="1631"/>
      <c r="O195" s="1630"/>
      <c r="P195" s="475"/>
      <c r="Q195" s="1639"/>
      <c r="R195" s="1630"/>
      <c r="S195" s="475"/>
      <c r="T195" s="1639"/>
      <c r="U195" s="931"/>
      <c r="V195" s="931"/>
      <c r="W195" s="1394"/>
      <c r="Y195" s="1398"/>
      <c r="AA195" s="1402"/>
      <c r="AC195" s="962"/>
      <c r="AD195" s="963">
        <f>IF(AND(AC191="V",AC194="V"),2,IF(OR(AC191="V",AC194="V"),1,0))</f>
        <v>0</v>
      </c>
      <c r="AE195" s="962"/>
      <c r="AF195" s="963">
        <f>IF(OR(AE191="V",AE194="V"),1,0)</f>
        <v>0</v>
      </c>
      <c r="AG195" s="962"/>
      <c r="AH195" s="963"/>
      <c r="AI195" s="10"/>
      <c r="AJ195" s="10"/>
      <c r="AK195" s="10"/>
    </row>
    <row r="196" spans="1:37" x14ac:dyDescent="0.2">
      <c r="H196" s="146"/>
      <c r="K196" s="46"/>
      <c r="L196" s="46"/>
      <c r="M196" s="46"/>
      <c r="N196" s="1652"/>
      <c r="O196" s="146"/>
      <c r="Q196" s="326"/>
      <c r="R196" s="146"/>
      <c r="T196" s="326"/>
      <c r="U196" s="1664"/>
      <c r="V196" s="170"/>
      <c r="W196" s="1394"/>
      <c r="Y196" s="1398"/>
      <c r="AA196" s="1402"/>
      <c r="AC196" s="960"/>
      <c r="AD196" s="961"/>
      <c r="AE196" s="960"/>
      <c r="AF196" s="961"/>
      <c r="AG196" s="960"/>
      <c r="AH196" s="961"/>
      <c r="AI196" s="10"/>
      <c r="AJ196" s="10"/>
      <c r="AK196" s="10"/>
    </row>
    <row r="197" spans="1:37" x14ac:dyDescent="0.2">
      <c r="B197" s="964"/>
      <c r="C197" s="965"/>
      <c r="D197" s="965"/>
      <c r="E197" s="973"/>
      <c r="F197" s="973"/>
      <c r="G197" s="973"/>
      <c r="H197" s="1647">
        <v>11</v>
      </c>
      <c r="I197" s="1648">
        <v>11</v>
      </c>
      <c r="J197" s="45" t="b">
        <f>IF(AND(E196&gt;=H197,E196&lt;=I197),TRUE,FALSE)</f>
        <v>0</v>
      </c>
      <c r="K197" s="32"/>
      <c r="L197" s="32"/>
      <c r="M197" s="32"/>
      <c r="N197" s="1632"/>
      <c r="O197" s="1647">
        <v>11</v>
      </c>
      <c r="P197" s="1648">
        <v>11</v>
      </c>
      <c r="Q197" s="1623" t="b">
        <f>IF(AND(E196&gt;=O197,E196&lt;=P197),TRUE,FALSE)</f>
        <v>0</v>
      </c>
      <c r="R197" s="1647">
        <v>11</v>
      </c>
      <c r="S197" s="1648">
        <v>11</v>
      </c>
      <c r="T197" s="1623" t="b">
        <f>IF(AND(E196&gt;=R197,E196&lt;=S197),TRUE,FALSE)</f>
        <v>0</v>
      </c>
      <c r="W197" s="1394"/>
      <c r="Y197" s="1398"/>
      <c r="AA197" s="1402"/>
      <c r="AC197" s="960"/>
      <c r="AD197" s="961"/>
      <c r="AE197" s="960"/>
      <c r="AF197" s="961"/>
      <c r="AG197" s="960"/>
      <c r="AH197" s="961"/>
      <c r="AI197" s="10"/>
      <c r="AJ197" s="10"/>
      <c r="AK197" s="10"/>
    </row>
    <row r="198" spans="1:37" ht="20" thickBot="1" x14ac:dyDescent="0.25">
      <c r="B198" s="964"/>
      <c r="C198" s="972"/>
      <c r="D198" s="965"/>
      <c r="E198" s="973"/>
      <c r="F198" s="973"/>
      <c r="G198" s="973"/>
      <c r="H198" s="1647">
        <v>11</v>
      </c>
      <c r="I198" s="1648">
        <v>11</v>
      </c>
      <c r="J198" s="45" t="b">
        <f>IF(AND(E197&gt;=H198,E197&lt;=I198),TRUE,FALSE)</f>
        <v>0</v>
      </c>
      <c r="K198" s="32"/>
      <c r="L198" s="32"/>
      <c r="M198" s="32"/>
      <c r="N198" s="1632"/>
      <c r="O198" s="1647">
        <v>11</v>
      </c>
      <c r="P198" s="1648">
        <v>11</v>
      </c>
      <c r="Q198" s="1623" t="b">
        <f>IF(AND(E197&gt;=O198,E197&lt;=P198),TRUE,FALSE)</f>
        <v>0</v>
      </c>
      <c r="R198" s="1647">
        <v>11</v>
      </c>
      <c r="S198" s="1648">
        <v>11</v>
      </c>
      <c r="T198" s="1623" t="b">
        <f>IF(AND(E197&gt;=R198,E197&lt;=S198),TRUE,FALSE)</f>
        <v>0</v>
      </c>
      <c r="U198" s="931"/>
      <c r="V198" s="1428"/>
      <c r="W198" s="1422">
        <v>11</v>
      </c>
      <c r="X198" s="1405"/>
      <c r="Y198" s="1424">
        <v>11</v>
      </c>
      <c r="Z198" s="1405"/>
      <c r="AA198" s="1448">
        <v>11</v>
      </c>
      <c r="AC198" s="960"/>
      <c r="AD198" s="961"/>
      <c r="AE198" s="960"/>
      <c r="AF198" s="961"/>
      <c r="AG198" s="960"/>
      <c r="AH198" s="961"/>
      <c r="AI198" s="10"/>
      <c r="AJ198" s="10"/>
      <c r="AK198" s="10"/>
    </row>
    <row r="199" spans="1:37" ht="27" thickBot="1" x14ac:dyDescent="0.35">
      <c r="A199" s="657"/>
      <c r="C199" s="16"/>
      <c r="D199" s="16"/>
      <c r="E199" s="89"/>
      <c r="F199" s="473"/>
      <c r="G199" s="473"/>
      <c r="H199" s="1644"/>
      <c r="I199" s="1645"/>
      <c r="J199" s="1651" t="b">
        <f>IF(AND(J197=FALSE,J198=FALSE),FALSE,TRUE)</f>
        <v>0</v>
      </c>
      <c r="K199" s="1633"/>
      <c r="L199" s="1634"/>
      <c r="M199" s="1634"/>
      <c r="N199" s="1635"/>
      <c r="O199" s="1644"/>
      <c r="P199" s="1645"/>
      <c r="Q199" s="1651" t="b">
        <f>IF(AND(Q197=FALSE,Q198=FALSE),FALSE,TRUE)</f>
        <v>0</v>
      </c>
      <c r="R199" s="1656"/>
      <c r="S199" s="1657"/>
      <c r="T199" s="1658" t="b">
        <f>IF(AND(T197=FALSE,T198=FALSE),FALSE,TRUE)</f>
        <v>0</v>
      </c>
      <c r="U199" s="931"/>
      <c r="V199" s="1429"/>
      <c r="W199" s="1425">
        <v>11</v>
      </c>
      <c r="X199" s="1426"/>
      <c r="Y199" s="1427">
        <v>11</v>
      </c>
      <c r="Z199" s="1426"/>
      <c r="AA199" s="1421">
        <v>11</v>
      </c>
      <c r="AC199" s="1564" t="str">
        <f>IF(J199=TRUE,"V","F")</f>
        <v>F</v>
      </c>
      <c r="AD199" s="1565"/>
      <c r="AE199" s="1564" t="str">
        <f>IF(Q199=TRUE,"V","F")</f>
        <v>F</v>
      </c>
      <c r="AF199" s="1565"/>
      <c r="AG199" s="1564" t="str">
        <f>IF(T199=TRUE,"V","F")</f>
        <v>F</v>
      </c>
      <c r="AH199" s="1565"/>
      <c r="AI199" s="10"/>
      <c r="AJ199" s="10"/>
      <c r="AK199" s="10"/>
    </row>
    <row r="200" spans="1:37" ht="21" x14ac:dyDescent="0.25">
      <c r="H200" s="8"/>
      <c r="I200" s="8"/>
      <c r="J200" s="932"/>
      <c r="K200" s="932"/>
      <c r="L200" s="932"/>
      <c r="M200" s="932"/>
      <c r="N200" s="932"/>
      <c r="O200" s="932"/>
      <c r="P200" s="932"/>
      <c r="Q200" s="932"/>
      <c r="R200" s="932"/>
      <c r="S200" s="932"/>
      <c r="T200" s="932"/>
      <c r="U200" s="932"/>
      <c r="AC200" s="1649"/>
      <c r="AD200" s="1650">
        <f>IF(AND(AC199="V",AC191="V"),AD195-1,AD195)</f>
        <v>0</v>
      </c>
      <c r="AE200" s="1649"/>
      <c r="AF200" s="1650">
        <f>IF(OR(AE191="V",AE194="V",AE199="V"),1,0)</f>
        <v>0</v>
      </c>
      <c r="AG200" s="1649"/>
      <c r="AH200" s="1650">
        <f>IF(AG191="V",1,IF(AG199="V",1,0))</f>
        <v>0</v>
      </c>
      <c r="AI200" s="10">
        <v>1</v>
      </c>
      <c r="AJ200" s="10">
        <v>1</v>
      </c>
      <c r="AK200" s="10"/>
    </row>
    <row r="201" spans="1:37" x14ac:dyDescent="0.2">
      <c r="AC201" s="1668" t="s">
        <v>1388</v>
      </c>
      <c r="AD201" s="1669">
        <f>IF(AF200=1,AD200*(1+$AH$28),AD200)</f>
        <v>0</v>
      </c>
      <c r="AI201" s="10"/>
      <c r="AJ201" s="10"/>
      <c r="AK201" s="10"/>
    </row>
    <row r="202" spans="1:37" x14ac:dyDescent="0.2">
      <c r="AI202" s="10"/>
      <c r="AJ202" s="10"/>
      <c r="AK202" s="10"/>
    </row>
    <row r="203" spans="1:37" ht="26" x14ac:dyDescent="0.3">
      <c r="A203" s="820">
        <v>11</v>
      </c>
      <c r="C203" s="476">
        <f>'CPTS indépendants'!F36</f>
        <v>0</v>
      </c>
      <c r="D203" s="107"/>
      <c r="E203" s="65"/>
      <c r="F203" s="18"/>
      <c r="G203" s="18"/>
      <c r="H203" s="2255" t="s">
        <v>734</v>
      </c>
      <c r="I203" s="2256"/>
      <c r="J203" s="2256"/>
      <c r="K203" s="2257" t="s">
        <v>1378</v>
      </c>
      <c r="L203" s="2257"/>
      <c r="M203" s="2257"/>
      <c r="N203" s="2258"/>
      <c r="O203" s="2259" t="s">
        <v>733</v>
      </c>
      <c r="P203" s="2260"/>
      <c r="Q203" s="2261"/>
      <c r="R203" s="2262" t="s">
        <v>735</v>
      </c>
      <c r="S203" s="2263"/>
      <c r="T203" s="2264"/>
      <c r="U203" s="15"/>
      <c r="V203" s="15"/>
      <c r="AC203" s="956"/>
      <c r="AD203" s="956"/>
      <c r="AE203" s="956"/>
      <c r="AF203" s="956"/>
      <c r="AG203" s="956"/>
      <c r="AH203" s="957"/>
      <c r="AI203" s="10"/>
      <c r="AJ203" s="10"/>
      <c r="AK203" s="10"/>
    </row>
    <row r="204" spans="1:37" ht="68" x14ac:dyDescent="0.2">
      <c r="C204" s="102" t="s">
        <v>998</v>
      </c>
      <c r="D204" s="983"/>
      <c r="E204" s="32" t="s">
        <v>748</v>
      </c>
      <c r="F204" s="32" t="s">
        <v>749</v>
      </c>
      <c r="G204" s="32" t="s">
        <v>750</v>
      </c>
      <c r="H204" s="1620" t="s">
        <v>306</v>
      </c>
      <c r="I204" s="43" t="s">
        <v>307</v>
      </c>
      <c r="J204" s="43" t="s">
        <v>308</v>
      </c>
      <c r="K204" s="43"/>
      <c r="L204" s="43"/>
      <c r="M204" s="43"/>
      <c r="N204" s="1621"/>
      <c r="O204" s="1620" t="s">
        <v>306</v>
      </c>
      <c r="P204" s="43" t="s">
        <v>307</v>
      </c>
      <c r="Q204" s="1621" t="s">
        <v>308</v>
      </c>
      <c r="R204" s="1620" t="s">
        <v>306</v>
      </c>
      <c r="S204" s="43" t="s">
        <v>307</v>
      </c>
      <c r="T204" s="1621" t="s">
        <v>308</v>
      </c>
      <c r="U204" s="818"/>
      <c r="V204" s="955" t="s">
        <v>928</v>
      </c>
      <c r="W204" s="1391" t="s">
        <v>734</v>
      </c>
      <c r="X204" s="955" t="s">
        <v>928</v>
      </c>
      <c r="Y204" s="1395" t="s">
        <v>733</v>
      </c>
      <c r="Z204" s="955"/>
      <c r="AA204" s="1399" t="s">
        <v>735</v>
      </c>
      <c r="AC204" s="970" t="s">
        <v>734</v>
      </c>
      <c r="AD204" s="971" t="s">
        <v>946</v>
      </c>
      <c r="AE204" s="970" t="s">
        <v>733</v>
      </c>
      <c r="AF204" s="971" t="s">
        <v>947</v>
      </c>
      <c r="AG204" s="970" t="s">
        <v>735</v>
      </c>
      <c r="AH204" s="971" t="s">
        <v>948</v>
      </c>
      <c r="AI204" s="10"/>
      <c r="AJ204" s="10"/>
      <c r="AK204" s="10"/>
    </row>
    <row r="205" spans="1:37" x14ac:dyDescent="0.2">
      <c r="B205" s="414"/>
      <c r="C205" s="26"/>
      <c r="D205" s="101"/>
      <c r="E205" s="790"/>
      <c r="F205" s="789"/>
      <c r="G205" s="790"/>
      <c r="H205" s="1647">
        <v>11</v>
      </c>
      <c r="I205" s="1648">
        <v>11</v>
      </c>
      <c r="J205" s="45" t="b">
        <f>IF(AND(E205&gt;=H205,E205&lt;=I205),TRUE,FALSE)</f>
        <v>0</v>
      </c>
      <c r="K205" s="45"/>
      <c r="L205" s="45"/>
      <c r="M205" s="45"/>
      <c r="N205" s="1623"/>
      <c r="O205" s="1647">
        <v>11</v>
      </c>
      <c r="P205" s="1648">
        <v>11</v>
      </c>
      <c r="Q205" s="1623" t="b">
        <f>IF(AND(E205&gt;=O205,E205&lt;=P205),TRUE,FALSE)</f>
        <v>0</v>
      </c>
      <c r="R205" s="1647">
        <v>11</v>
      </c>
      <c r="S205" s="1648">
        <v>11</v>
      </c>
      <c r="T205" s="1623" t="b">
        <f>IF(AND(E205&gt;=R205,E205&lt;=S205),TRUE,FALSE)</f>
        <v>0</v>
      </c>
      <c r="U205" s="931"/>
      <c r="V205" s="1403"/>
      <c r="W205" s="1436">
        <v>11</v>
      </c>
      <c r="X205" s="1447"/>
      <c r="Y205" s="1446">
        <v>11</v>
      </c>
      <c r="Z205" s="1405"/>
      <c r="AA205" s="1448">
        <v>11</v>
      </c>
      <c r="AC205" s="958"/>
      <c r="AD205" s="959"/>
      <c r="AE205" s="958"/>
      <c r="AF205" s="959"/>
      <c r="AG205" s="958"/>
      <c r="AH205" s="959"/>
      <c r="AI205" s="10"/>
      <c r="AJ205" s="10"/>
      <c r="AK205" s="10"/>
    </row>
    <row r="206" spans="1:37" x14ac:dyDescent="0.2">
      <c r="B206" s="414"/>
      <c r="C206" s="26"/>
      <c r="D206" s="101"/>
      <c r="E206" s="790"/>
      <c r="F206" s="789"/>
      <c r="G206" s="790"/>
      <c r="H206" s="1647">
        <v>11</v>
      </c>
      <c r="I206" s="1648">
        <v>11</v>
      </c>
      <c r="J206" s="45" t="b">
        <f>IF(AND(E206&gt;=H206,E206&lt;=I206),TRUE,FALSE)</f>
        <v>0</v>
      </c>
      <c r="K206" s="45"/>
      <c r="L206" s="45"/>
      <c r="M206" s="45"/>
      <c r="N206" s="1623"/>
      <c r="O206" s="1647">
        <v>11</v>
      </c>
      <c r="P206" s="1648">
        <v>11</v>
      </c>
      <c r="Q206" s="1623" t="b">
        <f>IF(AND(E206&gt;=O206,E206&lt;=P206),TRUE,FALSE)</f>
        <v>0</v>
      </c>
      <c r="R206" s="1647">
        <v>11</v>
      </c>
      <c r="S206" s="1648">
        <v>11</v>
      </c>
      <c r="T206" s="1623" t="b">
        <f>IF(AND(E206&gt;=R206,E206&lt;=S206),TRUE,FALSE)</f>
        <v>0</v>
      </c>
      <c r="U206" s="931"/>
      <c r="V206" s="1406" t="s">
        <v>943</v>
      </c>
      <c r="W206" s="1437">
        <v>11</v>
      </c>
      <c r="X206" s="1441"/>
      <c r="Y206" s="1440">
        <v>11</v>
      </c>
      <c r="Z206" s="1426"/>
      <c r="AA206" s="1442">
        <v>11</v>
      </c>
      <c r="AC206" s="960"/>
      <c r="AD206" s="961"/>
      <c r="AE206" s="960"/>
      <c r="AF206" s="961"/>
      <c r="AG206" s="960"/>
      <c r="AH206" s="961"/>
      <c r="AI206" s="10"/>
      <c r="AJ206" s="10"/>
      <c r="AK206" s="10"/>
    </row>
    <row r="207" spans="1:37" x14ac:dyDescent="0.2">
      <c r="B207" s="792"/>
      <c r="C207" s="793"/>
      <c r="D207" s="794"/>
      <c r="E207" s="795"/>
      <c r="F207" s="795"/>
      <c r="G207" s="795"/>
      <c r="H207" s="1624"/>
      <c r="I207" s="796"/>
      <c r="J207" s="797" t="b">
        <f>IF(AND(J205=FALSE,J206=FALSE),FALSE,TRUE)</f>
        <v>0</v>
      </c>
      <c r="K207" s="45"/>
      <c r="L207" s="45"/>
      <c r="M207" s="45"/>
      <c r="N207" s="1623"/>
      <c r="O207" s="1624"/>
      <c r="P207" s="796"/>
      <c r="Q207" s="1637" t="b">
        <f>IF(AND(Q205=FALSE,Q206=FALSE),FALSE,TRUE)</f>
        <v>0</v>
      </c>
      <c r="R207" s="1624"/>
      <c r="S207" s="796"/>
      <c r="T207" s="1637" t="b">
        <f>IF(AND(T205=FALSE,T206=FALSE),FALSE,TRUE)</f>
        <v>0</v>
      </c>
      <c r="U207" s="931"/>
      <c r="V207" s="931" t="s">
        <v>943</v>
      </c>
      <c r="W207" s="1438"/>
      <c r="X207" s="1444"/>
      <c r="Y207" s="1443"/>
      <c r="Z207" s="8"/>
      <c r="AA207" s="1445"/>
      <c r="AC207" s="960"/>
      <c r="AD207" s="961"/>
      <c r="AE207" s="960"/>
      <c r="AF207" s="961"/>
      <c r="AG207" s="960"/>
      <c r="AH207" s="961"/>
      <c r="AI207" s="10"/>
      <c r="AJ207" s="10"/>
      <c r="AK207" s="10"/>
    </row>
    <row r="208" spans="1:37" x14ac:dyDescent="0.2">
      <c r="B208" s="52"/>
      <c r="C208" s="26"/>
      <c r="D208" s="101"/>
      <c r="E208" s="790"/>
      <c r="F208" s="789"/>
      <c r="G208" s="790"/>
      <c r="H208" s="1647">
        <v>11</v>
      </c>
      <c r="I208" s="1648">
        <v>11</v>
      </c>
      <c r="J208" s="45" t="b">
        <f>IF(AND(E208&gt;=H208,E208&lt;=I208),TRUE,FALSE)</f>
        <v>0</v>
      </c>
      <c r="K208" s="45"/>
      <c r="L208" s="45"/>
      <c r="M208" s="45"/>
      <c r="N208" s="1623"/>
      <c r="O208" s="1647">
        <v>11</v>
      </c>
      <c r="P208" s="1648">
        <v>11</v>
      </c>
      <c r="Q208" s="1623" t="b">
        <f>IF(AND(E208&gt;=O208,E208&lt;=P208),TRUE,FALSE)</f>
        <v>0</v>
      </c>
      <c r="R208" s="1647">
        <v>11</v>
      </c>
      <c r="S208" s="1648">
        <v>11</v>
      </c>
      <c r="T208" s="1623" t="b">
        <f>IF(AND(E208&gt;=R208,E208&lt;=S208),TRUE,FALSE)</f>
        <v>0</v>
      </c>
      <c r="U208" s="931"/>
      <c r="V208" s="1403"/>
      <c r="W208" s="1436">
        <v>11</v>
      </c>
      <c r="X208" s="1447"/>
      <c r="Y208" s="1446">
        <v>11</v>
      </c>
      <c r="Z208" s="1405"/>
      <c r="AA208" s="1448">
        <v>11</v>
      </c>
      <c r="AC208" s="960"/>
      <c r="AD208" s="961"/>
      <c r="AE208" s="960"/>
      <c r="AF208" s="961"/>
      <c r="AG208" s="960"/>
      <c r="AH208" s="961"/>
      <c r="AI208" s="10"/>
      <c r="AJ208" s="10"/>
      <c r="AK208" s="10"/>
    </row>
    <row r="209" spans="1:37" x14ac:dyDescent="0.2">
      <c r="B209" s="52"/>
      <c r="C209" s="26"/>
      <c r="D209" s="101"/>
      <c r="E209" s="790"/>
      <c r="F209" s="789"/>
      <c r="G209" s="790"/>
      <c r="H209" s="1647">
        <v>11</v>
      </c>
      <c r="I209" s="1648">
        <v>11</v>
      </c>
      <c r="J209" s="45" t="b">
        <f>IF(AND(E209&gt;=H209,E209&lt;=I209),TRUE,FALSE)</f>
        <v>0</v>
      </c>
      <c r="K209" s="45"/>
      <c r="L209" s="45"/>
      <c r="M209" s="45"/>
      <c r="N209" s="1623"/>
      <c r="O209" s="1647">
        <v>11</v>
      </c>
      <c r="P209" s="1648">
        <v>11</v>
      </c>
      <c r="Q209" s="1623" t="b">
        <f>IF(AND(E209&gt;=O209,E209&lt;=P209),TRUE,FALSE)</f>
        <v>0</v>
      </c>
      <c r="R209" s="1647">
        <v>11</v>
      </c>
      <c r="S209" s="1648">
        <v>11</v>
      </c>
      <c r="T209" s="1623" t="b">
        <f>IF(AND(E209&gt;=R209,E209&lt;=S209),TRUE,FALSE)</f>
        <v>0</v>
      </c>
      <c r="U209" s="931"/>
      <c r="V209" s="1406" t="s">
        <v>943</v>
      </c>
      <c r="W209" s="1437">
        <v>11</v>
      </c>
      <c r="X209" s="1441"/>
      <c r="Y209" s="1440">
        <v>11</v>
      </c>
      <c r="Z209" s="1412"/>
      <c r="AA209" s="1442">
        <v>11</v>
      </c>
      <c r="AC209" s="960"/>
      <c r="AD209" s="961"/>
      <c r="AE209" s="960"/>
      <c r="AF209" s="961"/>
      <c r="AG209" s="960"/>
      <c r="AH209" s="961"/>
      <c r="AI209" s="10"/>
      <c r="AJ209" s="10"/>
      <c r="AK209" s="10"/>
    </row>
    <row r="210" spans="1:37" ht="17" thickBot="1" x14ac:dyDescent="0.25">
      <c r="B210" s="798"/>
      <c r="C210" s="799"/>
      <c r="D210" s="800"/>
      <c r="E210" s="801"/>
      <c r="F210" s="801"/>
      <c r="G210" s="801"/>
      <c r="H210" s="1625"/>
      <c r="I210" s="802"/>
      <c r="J210" s="803" t="b">
        <f>IF(AND(J208=FALSE,J209=FALSE),FALSE,TRUE)</f>
        <v>0</v>
      </c>
      <c r="K210" s="45"/>
      <c r="L210" s="45"/>
      <c r="M210" s="45"/>
      <c r="N210" s="1623"/>
      <c r="O210" s="1625"/>
      <c r="P210" s="802"/>
      <c r="Q210" s="1638" t="b">
        <f>IF(AND(Q208=FALSE,Q209=FALSE),FALSE,TRUE)</f>
        <v>0</v>
      </c>
      <c r="R210" s="1625"/>
      <c r="S210" s="802"/>
      <c r="T210" s="1638" t="b">
        <f>IF(AND(T208=FALSE,T209=FALSE),FALSE,TRUE)</f>
        <v>0</v>
      </c>
      <c r="U210" s="931"/>
      <c r="V210" s="931"/>
      <c r="W210" s="1392"/>
      <c r="X210" s="8"/>
      <c r="Y210" s="1397"/>
      <c r="Z210" s="8"/>
      <c r="AA210" s="1400"/>
      <c r="AC210" s="960"/>
      <c r="AD210" s="961"/>
      <c r="AE210" s="960"/>
      <c r="AF210" s="961"/>
      <c r="AG210" s="960"/>
      <c r="AH210" s="961"/>
      <c r="AI210" s="10"/>
      <c r="AJ210" s="10"/>
      <c r="AK210" s="10"/>
    </row>
    <row r="211" spans="1:37" ht="17" thickBot="1" x14ac:dyDescent="0.25">
      <c r="B211" s="804"/>
      <c r="C211" s="805"/>
      <c r="D211" s="805"/>
      <c r="E211" s="806"/>
      <c r="F211" s="806"/>
      <c r="G211" s="806"/>
      <c r="H211" s="1626"/>
      <c r="I211" s="807"/>
      <c r="J211" s="808" t="b">
        <f>IF(AND(J207=FALSE,J210=FALSE),FALSE,TRUE)</f>
        <v>0</v>
      </c>
      <c r="K211" s="1610"/>
      <c r="L211" s="1610"/>
      <c r="M211" s="1610"/>
      <c r="N211" s="1627"/>
      <c r="O211" s="1626"/>
      <c r="P211" s="807"/>
      <c r="Q211" s="808" t="b">
        <f>IF(AND(Q207=FALSE,Q210=FALSE),FALSE,TRUE)</f>
        <v>0</v>
      </c>
      <c r="R211" s="1626"/>
      <c r="S211" s="807"/>
      <c r="T211" s="808" t="b">
        <f>IF(AND(T207=FALSE,T210=FALSE),FALSE,TRUE)</f>
        <v>0</v>
      </c>
      <c r="U211" s="931"/>
      <c r="V211" s="931" t="s">
        <v>942</v>
      </c>
      <c r="W211" s="1392"/>
      <c r="X211" s="8"/>
      <c r="Y211" s="1397"/>
      <c r="Z211" s="8"/>
      <c r="AA211" s="1400"/>
      <c r="AC211" s="960" t="str">
        <f>IF(J211=TRUE,"V","F")</f>
        <v>F</v>
      </c>
      <c r="AD211" s="961"/>
      <c r="AE211" s="960" t="str">
        <f>IF(Q211=TRUE,"V","F")</f>
        <v>F</v>
      </c>
      <c r="AF211" s="961"/>
      <c r="AG211" s="960" t="str">
        <f>IF(T211=TRUE,"V","F")</f>
        <v>F</v>
      </c>
      <c r="AH211" s="961"/>
      <c r="AI211" s="10"/>
      <c r="AJ211" s="10"/>
      <c r="AK211" s="10"/>
    </row>
    <row r="212" spans="1:37" ht="34" x14ac:dyDescent="0.2">
      <c r="B212" s="313">
        <f>'CPTS indépendants'!O44</f>
        <v>0</v>
      </c>
      <c r="C212" s="26" t="str">
        <f>Test_Bible!B272</f>
        <v>Votre enfant s’exprime avec des expressions ou des paroles empruntées à l’autre parent.</v>
      </c>
      <c r="D212" s="101"/>
      <c r="E212" s="790">
        <f>Test_Bible!P272</f>
        <v>4</v>
      </c>
      <c r="F212" s="789">
        <f>Test_Bible!D272</f>
        <v>2</v>
      </c>
      <c r="G212" s="790">
        <f>E212*F212</f>
        <v>8</v>
      </c>
      <c r="H212" s="1622">
        <v>7</v>
      </c>
      <c r="I212" s="1615">
        <v>10</v>
      </c>
      <c r="J212" s="45" t="b">
        <f>IF(AND(E212&gt;=H212,E212&lt;=I212),TRUE,FALSE)</f>
        <v>0</v>
      </c>
      <c r="K212" s="45"/>
      <c r="L212" s="45"/>
      <c r="M212" s="45"/>
      <c r="N212" s="1623"/>
      <c r="O212" s="1647">
        <v>11</v>
      </c>
      <c r="P212" s="1648">
        <v>11</v>
      </c>
      <c r="Q212" s="1623" t="b">
        <f>IF(AND(E212&gt;=O212,E212&lt;=P212),TRUE,FALSE)</f>
        <v>0</v>
      </c>
      <c r="R212" s="1622"/>
      <c r="S212" s="1615"/>
      <c r="T212" s="1623"/>
      <c r="U212" s="931"/>
      <c r="V212" s="1403"/>
      <c r="W212" s="1404">
        <v>7</v>
      </c>
      <c r="X212" s="1405"/>
      <c r="Y212" s="1446">
        <v>11</v>
      </c>
      <c r="Z212" s="1405"/>
      <c r="AA212" s="1416">
        <v>11</v>
      </c>
      <c r="AC212" s="960" t="s">
        <v>945</v>
      </c>
      <c r="AD212" s="961"/>
      <c r="AE212" s="960"/>
      <c r="AF212" s="961"/>
      <c r="AG212" s="960"/>
      <c r="AH212" s="961"/>
      <c r="AI212" s="10"/>
      <c r="AJ212" s="10"/>
      <c r="AK212" s="10"/>
    </row>
    <row r="213" spans="1:37" ht="17" thickBot="1" x14ac:dyDescent="0.25">
      <c r="B213" s="313"/>
      <c r="C213" s="26"/>
      <c r="D213" s="101"/>
      <c r="E213" s="790"/>
      <c r="F213" s="789"/>
      <c r="G213" s="790"/>
      <c r="H213" s="1647">
        <v>11</v>
      </c>
      <c r="I213" s="1648">
        <v>11</v>
      </c>
      <c r="J213" s="45" t="b">
        <f>IF(AND(E213&gt;=H213,E213&lt;=I213),TRUE,FALSE)</f>
        <v>0</v>
      </c>
      <c r="K213" s="45"/>
      <c r="L213" s="45"/>
      <c r="M213" s="45"/>
      <c r="N213" s="1623"/>
      <c r="O213" s="1647">
        <v>11</v>
      </c>
      <c r="P213" s="1648">
        <v>11</v>
      </c>
      <c r="Q213" s="1623" t="b">
        <f>IF(AND(E213&gt;=O213,E213&lt;=P213),TRUE,FALSE)</f>
        <v>0</v>
      </c>
      <c r="R213" s="1647"/>
      <c r="S213" s="1648"/>
      <c r="T213" s="1623"/>
      <c r="U213" s="931"/>
      <c r="V213" s="1406" t="s">
        <v>943</v>
      </c>
      <c r="W213" s="1425">
        <v>11</v>
      </c>
      <c r="X213" s="1426"/>
      <c r="Y213" s="1427">
        <v>11</v>
      </c>
      <c r="Z213" s="1426"/>
      <c r="AA213" s="1421">
        <v>11</v>
      </c>
      <c r="AC213" s="960"/>
      <c r="AD213" s="961"/>
      <c r="AE213" s="960"/>
      <c r="AF213" s="961"/>
      <c r="AG213" s="960"/>
      <c r="AH213" s="961"/>
      <c r="AI213" s="10"/>
      <c r="AJ213" s="10"/>
      <c r="AK213" s="10"/>
    </row>
    <row r="214" spans="1:37" ht="17" thickBot="1" x14ac:dyDescent="0.25">
      <c r="B214" s="809"/>
      <c r="C214" s="810"/>
      <c r="D214" s="810"/>
      <c r="E214" s="811"/>
      <c r="F214" s="811"/>
      <c r="G214" s="811"/>
      <c r="H214" s="1628"/>
      <c r="I214" s="812"/>
      <c r="J214" s="813" t="b">
        <f>IF(AND(J212=FALSE,J213=FALSE),FALSE,TRUE)</f>
        <v>0</v>
      </c>
      <c r="K214" s="1611"/>
      <c r="L214" s="1611"/>
      <c r="M214" s="1611"/>
      <c r="N214" s="1629"/>
      <c r="O214" s="1628"/>
      <c r="P214" s="812"/>
      <c r="Q214" s="813" t="b">
        <f>IF(AND(Q212=FALSE,Q213=FALSE),FALSE,TRUE)</f>
        <v>0</v>
      </c>
      <c r="R214" s="1628"/>
      <c r="S214" s="812"/>
      <c r="T214" s="813"/>
      <c r="U214" s="931"/>
      <c r="V214" s="931"/>
      <c r="W214" s="1394"/>
      <c r="Y214" s="1398"/>
      <c r="AA214" s="1402"/>
      <c r="AC214" s="960" t="str">
        <f>IF(J214=TRUE,"V","F")</f>
        <v>F</v>
      </c>
      <c r="AD214" s="961"/>
      <c r="AE214" s="960" t="str">
        <f>IF(Q214=TRUE,"V","F")</f>
        <v>F</v>
      </c>
      <c r="AF214" s="961"/>
      <c r="AG214" s="960"/>
      <c r="AH214" s="961"/>
      <c r="AI214" s="10"/>
      <c r="AJ214" s="10"/>
      <c r="AK214" s="10"/>
    </row>
    <row r="215" spans="1:37" x14ac:dyDescent="0.2">
      <c r="C215" s="421"/>
      <c r="D215" s="785"/>
      <c r="E215" s="474"/>
      <c r="F215" s="47"/>
      <c r="G215" s="47"/>
      <c r="H215" s="1630"/>
      <c r="I215" s="475"/>
      <c r="J215" s="1613"/>
      <c r="K215" s="1614"/>
      <c r="L215" s="1614"/>
      <c r="M215" s="1614"/>
      <c r="N215" s="1631"/>
      <c r="O215" s="1630"/>
      <c r="P215" s="475"/>
      <c r="Q215" s="1639"/>
      <c r="R215" s="1630"/>
      <c r="S215" s="475"/>
      <c r="T215" s="1639"/>
      <c r="U215" s="1664"/>
      <c r="V215" s="170"/>
      <c r="W215" s="1394"/>
      <c r="Y215" s="1398"/>
      <c r="AA215" s="1402"/>
      <c r="AC215" s="962"/>
      <c r="AD215" s="963">
        <f>IF(AND(AC211="V",AC214="V"),2,IF(OR(AC211="V",AC214="V"),1,0))</f>
        <v>0</v>
      </c>
      <c r="AE215" s="962"/>
      <c r="AF215" s="963">
        <f>IF(OR(AE211="V",AE214="V"),1,0)</f>
        <v>0</v>
      </c>
      <c r="AG215" s="962"/>
      <c r="AH215" s="963"/>
      <c r="AI215" s="10"/>
      <c r="AJ215" s="10"/>
      <c r="AK215" s="10"/>
    </row>
    <row r="216" spans="1:37" x14ac:dyDescent="0.2">
      <c r="B216" t="s">
        <v>243</v>
      </c>
      <c r="H216" s="146"/>
      <c r="K216" s="46"/>
      <c r="L216" s="46"/>
      <c r="M216" s="46"/>
      <c r="N216" s="1652"/>
      <c r="O216" s="146"/>
      <c r="Q216" s="326"/>
      <c r="R216" s="146"/>
      <c r="T216" s="326"/>
      <c r="W216" s="1394"/>
      <c r="Y216" s="1398"/>
      <c r="AA216" s="1402"/>
      <c r="AC216" s="960"/>
      <c r="AD216" s="961"/>
      <c r="AE216" s="960"/>
      <c r="AF216" s="961"/>
      <c r="AG216" s="960"/>
      <c r="AH216" s="961"/>
      <c r="AI216" s="10"/>
      <c r="AJ216" s="10"/>
      <c r="AK216" s="10"/>
    </row>
    <row r="217" spans="1:37" x14ac:dyDescent="0.2">
      <c r="B217" s="964"/>
      <c r="C217" s="965"/>
      <c r="D217" s="965"/>
      <c r="E217" s="973"/>
      <c r="F217" s="973"/>
      <c r="G217" s="973"/>
      <c r="H217" s="1647">
        <v>11</v>
      </c>
      <c r="I217" s="1648">
        <v>11</v>
      </c>
      <c r="J217" s="45" t="b">
        <f>IF(AND(E217&gt;=H217,E217&lt;=I217),TRUE,FALSE)</f>
        <v>0</v>
      </c>
      <c r="K217" s="32"/>
      <c r="L217" s="32"/>
      <c r="M217" s="32"/>
      <c r="N217" s="1632"/>
      <c r="O217" s="1647">
        <v>11</v>
      </c>
      <c r="P217" s="1648">
        <v>11</v>
      </c>
      <c r="Q217" s="1623" t="b">
        <f>IF(AND(E217&gt;=O217,E217&lt;=P217),TRUE,FALSE)</f>
        <v>0</v>
      </c>
      <c r="R217" s="1647">
        <v>11</v>
      </c>
      <c r="S217" s="1648">
        <v>11</v>
      </c>
      <c r="T217" s="1623" t="b">
        <f>IF(AND(E217&gt;=R217,E217&lt;=S217),TRUE,FALSE)</f>
        <v>0</v>
      </c>
      <c r="U217" s="931"/>
      <c r="V217" s="1428"/>
      <c r="W217" s="1422">
        <v>11</v>
      </c>
      <c r="X217" s="1405"/>
      <c r="Y217" s="1424">
        <v>11</v>
      </c>
      <c r="Z217" s="1405"/>
      <c r="AA217" s="1448">
        <v>11</v>
      </c>
      <c r="AC217" s="960"/>
      <c r="AD217" s="961"/>
      <c r="AE217" s="960"/>
      <c r="AF217" s="961"/>
      <c r="AG217" s="960"/>
      <c r="AH217" s="961"/>
      <c r="AI217" s="10"/>
      <c r="AJ217" s="10"/>
      <c r="AK217" s="10"/>
    </row>
    <row r="218" spans="1:37" ht="20" thickBot="1" x14ac:dyDescent="0.25">
      <c r="B218" s="964"/>
      <c r="C218" s="972"/>
      <c r="D218" s="965"/>
      <c r="E218" s="973"/>
      <c r="F218" s="973"/>
      <c r="G218" s="973"/>
      <c r="H218" s="1647">
        <v>11</v>
      </c>
      <c r="I218" s="1648">
        <v>11</v>
      </c>
      <c r="J218" s="45" t="b">
        <f>IF(AND(E218&gt;=H218,E218&lt;=I218),TRUE,FALSE)</f>
        <v>0</v>
      </c>
      <c r="K218" s="32"/>
      <c r="L218" s="32"/>
      <c r="M218" s="32"/>
      <c r="N218" s="1632"/>
      <c r="O218" s="1647">
        <v>11</v>
      </c>
      <c r="P218" s="1648">
        <v>11</v>
      </c>
      <c r="Q218" s="1623" t="b">
        <f>IF(AND(E218&gt;=O218,E218&lt;=P218),TRUE,FALSE)</f>
        <v>0</v>
      </c>
      <c r="R218" s="1647">
        <v>11</v>
      </c>
      <c r="S218" s="1648">
        <v>11</v>
      </c>
      <c r="T218" s="1623" t="b">
        <f>IF(AND(E218&gt;=R218,E218&lt;=S218),TRUE,FALSE)</f>
        <v>0</v>
      </c>
      <c r="U218" s="931"/>
      <c r="V218" s="1429"/>
      <c r="W218" s="1425">
        <v>11</v>
      </c>
      <c r="X218" s="1426"/>
      <c r="Y218" s="1427">
        <v>11</v>
      </c>
      <c r="Z218" s="1426"/>
      <c r="AA218" s="1421">
        <v>11</v>
      </c>
      <c r="AC218" s="960"/>
      <c r="AD218" s="961"/>
      <c r="AE218" s="960"/>
      <c r="AF218" s="961"/>
      <c r="AG218" s="960"/>
      <c r="AH218" s="961"/>
      <c r="AI218" s="10"/>
      <c r="AJ218" s="10"/>
      <c r="AK218" s="10"/>
    </row>
    <row r="219" spans="1:37" ht="27" thickBot="1" x14ac:dyDescent="0.35">
      <c r="A219" s="657"/>
      <c r="C219" s="16"/>
      <c r="D219" s="16"/>
      <c r="E219" s="89"/>
      <c r="F219" s="473"/>
      <c r="G219" s="473"/>
      <c r="H219" s="1644"/>
      <c r="I219" s="1645"/>
      <c r="J219" s="1651" t="b">
        <f>IF(AND(J217=FALSE,J218=FALSE),FALSE,TRUE)</f>
        <v>0</v>
      </c>
      <c r="K219" s="1633"/>
      <c r="L219" s="1634"/>
      <c r="M219" s="1634"/>
      <c r="N219" s="1635"/>
      <c r="O219" s="1644"/>
      <c r="P219" s="1645"/>
      <c r="Q219" s="1651" t="b">
        <f>IF(AND(Q217=FALSE,Q218=FALSE),FALSE,TRUE)</f>
        <v>0</v>
      </c>
      <c r="R219" s="1656"/>
      <c r="S219" s="1657"/>
      <c r="T219" s="1658" t="b">
        <f>IF(AND(T217=FALSE,T218=FALSE),FALSE,TRUE)</f>
        <v>0</v>
      </c>
      <c r="U219" s="932"/>
      <c r="AC219" s="1564" t="str">
        <f>IF(J219=TRUE,"V","F")</f>
        <v>F</v>
      </c>
      <c r="AD219" s="1565"/>
      <c r="AE219" s="1564" t="str">
        <f>IF(Q219=TRUE,"V","F")</f>
        <v>F</v>
      </c>
      <c r="AF219" s="1565"/>
      <c r="AG219" s="1564" t="str">
        <f>IF(T219=TRUE,"V","F")</f>
        <v>F</v>
      </c>
      <c r="AH219" s="1565"/>
      <c r="AI219" s="10"/>
      <c r="AJ219" s="10"/>
      <c r="AK219" s="10"/>
    </row>
    <row r="220" spans="1:37" ht="21" x14ac:dyDescent="0.25">
      <c r="AC220" s="1649"/>
      <c r="AD220" s="1650">
        <f>IF(AND(AC219="V",AC211="V"),AD215-1,AD215)</f>
        <v>0</v>
      </c>
      <c r="AE220" s="1649"/>
      <c r="AF220" s="1650">
        <f>IF(OR(AE211="V",AE214="V",AE219="V"),1,0)</f>
        <v>0</v>
      </c>
      <c r="AG220" s="1649"/>
      <c r="AH220" s="1650">
        <f>IF(AG211="V",1,IF(AG219="V",1,0))</f>
        <v>0</v>
      </c>
      <c r="AI220" s="10">
        <v>1</v>
      </c>
      <c r="AJ220" s="10"/>
      <c r="AK220" s="10"/>
    </row>
    <row r="221" spans="1:37" x14ac:dyDescent="0.2">
      <c r="AC221" s="1668" t="s">
        <v>1388</v>
      </c>
      <c r="AD221" s="1669">
        <f>IF(AF220=1,AD220*(1+$AH$28),AD220)</f>
        <v>0</v>
      </c>
      <c r="AI221" s="10"/>
      <c r="AJ221" s="10"/>
      <c r="AK221" s="10"/>
    </row>
    <row r="222" spans="1:37" x14ac:dyDescent="0.2">
      <c r="AI222" s="10"/>
      <c r="AJ222" s="10"/>
      <c r="AK222" s="10"/>
    </row>
    <row r="223" spans="1:37" ht="26" x14ac:dyDescent="0.3">
      <c r="A223" s="820">
        <v>12</v>
      </c>
      <c r="C223" s="476">
        <f>'CPTS indépendants'!F38</f>
        <v>0</v>
      </c>
      <c r="D223" s="107"/>
      <c r="E223" s="65"/>
      <c r="F223" s="18"/>
      <c r="G223" s="18"/>
      <c r="H223" s="2255" t="s">
        <v>734</v>
      </c>
      <c r="I223" s="2256"/>
      <c r="J223" s="2256"/>
      <c r="K223" s="2257" t="s">
        <v>1378</v>
      </c>
      <c r="L223" s="2257"/>
      <c r="M223" s="2257"/>
      <c r="N223" s="2258"/>
      <c r="O223" s="2259" t="s">
        <v>733</v>
      </c>
      <c r="P223" s="2260"/>
      <c r="Q223" s="2261"/>
      <c r="R223" s="2262" t="s">
        <v>735</v>
      </c>
      <c r="S223" s="2263"/>
      <c r="T223" s="2264"/>
      <c r="U223" s="15"/>
      <c r="V223" s="15"/>
      <c r="AC223" s="956"/>
      <c r="AD223" s="956"/>
      <c r="AE223" s="956"/>
      <c r="AF223" s="956"/>
      <c r="AG223" s="956"/>
      <c r="AH223" s="957"/>
      <c r="AI223" s="10"/>
      <c r="AJ223" s="10"/>
      <c r="AK223" s="10"/>
    </row>
    <row r="224" spans="1:37" ht="68" x14ac:dyDescent="0.2">
      <c r="C224" s="102" t="s">
        <v>998</v>
      </c>
      <c r="D224" s="983"/>
      <c r="E224" s="32" t="s">
        <v>748</v>
      </c>
      <c r="F224" s="32" t="s">
        <v>749</v>
      </c>
      <c r="G224" s="32" t="s">
        <v>750</v>
      </c>
      <c r="H224" s="1620" t="s">
        <v>306</v>
      </c>
      <c r="I224" s="43" t="s">
        <v>307</v>
      </c>
      <c r="J224" s="43" t="s">
        <v>308</v>
      </c>
      <c r="K224" s="43"/>
      <c r="L224" s="43"/>
      <c r="M224" s="43"/>
      <c r="N224" s="1621"/>
      <c r="O224" s="1620" t="s">
        <v>306</v>
      </c>
      <c r="P224" s="43" t="s">
        <v>307</v>
      </c>
      <c r="Q224" s="1621" t="s">
        <v>308</v>
      </c>
      <c r="R224" s="1620" t="s">
        <v>306</v>
      </c>
      <c r="S224" s="43" t="s">
        <v>307</v>
      </c>
      <c r="T224" s="1621" t="s">
        <v>308</v>
      </c>
      <c r="U224" s="818"/>
      <c r="V224" s="955" t="s">
        <v>928</v>
      </c>
      <c r="W224" s="1391" t="s">
        <v>734</v>
      </c>
      <c r="X224" s="955" t="s">
        <v>928</v>
      </c>
      <c r="Y224" s="1395" t="s">
        <v>733</v>
      </c>
      <c r="Z224" s="955"/>
      <c r="AA224" s="1399" t="s">
        <v>735</v>
      </c>
      <c r="AC224" s="970" t="s">
        <v>734</v>
      </c>
      <c r="AD224" s="971" t="s">
        <v>946</v>
      </c>
      <c r="AE224" s="970" t="s">
        <v>733</v>
      </c>
      <c r="AF224" s="971" t="s">
        <v>947</v>
      </c>
      <c r="AG224" s="970" t="s">
        <v>735</v>
      </c>
      <c r="AH224" s="971" t="s">
        <v>948</v>
      </c>
      <c r="AI224" s="10"/>
      <c r="AJ224" s="10"/>
      <c r="AK224" s="10"/>
    </row>
    <row r="225" spans="1:37" x14ac:dyDescent="0.2">
      <c r="B225" s="414"/>
      <c r="C225" s="26"/>
      <c r="D225" s="101"/>
      <c r="E225" s="790"/>
      <c r="F225" s="789"/>
      <c r="G225" s="790"/>
      <c r="H225" s="1647">
        <v>11</v>
      </c>
      <c r="I225" s="1648">
        <v>11</v>
      </c>
      <c r="J225" s="45" t="b">
        <f>IF(AND(E225&gt;=H225,E225&lt;=I225),TRUE,FALSE)</f>
        <v>0</v>
      </c>
      <c r="K225" s="45"/>
      <c r="L225" s="45"/>
      <c r="M225" s="45"/>
      <c r="N225" s="1623"/>
      <c r="O225" s="1647">
        <v>11</v>
      </c>
      <c r="P225" s="1648">
        <v>11</v>
      </c>
      <c r="Q225" s="1623" t="b">
        <f>IF(AND(E225&gt;=O225,E225&lt;=P225),TRUE,FALSE)</f>
        <v>0</v>
      </c>
      <c r="R225" s="1647">
        <v>11</v>
      </c>
      <c r="S225" s="1648">
        <v>11</v>
      </c>
      <c r="T225" s="1623" t="b">
        <f>IF(AND(E225&gt;=R225,E225&lt;=S225),TRUE,FALSE)</f>
        <v>0</v>
      </c>
      <c r="U225" s="931"/>
      <c r="V225" s="1403"/>
      <c r="W225" s="1436">
        <v>11</v>
      </c>
      <c r="X225" s="1447"/>
      <c r="Y225" s="1446">
        <v>11</v>
      </c>
      <c r="Z225" s="1405"/>
      <c r="AA225" s="1448">
        <v>11</v>
      </c>
      <c r="AC225" s="958"/>
      <c r="AD225" s="959"/>
      <c r="AE225" s="958"/>
      <c r="AF225" s="959"/>
      <c r="AG225" s="958"/>
      <c r="AH225" s="959"/>
      <c r="AI225" s="10"/>
      <c r="AJ225" s="10"/>
      <c r="AK225" s="10"/>
    </row>
    <row r="226" spans="1:37" x14ac:dyDescent="0.2">
      <c r="B226" s="414"/>
      <c r="C226" s="26"/>
      <c r="D226" s="101"/>
      <c r="E226" s="790"/>
      <c r="F226" s="789"/>
      <c r="G226" s="790"/>
      <c r="H226" s="1647">
        <v>11</v>
      </c>
      <c r="I226" s="1648">
        <v>11</v>
      </c>
      <c r="J226" s="45" t="b">
        <f>IF(AND(E226&gt;=H226,E226&lt;=I226),TRUE,FALSE)</f>
        <v>0</v>
      </c>
      <c r="K226" s="45"/>
      <c r="L226" s="45"/>
      <c r="M226" s="45"/>
      <c r="N226" s="1623"/>
      <c r="O226" s="1647">
        <v>11</v>
      </c>
      <c r="P226" s="1648">
        <v>11</v>
      </c>
      <c r="Q226" s="1623" t="b">
        <f>IF(AND(E226&gt;=O226,E226&lt;=P226),TRUE,FALSE)</f>
        <v>0</v>
      </c>
      <c r="R226" s="1647">
        <v>11</v>
      </c>
      <c r="S226" s="1648">
        <v>11</v>
      </c>
      <c r="T226" s="1623" t="b">
        <f>IF(AND(E226&gt;=R226,E226&lt;=S226),TRUE,FALSE)</f>
        <v>0</v>
      </c>
      <c r="U226" s="931"/>
      <c r="V226" s="1406" t="s">
        <v>943</v>
      </c>
      <c r="W226" s="1437">
        <v>11</v>
      </c>
      <c r="X226" s="1441"/>
      <c r="Y226" s="1440">
        <v>11</v>
      </c>
      <c r="Z226" s="1426"/>
      <c r="AA226" s="1442">
        <v>11</v>
      </c>
      <c r="AC226" s="960"/>
      <c r="AD226" s="961"/>
      <c r="AE226" s="960"/>
      <c r="AF226" s="961"/>
      <c r="AG226" s="960"/>
      <c r="AH226" s="961"/>
      <c r="AI226" s="10"/>
      <c r="AJ226" s="10"/>
      <c r="AK226" s="10"/>
    </row>
    <row r="227" spans="1:37" x14ac:dyDescent="0.2">
      <c r="B227" s="792"/>
      <c r="C227" s="793"/>
      <c r="D227" s="794"/>
      <c r="E227" s="795"/>
      <c r="F227" s="795"/>
      <c r="G227" s="795"/>
      <c r="H227" s="1624"/>
      <c r="I227" s="796"/>
      <c r="J227" s="797" t="b">
        <f>IF(AND(J225=FALSE,J226=FALSE),FALSE,TRUE)</f>
        <v>0</v>
      </c>
      <c r="K227" s="45"/>
      <c r="L227" s="45"/>
      <c r="M227" s="45"/>
      <c r="N227" s="1623"/>
      <c r="O227" s="1624"/>
      <c r="P227" s="796"/>
      <c r="Q227" s="1637" t="b">
        <f>IF(AND(Q225=FALSE,Q226=FALSE),FALSE,TRUE)</f>
        <v>0</v>
      </c>
      <c r="R227" s="1624"/>
      <c r="S227" s="796"/>
      <c r="T227" s="1637" t="b">
        <f>IF(AND(T225=FALSE,T226=FALSE),FALSE,TRUE)</f>
        <v>0</v>
      </c>
      <c r="U227" s="931"/>
      <c r="V227" s="931" t="s">
        <v>943</v>
      </c>
      <c r="W227" s="1438"/>
      <c r="X227" s="1444"/>
      <c r="Y227" s="1443"/>
      <c r="Z227" s="8"/>
      <c r="AA227" s="1445"/>
      <c r="AC227" s="960"/>
      <c r="AD227" s="961"/>
      <c r="AE227" s="960"/>
      <c r="AF227" s="961"/>
      <c r="AG227" s="960"/>
      <c r="AH227" s="961"/>
      <c r="AI227" s="10"/>
      <c r="AJ227" s="10"/>
      <c r="AK227" s="10"/>
    </row>
    <row r="228" spans="1:37" x14ac:dyDescent="0.2">
      <c r="B228" s="52"/>
      <c r="C228" s="26"/>
      <c r="D228" s="101"/>
      <c r="E228" s="790"/>
      <c r="F228" s="789"/>
      <c r="G228" s="790"/>
      <c r="H228" s="1647">
        <v>11</v>
      </c>
      <c r="I228" s="1648">
        <v>11</v>
      </c>
      <c r="J228" s="45" t="b">
        <f>IF(AND(E228&gt;=H228,E228&lt;=I228),TRUE,FALSE)</f>
        <v>0</v>
      </c>
      <c r="K228" s="45"/>
      <c r="L228" s="45"/>
      <c r="M228" s="45"/>
      <c r="N228" s="1623"/>
      <c r="O228" s="1647">
        <v>11</v>
      </c>
      <c r="P228" s="1648">
        <v>11</v>
      </c>
      <c r="Q228" s="1623" t="b">
        <f>IF(AND(E228&gt;=O228,E228&lt;=P228),TRUE,FALSE)</f>
        <v>0</v>
      </c>
      <c r="R228" s="1647">
        <v>11</v>
      </c>
      <c r="S228" s="1648">
        <v>11</v>
      </c>
      <c r="T228" s="1623" t="b">
        <f>IF(AND(E228&gt;=R228,E228&lt;=S228),TRUE,FALSE)</f>
        <v>0</v>
      </c>
      <c r="U228" s="931"/>
      <c r="V228" s="1403"/>
      <c r="W228" s="1436">
        <v>11</v>
      </c>
      <c r="X228" s="1447"/>
      <c r="Y228" s="1446">
        <v>11</v>
      </c>
      <c r="Z228" s="1405"/>
      <c r="AA228" s="1448">
        <v>11</v>
      </c>
      <c r="AC228" s="960"/>
      <c r="AD228" s="961"/>
      <c r="AE228" s="960"/>
      <c r="AF228" s="961"/>
      <c r="AG228" s="960"/>
      <c r="AH228" s="961"/>
      <c r="AI228" s="10"/>
      <c r="AJ228" s="10"/>
      <c r="AK228" s="10"/>
    </row>
    <row r="229" spans="1:37" x14ac:dyDescent="0.2">
      <c r="B229" s="52"/>
      <c r="C229" s="26"/>
      <c r="D229" s="101"/>
      <c r="E229" s="790"/>
      <c r="F229" s="789"/>
      <c r="G229" s="790"/>
      <c r="H229" s="1647">
        <v>11</v>
      </c>
      <c r="I229" s="1648">
        <v>11</v>
      </c>
      <c r="J229" s="45" t="b">
        <f>IF(AND(E229&gt;=H229,E229&lt;=I229),TRUE,FALSE)</f>
        <v>0</v>
      </c>
      <c r="K229" s="45"/>
      <c r="L229" s="45"/>
      <c r="M229" s="45"/>
      <c r="N229" s="1623"/>
      <c r="O229" s="1647">
        <v>11</v>
      </c>
      <c r="P229" s="1648">
        <v>11</v>
      </c>
      <c r="Q229" s="1623" t="b">
        <f>IF(AND(E229&gt;=O229,E229&lt;=P229),TRUE,FALSE)</f>
        <v>0</v>
      </c>
      <c r="R229" s="1647">
        <v>11</v>
      </c>
      <c r="S229" s="1648">
        <v>11</v>
      </c>
      <c r="T229" s="1623" t="b">
        <f>IF(AND(E229&gt;=R229,E229&lt;=S229),TRUE,FALSE)</f>
        <v>0</v>
      </c>
      <c r="U229" s="931"/>
      <c r="V229" s="1406" t="s">
        <v>943</v>
      </c>
      <c r="W229" s="1437">
        <v>11</v>
      </c>
      <c r="X229" s="1441"/>
      <c r="Y229" s="1440">
        <v>11</v>
      </c>
      <c r="Z229" s="1412"/>
      <c r="AA229" s="1442">
        <v>11</v>
      </c>
      <c r="AC229" s="960"/>
      <c r="AD229" s="961"/>
      <c r="AE229" s="960"/>
      <c r="AF229" s="961"/>
      <c r="AG229" s="960"/>
      <c r="AH229" s="961"/>
      <c r="AI229" s="10"/>
      <c r="AJ229" s="10"/>
      <c r="AK229" s="10"/>
    </row>
    <row r="230" spans="1:37" ht="17" thickBot="1" x14ac:dyDescent="0.25">
      <c r="B230" s="798"/>
      <c r="C230" s="799"/>
      <c r="D230" s="800"/>
      <c r="E230" s="801"/>
      <c r="F230" s="801"/>
      <c r="G230" s="801"/>
      <c r="H230" s="1625"/>
      <c r="I230" s="802"/>
      <c r="J230" s="803" t="b">
        <f>IF(AND(J228=FALSE,J229=FALSE),FALSE,TRUE)</f>
        <v>0</v>
      </c>
      <c r="K230" s="45"/>
      <c r="L230" s="45"/>
      <c r="M230" s="45"/>
      <c r="N230" s="1623"/>
      <c r="O230" s="1625"/>
      <c r="P230" s="802"/>
      <c r="Q230" s="1638" t="b">
        <f>IF(AND(Q228=FALSE,Q229=FALSE),FALSE,TRUE)</f>
        <v>0</v>
      </c>
      <c r="R230" s="1625"/>
      <c r="S230" s="802"/>
      <c r="T230" s="1638" t="b">
        <f>IF(AND(T228=FALSE,T229=FALSE),FALSE,TRUE)</f>
        <v>0</v>
      </c>
      <c r="U230" s="931"/>
      <c r="V230" s="931"/>
      <c r="W230" s="1392"/>
      <c r="X230" s="8"/>
      <c r="Y230" s="1397"/>
      <c r="Z230" s="8"/>
      <c r="AA230" s="1400"/>
      <c r="AC230" s="960"/>
      <c r="AD230" s="961"/>
      <c r="AE230" s="960"/>
      <c r="AF230" s="961"/>
      <c r="AG230" s="960"/>
      <c r="AH230" s="961"/>
      <c r="AI230" s="10"/>
      <c r="AJ230" s="10"/>
      <c r="AK230" s="10"/>
    </row>
    <row r="231" spans="1:37" ht="17" thickBot="1" x14ac:dyDescent="0.25">
      <c r="B231" s="804"/>
      <c r="C231" s="805"/>
      <c r="D231" s="805"/>
      <c r="E231" s="806"/>
      <c r="F231" s="806"/>
      <c r="G231" s="806"/>
      <c r="H231" s="1626"/>
      <c r="I231" s="807"/>
      <c r="J231" s="808" t="b">
        <f>IF(AND(J227=FALSE,J230=FALSE),FALSE,TRUE)</f>
        <v>0</v>
      </c>
      <c r="K231" s="1610"/>
      <c r="L231" s="1610"/>
      <c r="M231" s="1610"/>
      <c r="N231" s="1627"/>
      <c r="O231" s="1626"/>
      <c r="P231" s="807"/>
      <c r="Q231" s="808" t="b">
        <f>IF(AND(Q227=FALSE,Q230=FALSE),FALSE,TRUE)</f>
        <v>0</v>
      </c>
      <c r="R231" s="1626"/>
      <c r="S231" s="807"/>
      <c r="T231" s="808" t="b">
        <f>IF(AND(T227=FALSE,T230=FALSE),FALSE,TRUE)</f>
        <v>0</v>
      </c>
      <c r="U231" s="931"/>
      <c r="V231" s="931" t="s">
        <v>942</v>
      </c>
      <c r="W231" s="1392"/>
      <c r="X231" s="8"/>
      <c r="Y231" s="1397"/>
      <c r="Z231" s="8"/>
      <c r="AA231" s="1400"/>
      <c r="AC231" s="960" t="str">
        <f>IF(J231=TRUE,"V","F")</f>
        <v>F</v>
      </c>
      <c r="AD231" s="961"/>
      <c r="AE231" s="960" t="str">
        <f>IF(Q231=TRUE,"V","F")</f>
        <v>F</v>
      </c>
      <c r="AF231" s="961"/>
      <c r="AG231" s="960" t="str">
        <f>IF(T231=TRUE,"V","F")</f>
        <v>F</v>
      </c>
      <c r="AH231" s="961"/>
      <c r="AI231" s="10"/>
      <c r="AJ231" s="10"/>
      <c r="AK231" s="10"/>
    </row>
    <row r="232" spans="1:37" ht="21" x14ac:dyDescent="0.2">
      <c r="B232" s="313">
        <f>'CPTS indépendants'!O46</f>
        <v>0</v>
      </c>
      <c r="C232" s="26" t="str">
        <f>Test_Bible!B271</f>
        <v/>
      </c>
      <c r="D232" s="101"/>
      <c r="E232" s="790">
        <f>Test_Bible!P271</f>
        <v>0</v>
      </c>
      <c r="F232" s="789">
        <f>Test_Bible!D271</f>
        <v>3</v>
      </c>
      <c r="G232" s="790">
        <f>E232*F232</f>
        <v>0</v>
      </c>
      <c r="H232" s="1622">
        <v>7</v>
      </c>
      <c r="I232" s="1615">
        <v>10</v>
      </c>
      <c r="J232" s="45" t="b">
        <f>IF(AND(E232&gt;=H232,E232&lt;=I232),TRUE,FALSE)</f>
        <v>0</v>
      </c>
      <c r="K232" s="45"/>
      <c r="L232" s="45"/>
      <c r="M232" s="45"/>
      <c r="N232" s="1623"/>
      <c r="O232" s="1622">
        <v>4</v>
      </c>
      <c r="P232" s="1615">
        <v>10</v>
      </c>
      <c r="Q232" s="1623" t="b">
        <f>IF(AND(E232&gt;=O232,E232&lt;=P232),TRUE,FALSE)</f>
        <v>0</v>
      </c>
      <c r="R232" s="1622"/>
      <c r="S232" s="1615"/>
      <c r="T232" s="1623"/>
      <c r="U232" s="931"/>
      <c r="V232" s="1403"/>
      <c r="W232" s="1404">
        <v>7</v>
      </c>
      <c r="X232" s="1405"/>
      <c r="Y232" s="1408">
        <v>4</v>
      </c>
      <c r="Z232" s="1405"/>
      <c r="AA232" s="1416">
        <v>11</v>
      </c>
      <c r="AC232" s="960" t="s">
        <v>945</v>
      </c>
      <c r="AD232" s="961"/>
      <c r="AE232" s="960"/>
      <c r="AF232" s="961"/>
      <c r="AG232" s="960"/>
      <c r="AH232" s="961"/>
      <c r="AI232" s="10"/>
      <c r="AJ232" s="10"/>
      <c r="AK232" s="10"/>
    </row>
    <row r="233" spans="1:37" ht="17" thickBot="1" x14ac:dyDescent="0.25">
      <c r="B233" s="313"/>
      <c r="C233" s="26"/>
      <c r="D233" s="101"/>
      <c r="E233" s="790"/>
      <c r="F233" s="789"/>
      <c r="G233" s="790"/>
      <c r="H233" s="1647">
        <v>11</v>
      </c>
      <c r="I233" s="1648">
        <v>11</v>
      </c>
      <c r="J233" s="45" t="b">
        <f>IF(AND(E233&gt;=H233,E233&lt;=I233),TRUE,FALSE)</f>
        <v>0</v>
      </c>
      <c r="K233" s="45"/>
      <c r="L233" s="45"/>
      <c r="M233" s="45"/>
      <c r="N233" s="1623"/>
      <c r="O233" s="1647">
        <v>11</v>
      </c>
      <c r="P233" s="1648">
        <v>11</v>
      </c>
      <c r="Q233" s="1623" t="b">
        <f>IF(AND(E233&gt;=O233,E233&lt;=P233),TRUE,FALSE)</f>
        <v>0</v>
      </c>
      <c r="R233" s="1647"/>
      <c r="S233" s="1648"/>
      <c r="T233" s="1623"/>
      <c r="U233" s="931"/>
      <c r="V233" s="1406" t="s">
        <v>943</v>
      </c>
      <c r="W233" s="1425">
        <v>11</v>
      </c>
      <c r="X233" s="1426"/>
      <c r="Y233" s="1427">
        <v>11</v>
      </c>
      <c r="Z233" s="1426"/>
      <c r="AA233" s="1421">
        <v>11</v>
      </c>
      <c r="AC233" s="960"/>
      <c r="AD233" s="961"/>
      <c r="AE233" s="960"/>
      <c r="AF233" s="961"/>
      <c r="AG233" s="960"/>
      <c r="AH233" s="961"/>
      <c r="AI233" s="10"/>
      <c r="AJ233" s="10"/>
      <c r="AK233" s="10"/>
    </row>
    <row r="234" spans="1:37" ht="17" thickBot="1" x14ac:dyDescent="0.25">
      <c r="B234" s="809"/>
      <c r="C234" s="810"/>
      <c r="D234" s="810"/>
      <c r="E234" s="811"/>
      <c r="F234" s="811"/>
      <c r="G234" s="811"/>
      <c r="H234" s="1628"/>
      <c r="I234" s="812"/>
      <c r="J234" s="813" t="b">
        <f>IF(AND(J232=FALSE,J233=FALSE),FALSE,TRUE)</f>
        <v>0</v>
      </c>
      <c r="K234" s="1611"/>
      <c r="L234" s="1611"/>
      <c r="M234" s="1611"/>
      <c r="N234" s="1629"/>
      <c r="O234" s="1628"/>
      <c r="P234" s="812"/>
      <c r="Q234" s="813" t="b">
        <f>IF(AND(Q232=FALSE,Q233=FALSE),FALSE,TRUE)</f>
        <v>0</v>
      </c>
      <c r="R234" s="1628"/>
      <c r="S234" s="812"/>
      <c r="T234" s="813"/>
      <c r="U234" s="931"/>
      <c r="V234" s="931"/>
      <c r="W234" s="1394"/>
      <c r="Y234" s="1398"/>
      <c r="AA234" s="1402"/>
      <c r="AC234" s="960" t="str">
        <f>IF(J234=TRUE,"V","F")</f>
        <v>F</v>
      </c>
      <c r="AD234" s="961"/>
      <c r="AE234" s="960" t="str">
        <f>IF(Q234=TRUE,"V","F")</f>
        <v>F</v>
      </c>
      <c r="AF234" s="961"/>
      <c r="AG234" s="960"/>
      <c r="AH234" s="961"/>
      <c r="AI234" s="10"/>
      <c r="AJ234" s="10"/>
      <c r="AK234" s="10"/>
    </row>
    <row r="235" spans="1:37" x14ac:dyDescent="0.2">
      <c r="C235" s="421"/>
      <c r="D235" s="785"/>
      <c r="E235" s="474"/>
      <c r="F235" s="47"/>
      <c r="G235" s="47"/>
      <c r="H235" s="1630"/>
      <c r="I235" s="475"/>
      <c r="J235" s="1613"/>
      <c r="K235" s="1614"/>
      <c r="L235" s="1614"/>
      <c r="M235" s="1614"/>
      <c r="N235" s="1631"/>
      <c r="O235" s="1630"/>
      <c r="P235" s="475"/>
      <c r="Q235" s="1639"/>
      <c r="R235" s="1630"/>
      <c r="S235" s="475"/>
      <c r="T235" s="1639"/>
      <c r="U235" s="1664"/>
      <c r="V235" s="170"/>
      <c r="W235" s="1394"/>
      <c r="Y235" s="1398"/>
      <c r="AA235" s="1402"/>
      <c r="AC235" s="962"/>
      <c r="AD235" s="963">
        <f>IF(AND(AC231="V",AC234="V"),2,IF(OR(AC231="V",AC234="V"),1,0))</f>
        <v>0</v>
      </c>
      <c r="AE235" s="962"/>
      <c r="AF235" s="963">
        <f>IF(OR(AE231="V",AE234="V"),1,0)</f>
        <v>0</v>
      </c>
      <c r="AG235" s="962"/>
      <c r="AH235" s="963"/>
      <c r="AI235" s="10"/>
      <c r="AJ235" s="10"/>
      <c r="AK235" s="10"/>
    </row>
    <row r="236" spans="1:37" x14ac:dyDescent="0.2">
      <c r="B236" t="s">
        <v>243</v>
      </c>
      <c r="H236" s="146"/>
      <c r="K236" s="46"/>
      <c r="L236" s="46"/>
      <c r="M236" s="46"/>
      <c r="N236" s="1652"/>
      <c r="O236" s="146"/>
      <c r="Q236" s="326"/>
      <c r="R236" s="146"/>
      <c r="T236" s="326"/>
      <c r="W236" s="1394"/>
      <c r="Y236" s="1398"/>
      <c r="AA236" s="1402"/>
      <c r="AC236" s="960"/>
      <c r="AD236" s="961"/>
      <c r="AE236" s="960"/>
      <c r="AF236" s="961"/>
      <c r="AG236" s="960"/>
      <c r="AH236" s="961"/>
      <c r="AI236" s="10"/>
      <c r="AJ236" s="10"/>
      <c r="AK236" s="10"/>
    </row>
    <row r="237" spans="1:37" x14ac:dyDescent="0.2">
      <c r="B237" s="964"/>
      <c r="C237" s="965"/>
      <c r="D237" s="965"/>
      <c r="E237" s="973"/>
      <c r="F237" s="973"/>
      <c r="G237" s="973"/>
      <c r="H237" s="1647">
        <v>11</v>
      </c>
      <c r="I237" s="1648">
        <v>11</v>
      </c>
      <c r="J237" s="45" t="b">
        <f>IF(AND(E237&gt;=H237,E237&lt;=I237),TRUE,FALSE)</f>
        <v>0</v>
      </c>
      <c r="K237" s="32"/>
      <c r="L237" s="32"/>
      <c r="M237" s="32"/>
      <c r="N237" s="1632"/>
      <c r="O237" s="1647">
        <v>11</v>
      </c>
      <c r="P237" s="1648">
        <v>11</v>
      </c>
      <c r="Q237" s="1623" t="b">
        <f>IF(AND(E237&gt;=O237,E237&lt;=P237),TRUE,FALSE)</f>
        <v>0</v>
      </c>
      <c r="R237" s="1647">
        <v>11</v>
      </c>
      <c r="S237" s="1648">
        <v>11</v>
      </c>
      <c r="T237" s="1623" t="b">
        <f>IF(AND(E237&gt;=R237,E237&lt;=S237),TRUE,FALSE)</f>
        <v>0</v>
      </c>
      <c r="U237" s="931"/>
      <c r="V237" s="1428"/>
      <c r="W237" s="1422">
        <v>11</v>
      </c>
      <c r="X237" s="1405"/>
      <c r="Y237" s="1424">
        <v>11</v>
      </c>
      <c r="Z237" s="1405"/>
      <c r="AA237" s="1448">
        <v>11</v>
      </c>
      <c r="AC237" s="960"/>
      <c r="AD237" s="961"/>
      <c r="AE237" s="960"/>
      <c r="AF237" s="961"/>
      <c r="AG237" s="960"/>
      <c r="AH237" s="961"/>
      <c r="AI237" s="10"/>
      <c r="AJ237" s="10"/>
      <c r="AK237" s="10"/>
    </row>
    <row r="238" spans="1:37" ht="20" thickBot="1" x14ac:dyDescent="0.25">
      <c r="B238" s="964"/>
      <c r="C238" s="972"/>
      <c r="D238" s="965"/>
      <c r="E238" s="973"/>
      <c r="F238" s="973"/>
      <c r="G238" s="973"/>
      <c r="H238" s="1647">
        <v>11</v>
      </c>
      <c r="I238" s="1648">
        <v>11</v>
      </c>
      <c r="J238" s="45" t="b">
        <f>IF(AND(E238&gt;=H238,E238&lt;=I238),TRUE,FALSE)</f>
        <v>0</v>
      </c>
      <c r="K238" s="32"/>
      <c r="L238" s="32"/>
      <c r="M238" s="32"/>
      <c r="N238" s="1632"/>
      <c r="O238" s="1647">
        <v>11</v>
      </c>
      <c r="P238" s="1648">
        <v>11</v>
      </c>
      <c r="Q238" s="1623" t="b">
        <f>IF(AND(E238&gt;=O238,E238&lt;=P238),TRUE,FALSE)</f>
        <v>0</v>
      </c>
      <c r="R238" s="1647">
        <v>11</v>
      </c>
      <c r="S238" s="1648">
        <v>11</v>
      </c>
      <c r="T238" s="1623" t="b">
        <f>IF(AND(E238&gt;=R238,E238&lt;=S238),TRUE,FALSE)</f>
        <v>0</v>
      </c>
      <c r="U238" s="931"/>
      <c r="V238" s="1429"/>
      <c r="W238" s="1425">
        <v>11</v>
      </c>
      <c r="X238" s="1426"/>
      <c r="Y238" s="1427">
        <v>11</v>
      </c>
      <c r="Z238" s="1426"/>
      <c r="AA238" s="1421">
        <v>11</v>
      </c>
      <c r="AC238" s="960"/>
      <c r="AD238" s="961"/>
      <c r="AE238" s="960"/>
      <c r="AF238" s="961"/>
      <c r="AG238" s="960"/>
      <c r="AH238" s="961"/>
      <c r="AI238" s="10"/>
      <c r="AJ238" s="10"/>
      <c r="AK238" s="10"/>
    </row>
    <row r="239" spans="1:37" ht="27" thickBot="1" x14ac:dyDescent="0.35">
      <c r="A239" s="657"/>
      <c r="C239" s="16"/>
      <c r="D239" s="16"/>
      <c r="E239" s="89"/>
      <c r="F239" s="473"/>
      <c r="G239" s="473"/>
      <c r="H239" s="1644"/>
      <c r="I239" s="1645"/>
      <c r="J239" s="1651" t="b">
        <f>IF(AND(J237=FALSE,J238=FALSE),FALSE,TRUE)</f>
        <v>0</v>
      </c>
      <c r="K239" s="1633"/>
      <c r="L239" s="1634"/>
      <c r="M239" s="1634"/>
      <c r="N239" s="1635"/>
      <c r="O239" s="1644"/>
      <c r="P239" s="1645"/>
      <c r="Q239" s="1651" t="b">
        <f>IF(AND(Q237=FALSE,Q238=FALSE),FALSE,TRUE)</f>
        <v>0</v>
      </c>
      <c r="R239" s="1656"/>
      <c r="S239" s="1657"/>
      <c r="T239" s="1658" t="b">
        <f>IF(AND(T237=FALSE,T238=FALSE),FALSE,TRUE)</f>
        <v>0</v>
      </c>
      <c r="U239" s="932"/>
      <c r="AC239" s="1564" t="str">
        <f>IF(J239=TRUE,"V","F")</f>
        <v>F</v>
      </c>
      <c r="AD239" s="1565"/>
      <c r="AE239" s="1564" t="str">
        <f>IF(Q239=TRUE,"V","F")</f>
        <v>F</v>
      </c>
      <c r="AF239" s="1565"/>
      <c r="AG239" s="1564" t="str">
        <f>IF(T239=TRUE,"V","F")</f>
        <v>F</v>
      </c>
      <c r="AH239" s="1565"/>
      <c r="AI239" s="10"/>
      <c r="AJ239" s="10"/>
      <c r="AK239" s="10"/>
    </row>
    <row r="240" spans="1:37" ht="21" x14ac:dyDescent="0.25">
      <c r="AC240" s="1649"/>
      <c r="AD240" s="1650">
        <f>IF(AND(AC239="V",AC231="V"),AD235-1,AD235)</f>
        <v>0</v>
      </c>
      <c r="AE240" s="1649"/>
      <c r="AF240" s="1650">
        <f>IF(OR(AE231="V",AE234="V",AE239="V"),1,0)</f>
        <v>0</v>
      </c>
      <c r="AG240" s="1649"/>
      <c r="AH240" s="1650">
        <f>IF(AG231="V",1,IF(AG239="V",1,0))</f>
        <v>0</v>
      </c>
      <c r="AI240" s="10">
        <v>1</v>
      </c>
      <c r="AJ240" s="10">
        <v>1</v>
      </c>
      <c r="AK240" s="10"/>
    </row>
    <row r="241" spans="1:37" x14ac:dyDescent="0.2">
      <c r="AC241" s="1668" t="s">
        <v>1388</v>
      </c>
      <c r="AD241" s="1669">
        <f>IF(AF240=1,AD240*(1+$AH$28),AD240)</f>
        <v>0</v>
      </c>
      <c r="AI241" s="10"/>
      <c r="AJ241" s="10"/>
      <c r="AK241" s="10"/>
    </row>
    <row r="242" spans="1:37" x14ac:dyDescent="0.2">
      <c r="AI242" s="10"/>
      <c r="AJ242" s="10"/>
      <c r="AK242" s="10"/>
    </row>
    <row r="243" spans="1:37" ht="26" x14ac:dyDescent="0.3">
      <c r="A243" s="820">
        <v>13</v>
      </c>
      <c r="C243" s="476">
        <f>'CPTS indépendants'!F42</f>
        <v>0</v>
      </c>
      <c r="D243" s="107"/>
      <c r="E243" s="65"/>
      <c r="F243" s="18"/>
      <c r="G243" s="18"/>
      <c r="H243" s="2255" t="s">
        <v>734</v>
      </c>
      <c r="I243" s="2256"/>
      <c r="J243" s="2256"/>
      <c r="K243" s="2257" t="s">
        <v>1378</v>
      </c>
      <c r="L243" s="2257"/>
      <c r="M243" s="2257"/>
      <c r="N243" s="2258"/>
      <c r="O243" s="2259" t="s">
        <v>733</v>
      </c>
      <c r="P243" s="2260"/>
      <c r="Q243" s="2261"/>
      <c r="R243" s="2262" t="s">
        <v>735</v>
      </c>
      <c r="S243" s="2263"/>
      <c r="T243" s="2264"/>
      <c r="U243" s="15"/>
      <c r="V243" s="15"/>
      <c r="AC243" s="956"/>
      <c r="AD243" s="956"/>
      <c r="AE243" s="956"/>
      <c r="AF243" s="956"/>
      <c r="AG243" s="956"/>
      <c r="AH243" s="957"/>
      <c r="AI243" s="10"/>
      <c r="AJ243" s="10"/>
      <c r="AK243" s="10"/>
    </row>
    <row r="244" spans="1:37" ht="68" x14ac:dyDescent="0.2">
      <c r="C244" s="102" t="s">
        <v>998</v>
      </c>
      <c r="D244" s="983"/>
      <c r="E244" s="32" t="s">
        <v>748</v>
      </c>
      <c r="F244" s="32" t="s">
        <v>749</v>
      </c>
      <c r="G244" s="32" t="s">
        <v>750</v>
      </c>
      <c r="H244" s="1620" t="s">
        <v>306</v>
      </c>
      <c r="I244" s="43" t="s">
        <v>307</v>
      </c>
      <c r="J244" s="43" t="s">
        <v>308</v>
      </c>
      <c r="K244" s="43"/>
      <c r="L244" s="43"/>
      <c r="M244" s="43"/>
      <c r="N244" s="1621"/>
      <c r="O244" s="1620" t="s">
        <v>306</v>
      </c>
      <c r="P244" s="43" t="s">
        <v>307</v>
      </c>
      <c r="Q244" s="1621" t="s">
        <v>308</v>
      </c>
      <c r="R244" s="1620" t="s">
        <v>306</v>
      </c>
      <c r="S244" s="43" t="s">
        <v>307</v>
      </c>
      <c r="T244" s="1621" t="s">
        <v>308</v>
      </c>
      <c r="U244" s="818"/>
      <c r="V244" s="955" t="s">
        <v>928</v>
      </c>
      <c r="W244" s="1391" t="s">
        <v>734</v>
      </c>
      <c r="X244" s="955" t="s">
        <v>928</v>
      </c>
      <c r="Y244" s="1395" t="s">
        <v>733</v>
      </c>
      <c r="Z244" s="955"/>
      <c r="AA244" s="1399" t="s">
        <v>735</v>
      </c>
      <c r="AC244" s="970" t="s">
        <v>734</v>
      </c>
      <c r="AD244" s="971" t="s">
        <v>946</v>
      </c>
      <c r="AE244" s="970" t="s">
        <v>733</v>
      </c>
      <c r="AF244" s="971" t="s">
        <v>947</v>
      </c>
      <c r="AG244" s="970" t="s">
        <v>735</v>
      </c>
      <c r="AH244" s="971" t="s">
        <v>948</v>
      </c>
      <c r="AI244" s="10"/>
      <c r="AJ244" s="10"/>
      <c r="AK244" s="10"/>
    </row>
    <row r="245" spans="1:37" x14ac:dyDescent="0.2">
      <c r="B245" s="414"/>
      <c r="C245" s="26"/>
      <c r="D245" s="101"/>
      <c r="E245" s="790"/>
      <c r="F245" s="789"/>
      <c r="G245" s="790"/>
      <c r="H245" s="1647">
        <v>11</v>
      </c>
      <c r="I245" s="1648">
        <v>11</v>
      </c>
      <c r="J245" s="45" t="b">
        <f>IF(AND(E245&gt;=H245,E245&lt;=I245),TRUE,FALSE)</f>
        <v>0</v>
      </c>
      <c r="K245" s="45"/>
      <c r="L245" s="45"/>
      <c r="M245" s="45"/>
      <c r="N245" s="1623"/>
      <c r="O245" s="1647">
        <v>11</v>
      </c>
      <c r="P245" s="1648">
        <v>11</v>
      </c>
      <c r="Q245" s="1623" t="b">
        <f>IF(AND(E245&gt;=O245,E245&lt;=P245),TRUE,FALSE)</f>
        <v>0</v>
      </c>
      <c r="R245" s="1647">
        <v>11</v>
      </c>
      <c r="S245" s="1648">
        <v>11</v>
      </c>
      <c r="T245" s="1623" t="b">
        <f>IF(AND(E245&gt;=R245,E245&lt;=S245),TRUE,FALSE)</f>
        <v>0</v>
      </c>
      <c r="U245" s="931"/>
      <c r="V245" s="1403"/>
      <c r="W245" s="1436">
        <v>11</v>
      </c>
      <c r="X245" s="1447"/>
      <c r="Y245" s="1446">
        <v>11</v>
      </c>
      <c r="Z245" s="1405"/>
      <c r="AA245" s="1448">
        <v>11</v>
      </c>
      <c r="AC245" s="958"/>
      <c r="AD245" s="959"/>
      <c r="AE245" s="958"/>
      <c r="AF245" s="959"/>
      <c r="AG245" s="958"/>
      <c r="AH245" s="959"/>
      <c r="AI245" s="10"/>
      <c r="AJ245" s="10"/>
      <c r="AK245" s="10"/>
    </row>
    <row r="246" spans="1:37" x14ac:dyDescent="0.2">
      <c r="B246" s="414"/>
      <c r="C246" s="26"/>
      <c r="D246" s="101"/>
      <c r="E246" s="790"/>
      <c r="F246" s="789"/>
      <c r="G246" s="790"/>
      <c r="H246" s="1647">
        <v>11</v>
      </c>
      <c r="I246" s="1648">
        <v>11</v>
      </c>
      <c r="J246" s="45" t="b">
        <f>IF(AND(E246&gt;=H246,E246&lt;=I246),TRUE,FALSE)</f>
        <v>0</v>
      </c>
      <c r="K246" s="45"/>
      <c r="L246" s="45"/>
      <c r="M246" s="45"/>
      <c r="N246" s="1623"/>
      <c r="O246" s="1647">
        <v>11</v>
      </c>
      <c r="P246" s="1648">
        <v>11</v>
      </c>
      <c r="Q246" s="1623" t="b">
        <f>IF(AND(E246&gt;=O246,E246&lt;=P246),TRUE,FALSE)</f>
        <v>0</v>
      </c>
      <c r="R246" s="1647">
        <v>11</v>
      </c>
      <c r="S246" s="1648">
        <v>11</v>
      </c>
      <c r="T246" s="1623" t="b">
        <f>IF(AND(E246&gt;=R246,E246&lt;=S246),TRUE,FALSE)</f>
        <v>0</v>
      </c>
      <c r="U246" s="931"/>
      <c r="V246" s="1406" t="s">
        <v>943</v>
      </c>
      <c r="W246" s="1437">
        <v>11</v>
      </c>
      <c r="X246" s="1441"/>
      <c r="Y246" s="1440">
        <v>11</v>
      </c>
      <c r="Z246" s="1426"/>
      <c r="AA246" s="1442">
        <v>11</v>
      </c>
      <c r="AC246" s="960"/>
      <c r="AD246" s="961"/>
      <c r="AE246" s="960"/>
      <c r="AF246" s="961"/>
      <c r="AG246" s="960"/>
      <c r="AH246" s="961"/>
      <c r="AI246" s="10"/>
      <c r="AJ246" s="10"/>
      <c r="AK246" s="10"/>
    </row>
    <row r="247" spans="1:37" x14ac:dyDescent="0.2">
      <c r="B247" s="792"/>
      <c r="C247" s="793"/>
      <c r="D247" s="794"/>
      <c r="E247" s="795"/>
      <c r="F247" s="795"/>
      <c r="G247" s="795"/>
      <c r="H247" s="1624"/>
      <c r="I247" s="796"/>
      <c r="J247" s="797" t="b">
        <f>IF(AND(J245=FALSE,J246=FALSE),FALSE,TRUE)</f>
        <v>0</v>
      </c>
      <c r="K247" s="45"/>
      <c r="L247" s="45"/>
      <c r="M247" s="45"/>
      <c r="N247" s="1623"/>
      <c r="O247" s="1624"/>
      <c r="P247" s="796"/>
      <c r="Q247" s="1637" t="b">
        <f>IF(AND(Q245=FALSE,Q246=FALSE),FALSE,TRUE)</f>
        <v>0</v>
      </c>
      <c r="R247" s="1624"/>
      <c r="S247" s="796"/>
      <c r="T247" s="1637" t="b">
        <f>IF(AND(T245=FALSE,T246=FALSE),FALSE,TRUE)</f>
        <v>0</v>
      </c>
      <c r="U247" s="931"/>
      <c r="V247" s="931" t="s">
        <v>943</v>
      </c>
      <c r="W247" s="1438"/>
      <c r="X247" s="1444"/>
      <c r="Y247" s="1443"/>
      <c r="Z247" s="8"/>
      <c r="AA247" s="1445"/>
      <c r="AC247" s="960"/>
      <c r="AD247" s="961"/>
      <c r="AE247" s="960"/>
      <c r="AF247" s="961"/>
      <c r="AG247" s="960"/>
      <c r="AH247" s="961"/>
      <c r="AI247" s="10"/>
      <c r="AJ247" s="10"/>
      <c r="AK247" s="10"/>
    </row>
    <row r="248" spans="1:37" x14ac:dyDescent="0.2">
      <c r="B248" s="52"/>
      <c r="C248" s="26"/>
      <c r="D248" s="101"/>
      <c r="E248" s="790"/>
      <c r="F248" s="789"/>
      <c r="G248" s="790"/>
      <c r="H248" s="1647">
        <v>11</v>
      </c>
      <c r="I248" s="1648">
        <v>11</v>
      </c>
      <c r="J248" s="45" t="b">
        <f>IF(AND(E248&gt;=H248,E248&lt;=I248),TRUE,FALSE)</f>
        <v>0</v>
      </c>
      <c r="K248" s="45"/>
      <c r="L248" s="45"/>
      <c r="M248" s="45"/>
      <c r="N248" s="1623"/>
      <c r="O248" s="1647">
        <v>11</v>
      </c>
      <c r="P248" s="1648">
        <v>11</v>
      </c>
      <c r="Q248" s="1623" t="b">
        <f>IF(AND(E248&gt;=O248,E248&lt;=P248),TRUE,FALSE)</f>
        <v>0</v>
      </c>
      <c r="R248" s="1647">
        <v>11</v>
      </c>
      <c r="S248" s="1648">
        <v>11</v>
      </c>
      <c r="T248" s="1623" t="b">
        <f>IF(AND(E248&gt;=R248,E248&lt;=S248),TRUE,FALSE)</f>
        <v>0</v>
      </c>
      <c r="U248" s="931"/>
      <c r="V248" s="1403"/>
      <c r="W248" s="1436">
        <v>11</v>
      </c>
      <c r="X248" s="1447"/>
      <c r="Y248" s="1446">
        <v>11</v>
      </c>
      <c r="Z248" s="1405"/>
      <c r="AA248" s="1448">
        <v>11</v>
      </c>
      <c r="AC248" s="960"/>
      <c r="AD248" s="961"/>
      <c r="AE248" s="960"/>
      <c r="AF248" s="961"/>
      <c r="AG248" s="960"/>
      <c r="AH248" s="961"/>
      <c r="AI248" s="10"/>
      <c r="AJ248" s="10"/>
      <c r="AK248" s="10"/>
    </row>
    <row r="249" spans="1:37" x14ac:dyDescent="0.2">
      <c r="B249" s="52"/>
      <c r="C249" s="26"/>
      <c r="D249" s="101"/>
      <c r="E249" s="790"/>
      <c r="F249" s="789"/>
      <c r="G249" s="790"/>
      <c r="H249" s="1647">
        <v>11</v>
      </c>
      <c r="I249" s="1648">
        <v>11</v>
      </c>
      <c r="J249" s="45" t="b">
        <f>IF(AND(E249&gt;=H249,E249&lt;=I249),TRUE,FALSE)</f>
        <v>0</v>
      </c>
      <c r="K249" s="45"/>
      <c r="L249" s="45"/>
      <c r="M249" s="45"/>
      <c r="N249" s="1623"/>
      <c r="O249" s="1647">
        <v>11</v>
      </c>
      <c r="P249" s="1648">
        <v>11</v>
      </c>
      <c r="Q249" s="1623" t="b">
        <f>IF(AND(E249&gt;=O249,E249&lt;=P249),TRUE,FALSE)</f>
        <v>0</v>
      </c>
      <c r="R249" s="1647">
        <v>11</v>
      </c>
      <c r="S249" s="1648">
        <v>11</v>
      </c>
      <c r="T249" s="1623" t="b">
        <f>IF(AND(E249&gt;=R249,E249&lt;=S249),TRUE,FALSE)</f>
        <v>0</v>
      </c>
      <c r="U249" s="931"/>
      <c r="V249" s="1406" t="s">
        <v>943</v>
      </c>
      <c r="W249" s="1437">
        <v>11</v>
      </c>
      <c r="X249" s="1441"/>
      <c r="Y249" s="1440">
        <v>11</v>
      </c>
      <c r="Z249" s="1412"/>
      <c r="AA249" s="1442">
        <v>11</v>
      </c>
      <c r="AC249" s="960"/>
      <c r="AD249" s="961"/>
      <c r="AE249" s="960"/>
      <c r="AF249" s="961"/>
      <c r="AG249" s="960"/>
      <c r="AH249" s="961"/>
      <c r="AI249" s="10"/>
      <c r="AJ249" s="10"/>
      <c r="AK249" s="10"/>
    </row>
    <row r="250" spans="1:37" ht="17" thickBot="1" x14ac:dyDescent="0.25">
      <c r="B250" s="798"/>
      <c r="C250" s="799"/>
      <c r="D250" s="800"/>
      <c r="E250" s="801"/>
      <c r="F250" s="801"/>
      <c r="G250" s="801"/>
      <c r="H250" s="1625"/>
      <c r="I250" s="802"/>
      <c r="J250" s="803" t="b">
        <f>IF(AND(J248=FALSE,J249=FALSE),FALSE,TRUE)</f>
        <v>0</v>
      </c>
      <c r="K250" s="45"/>
      <c r="L250" s="45"/>
      <c r="M250" s="45"/>
      <c r="N250" s="1623"/>
      <c r="O250" s="1625"/>
      <c r="P250" s="802"/>
      <c r="Q250" s="1638" t="b">
        <f>IF(AND(Q248=FALSE,Q249=FALSE),FALSE,TRUE)</f>
        <v>0</v>
      </c>
      <c r="R250" s="1625"/>
      <c r="S250" s="802"/>
      <c r="T250" s="1638" t="b">
        <f>IF(AND(T248=FALSE,T249=FALSE),FALSE,TRUE)</f>
        <v>0</v>
      </c>
      <c r="U250" s="931"/>
      <c r="V250" s="931"/>
      <c r="W250" s="1392"/>
      <c r="X250" s="8"/>
      <c r="Y250" s="1397"/>
      <c r="Z250" s="8"/>
      <c r="AA250" s="1400"/>
      <c r="AC250" s="960"/>
      <c r="AD250" s="961"/>
      <c r="AE250" s="960"/>
      <c r="AF250" s="961"/>
      <c r="AG250" s="960"/>
      <c r="AH250" s="961"/>
      <c r="AI250" s="10"/>
      <c r="AJ250" s="10"/>
      <c r="AK250" s="10"/>
    </row>
    <row r="251" spans="1:37" ht="17" thickBot="1" x14ac:dyDescent="0.25">
      <c r="B251" s="804"/>
      <c r="C251" s="805"/>
      <c r="D251" s="805"/>
      <c r="E251" s="806"/>
      <c r="F251" s="806"/>
      <c r="G251" s="806"/>
      <c r="H251" s="1626"/>
      <c r="I251" s="807"/>
      <c r="J251" s="808" t="b">
        <f>IF(AND(J247=FALSE,J250=FALSE),FALSE,TRUE)</f>
        <v>0</v>
      </c>
      <c r="K251" s="1610"/>
      <c r="L251" s="1610"/>
      <c r="M251" s="1610"/>
      <c r="N251" s="1627"/>
      <c r="O251" s="1626"/>
      <c r="P251" s="807"/>
      <c r="Q251" s="808" t="b">
        <f>IF(AND(Q247=FALSE,Q250=FALSE),FALSE,TRUE)</f>
        <v>0</v>
      </c>
      <c r="R251" s="1626"/>
      <c r="S251" s="807"/>
      <c r="T251" s="808" t="b">
        <f>IF(AND(T247=FALSE,T250=FALSE),FALSE,TRUE)</f>
        <v>0</v>
      </c>
      <c r="U251" s="931"/>
      <c r="V251" s="931" t="s">
        <v>942</v>
      </c>
      <c r="W251" s="1392"/>
      <c r="X251" s="8"/>
      <c r="Y251" s="1397"/>
      <c r="Z251" s="8"/>
      <c r="AA251" s="1400"/>
      <c r="AC251" s="960" t="str">
        <f>IF(J251=TRUE,"V","F")</f>
        <v>F</v>
      </c>
      <c r="AD251" s="961"/>
      <c r="AE251" s="960" t="str">
        <f>IF(Q251=TRUE,"V","F")</f>
        <v>F</v>
      </c>
      <c r="AF251" s="961"/>
      <c r="AG251" s="960" t="str">
        <f>IF(T251=TRUE,"V","F")</f>
        <v>F</v>
      </c>
      <c r="AH251" s="961"/>
      <c r="AI251" s="10"/>
      <c r="AJ251" s="10"/>
      <c r="AK251" s="10"/>
    </row>
    <row r="252" spans="1:37" ht="34" x14ac:dyDescent="0.2">
      <c r="B252" s="313">
        <f>'CPTS indépendants'!O48</f>
        <v>0</v>
      </c>
      <c r="C252" s="26" t="str">
        <f>Test_Bible!B288</f>
        <v>Arrive-t-il à votre enfant d'être agressif envers vous au retour d'un séjour (tour de garde) chez l'autre parent ?</v>
      </c>
      <c r="D252" s="101"/>
      <c r="E252" s="790">
        <f>Test_Bible!P288</f>
        <v>4</v>
      </c>
      <c r="F252" s="789">
        <f>Test_Bible!D288</f>
        <v>2</v>
      </c>
      <c r="G252" s="790">
        <f>E252*F252</f>
        <v>8</v>
      </c>
      <c r="H252" s="1622">
        <v>4</v>
      </c>
      <c r="I252" s="1615">
        <v>10</v>
      </c>
      <c r="J252" s="45" t="b">
        <f>IF(AND(E252&gt;=H252,E252&lt;=I252),TRUE,FALSE)</f>
        <v>1</v>
      </c>
      <c r="K252" s="45"/>
      <c r="L252" s="45"/>
      <c r="M252" s="45"/>
      <c r="N252" s="1623"/>
      <c r="O252" s="1622">
        <v>2</v>
      </c>
      <c r="P252" s="1615">
        <v>10</v>
      </c>
      <c r="Q252" s="1623" t="b">
        <f>IF(AND(E252&gt;=O252,E252&lt;=P252),TRUE,FALSE)</f>
        <v>1</v>
      </c>
      <c r="R252" s="1622"/>
      <c r="S252" s="1615"/>
      <c r="T252" s="1623"/>
      <c r="U252" s="931"/>
      <c r="V252" s="1403"/>
      <c r="W252" s="1404">
        <v>4</v>
      </c>
      <c r="X252" s="1405"/>
      <c r="Y252" s="1408">
        <v>2</v>
      </c>
      <c r="Z252" s="1405"/>
      <c r="AA252" s="1416">
        <v>11</v>
      </c>
      <c r="AC252" s="960" t="s">
        <v>945</v>
      </c>
      <c r="AD252" s="961"/>
      <c r="AE252" s="960"/>
      <c r="AF252" s="961"/>
      <c r="AG252" s="960"/>
      <c r="AH252" s="961"/>
      <c r="AI252" s="10"/>
      <c r="AJ252" s="10"/>
      <c r="AK252" s="10"/>
    </row>
    <row r="253" spans="1:37" ht="17" thickBot="1" x14ac:dyDescent="0.25">
      <c r="B253" s="313"/>
      <c r="C253" s="26"/>
      <c r="D253" s="101"/>
      <c r="E253" s="790"/>
      <c r="F253" s="789"/>
      <c r="G253" s="790"/>
      <c r="H253" s="1647">
        <v>11</v>
      </c>
      <c r="I253" s="1648">
        <v>11</v>
      </c>
      <c r="J253" s="45" t="b">
        <f>IF(AND(E253&gt;=H253,E253&lt;=I253),TRUE,FALSE)</f>
        <v>0</v>
      </c>
      <c r="K253" s="45"/>
      <c r="L253" s="45"/>
      <c r="M253" s="45"/>
      <c r="N253" s="1623"/>
      <c r="O253" s="1647">
        <v>11</v>
      </c>
      <c r="P253" s="1648">
        <v>11</v>
      </c>
      <c r="Q253" s="1623" t="b">
        <f>IF(AND(E253&gt;=O253,E253&lt;=P253),TRUE,FALSE)</f>
        <v>0</v>
      </c>
      <c r="R253" s="1647"/>
      <c r="S253" s="1648"/>
      <c r="T253" s="1623"/>
      <c r="U253" s="931"/>
      <c r="V253" s="1406" t="s">
        <v>943</v>
      </c>
      <c r="W253" s="1425">
        <v>11</v>
      </c>
      <c r="X253" s="1426"/>
      <c r="Y253" s="1427">
        <v>11</v>
      </c>
      <c r="Z253" s="1426"/>
      <c r="AA253" s="1421">
        <v>11</v>
      </c>
      <c r="AC253" s="960"/>
      <c r="AD253" s="961"/>
      <c r="AE253" s="960"/>
      <c r="AF253" s="961"/>
      <c r="AG253" s="960"/>
      <c r="AH253" s="961"/>
      <c r="AI253" s="10"/>
      <c r="AJ253" s="10"/>
      <c r="AK253" s="10"/>
    </row>
    <row r="254" spans="1:37" ht="17" thickBot="1" x14ac:dyDescent="0.25">
      <c r="B254" s="809"/>
      <c r="C254" s="810"/>
      <c r="D254" s="810"/>
      <c r="E254" s="811"/>
      <c r="F254" s="811"/>
      <c r="G254" s="811"/>
      <c r="H254" s="1628"/>
      <c r="I254" s="812"/>
      <c r="J254" s="813" t="b">
        <f>IF(AND(J252=FALSE,J253=FALSE),FALSE,TRUE)</f>
        <v>1</v>
      </c>
      <c r="K254" s="1611"/>
      <c r="L254" s="1611"/>
      <c r="M254" s="1611"/>
      <c r="N254" s="1629"/>
      <c r="O254" s="1628"/>
      <c r="P254" s="812"/>
      <c r="Q254" s="813" t="b">
        <f>IF(AND(Q252=FALSE,Q253=FALSE),FALSE,TRUE)</f>
        <v>1</v>
      </c>
      <c r="R254" s="1628"/>
      <c r="S254" s="812"/>
      <c r="T254" s="813"/>
      <c r="U254" s="931"/>
      <c r="V254" s="931"/>
      <c r="W254" s="1394"/>
      <c r="Y254" s="1398"/>
      <c r="AA254" s="1402"/>
      <c r="AC254" s="960" t="str">
        <f>IF(J254=TRUE,"V","F")</f>
        <v>V</v>
      </c>
      <c r="AD254" s="961"/>
      <c r="AE254" s="960" t="str">
        <f>IF(Q254=TRUE,"V","F")</f>
        <v>V</v>
      </c>
      <c r="AF254" s="961"/>
      <c r="AG254" s="960"/>
      <c r="AH254" s="961"/>
      <c r="AI254" s="10"/>
      <c r="AJ254" s="10"/>
      <c r="AK254" s="10"/>
    </row>
    <row r="255" spans="1:37" x14ac:dyDescent="0.2">
      <c r="C255" s="421"/>
      <c r="D255" s="785"/>
      <c r="E255" s="474"/>
      <c r="F255" s="47"/>
      <c r="G255" s="47"/>
      <c r="H255" s="1630"/>
      <c r="I255" s="475"/>
      <c r="J255" s="1613"/>
      <c r="K255" s="1614"/>
      <c r="L255" s="1614"/>
      <c r="M255" s="1614"/>
      <c r="N255" s="1631"/>
      <c r="O255" s="1630"/>
      <c r="P255" s="475"/>
      <c r="Q255" s="1639"/>
      <c r="R255" s="1630"/>
      <c r="S255" s="475"/>
      <c r="T255" s="1639"/>
      <c r="U255" s="1664"/>
      <c r="V255" s="170"/>
      <c r="W255" s="1394"/>
      <c r="Y255" s="1398"/>
      <c r="AA255" s="1402"/>
      <c r="AC255" s="962"/>
      <c r="AD255" s="963">
        <f>IF(AND(AC251="V",AC254="V"),2,IF(OR(AC251="V",AC254="V"),1,0))</f>
        <v>1</v>
      </c>
      <c r="AE255" s="962"/>
      <c r="AF255" s="963">
        <f>IF(OR(AE251="V",AE254="V"),1,0)</f>
        <v>1</v>
      </c>
      <c r="AG255" s="962"/>
      <c r="AH255" s="963"/>
      <c r="AI255" s="10"/>
      <c r="AJ255" s="10"/>
      <c r="AK255" s="10"/>
    </row>
    <row r="256" spans="1:37" x14ac:dyDescent="0.2">
      <c r="B256" t="s">
        <v>243</v>
      </c>
      <c r="H256" s="146"/>
      <c r="K256" s="46"/>
      <c r="L256" s="46"/>
      <c r="M256" s="46"/>
      <c r="N256" s="1652"/>
      <c r="O256" s="146"/>
      <c r="Q256" s="326"/>
      <c r="R256" s="146"/>
      <c r="T256" s="326"/>
      <c r="W256" s="1394"/>
      <c r="Y256" s="1398"/>
      <c r="AA256" s="1402"/>
      <c r="AC256" s="960"/>
      <c r="AD256" s="961"/>
      <c r="AE256" s="960"/>
      <c r="AF256" s="961"/>
      <c r="AG256" s="960"/>
      <c r="AH256" s="961"/>
      <c r="AI256" s="10"/>
      <c r="AJ256" s="10"/>
      <c r="AK256" s="10"/>
    </row>
    <row r="257" spans="1:37" x14ac:dyDescent="0.2">
      <c r="B257" s="964"/>
      <c r="C257" s="965"/>
      <c r="D257" s="965"/>
      <c r="E257" s="973"/>
      <c r="F257" s="973"/>
      <c r="G257" s="973"/>
      <c r="H257" s="1647">
        <v>11</v>
      </c>
      <c r="I257" s="1648">
        <v>11</v>
      </c>
      <c r="J257" s="45" t="b">
        <f>IF(AND(E257&gt;=H257,E257&lt;=I257),TRUE,FALSE)</f>
        <v>0</v>
      </c>
      <c r="K257" s="32"/>
      <c r="L257" s="32"/>
      <c r="M257" s="32"/>
      <c r="N257" s="1632"/>
      <c r="O257" s="1647">
        <v>11</v>
      </c>
      <c r="P257" s="1648">
        <v>11</v>
      </c>
      <c r="Q257" s="1623" t="b">
        <f>IF(AND(E257&gt;=O257,E257&lt;=P257),TRUE,FALSE)</f>
        <v>0</v>
      </c>
      <c r="R257" s="1647">
        <v>11</v>
      </c>
      <c r="S257" s="1648">
        <v>11</v>
      </c>
      <c r="T257" s="1623" t="b">
        <f>IF(AND(E257&gt;=R257,E257&lt;=S257),TRUE,FALSE)</f>
        <v>0</v>
      </c>
      <c r="U257" s="931"/>
      <c r="V257" s="1428"/>
      <c r="W257" s="1422">
        <v>11</v>
      </c>
      <c r="X257" s="1405"/>
      <c r="Y257" s="1424">
        <v>11</v>
      </c>
      <c r="Z257" s="1405"/>
      <c r="AA257" s="1448">
        <v>11</v>
      </c>
      <c r="AC257" s="960"/>
      <c r="AD257" s="961"/>
      <c r="AE257" s="960"/>
      <c r="AF257" s="961"/>
      <c r="AG257" s="960"/>
      <c r="AH257" s="961"/>
      <c r="AI257" s="10"/>
      <c r="AJ257" s="10"/>
      <c r="AK257" s="10"/>
    </row>
    <row r="258" spans="1:37" ht="20" thickBot="1" x14ac:dyDescent="0.25">
      <c r="B258" s="964"/>
      <c r="C258" s="972"/>
      <c r="D258" s="965"/>
      <c r="E258" s="973"/>
      <c r="F258" s="973"/>
      <c r="G258" s="973"/>
      <c r="H258" s="1647">
        <v>11</v>
      </c>
      <c r="I258" s="1648">
        <v>11</v>
      </c>
      <c r="J258" s="45" t="b">
        <f>IF(AND(E258&gt;=H258,E258&lt;=I258),TRUE,FALSE)</f>
        <v>0</v>
      </c>
      <c r="K258" s="32"/>
      <c r="L258" s="32"/>
      <c r="M258" s="32"/>
      <c r="N258" s="1632"/>
      <c r="O258" s="1647">
        <v>11</v>
      </c>
      <c r="P258" s="1648">
        <v>11</v>
      </c>
      <c r="Q258" s="1623" t="b">
        <f>IF(AND(E258&gt;=O258,E258&lt;=P258),TRUE,FALSE)</f>
        <v>0</v>
      </c>
      <c r="R258" s="1647">
        <v>11</v>
      </c>
      <c r="S258" s="1648">
        <v>11</v>
      </c>
      <c r="T258" s="1623" t="b">
        <f>IF(AND(E258&gt;=R258,E258&lt;=S258),TRUE,FALSE)</f>
        <v>0</v>
      </c>
      <c r="U258" s="931"/>
      <c r="V258" s="1429"/>
      <c r="W258" s="1425">
        <v>11</v>
      </c>
      <c r="X258" s="1426"/>
      <c r="Y258" s="1427">
        <v>11</v>
      </c>
      <c r="Z258" s="1426"/>
      <c r="AA258" s="1421">
        <v>11</v>
      </c>
      <c r="AC258" s="960"/>
      <c r="AD258" s="961"/>
      <c r="AE258" s="960"/>
      <c r="AF258" s="961"/>
      <c r="AG258" s="960"/>
      <c r="AH258" s="961"/>
      <c r="AI258" s="10"/>
      <c r="AJ258" s="10"/>
      <c r="AK258" s="10"/>
    </row>
    <row r="259" spans="1:37" ht="27" thickBot="1" x14ac:dyDescent="0.35">
      <c r="A259" s="657"/>
      <c r="C259" s="16"/>
      <c r="D259" s="16"/>
      <c r="E259" s="89"/>
      <c r="F259" s="473"/>
      <c r="G259" s="473"/>
      <c r="H259" s="1644"/>
      <c r="I259" s="1645"/>
      <c r="J259" s="1651" t="b">
        <f>IF(AND(J257=FALSE,J258=FALSE),FALSE,TRUE)</f>
        <v>0</v>
      </c>
      <c r="K259" s="1633"/>
      <c r="L259" s="1634"/>
      <c r="M259" s="1634"/>
      <c r="N259" s="1635"/>
      <c r="O259" s="1644"/>
      <c r="P259" s="1645"/>
      <c r="Q259" s="1651" t="b">
        <f>IF(AND(Q257=FALSE,Q258=FALSE),FALSE,TRUE)</f>
        <v>0</v>
      </c>
      <c r="R259" s="1656"/>
      <c r="S259" s="1657"/>
      <c r="T259" s="1658" t="b">
        <f>IF(AND(T257=FALSE,T258=FALSE),FALSE,TRUE)</f>
        <v>0</v>
      </c>
      <c r="U259" s="932"/>
      <c r="AC259" s="1564" t="str">
        <f>IF(J259=TRUE,"V","F")</f>
        <v>F</v>
      </c>
      <c r="AD259" s="1565"/>
      <c r="AE259" s="1564" t="str">
        <f>IF(Q259=TRUE,"V","F")</f>
        <v>F</v>
      </c>
      <c r="AF259" s="1565"/>
      <c r="AG259" s="1564" t="str">
        <f>IF(T259=TRUE,"V","F")</f>
        <v>F</v>
      </c>
      <c r="AH259" s="1565"/>
      <c r="AI259" s="10"/>
      <c r="AJ259" s="10"/>
      <c r="AK259" s="10"/>
    </row>
    <row r="260" spans="1:37" ht="21" x14ac:dyDescent="0.25">
      <c r="AC260" s="1649"/>
      <c r="AD260" s="1650">
        <f>IF(AND(AC259="V",AC251="V"),AD255-1,AD255)</f>
        <v>1</v>
      </c>
      <c r="AE260" s="1649"/>
      <c r="AF260" s="1650">
        <f>IF(OR(AE251="V",AE254="V",AE259="V"),1,0)</f>
        <v>1</v>
      </c>
      <c r="AG260" s="1649"/>
      <c r="AH260" s="1650">
        <f>IF(AG251="V",1,IF(AG259="V",1,0))</f>
        <v>0</v>
      </c>
      <c r="AI260" s="10">
        <v>1</v>
      </c>
      <c r="AJ260" s="10">
        <v>1</v>
      </c>
      <c r="AK260" s="10"/>
    </row>
    <row r="261" spans="1:37" x14ac:dyDescent="0.2">
      <c r="AC261" s="1668" t="s">
        <v>1388</v>
      </c>
      <c r="AD261" s="1669">
        <f>IF(AF260=1,AD260*(1+$AH$28),AD260)</f>
        <v>1</v>
      </c>
      <c r="AI261" s="10"/>
      <c r="AJ261" s="10"/>
      <c r="AK261" s="10"/>
    </row>
    <row r="262" spans="1:37" x14ac:dyDescent="0.2">
      <c r="AI262" s="10"/>
      <c r="AJ262" s="10"/>
      <c r="AK262" s="10"/>
    </row>
    <row r="263" spans="1:37" ht="26" x14ac:dyDescent="0.3">
      <c r="A263" s="820">
        <v>14</v>
      </c>
      <c r="C263" s="476">
        <f>'CPTS indépendants'!F44</f>
        <v>0</v>
      </c>
      <c r="D263" s="107"/>
      <c r="E263" s="65"/>
      <c r="F263" s="18"/>
      <c r="G263" s="18"/>
      <c r="H263" s="2255" t="s">
        <v>734</v>
      </c>
      <c r="I263" s="2256"/>
      <c r="J263" s="2256"/>
      <c r="K263" s="2257" t="s">
        <v>1378</v>
      </c>
      <c r="L263" s="2257"/>
      <c r="M263" s="2257"/>
      <c r="N263" s="2258"/>
      <c r="O263" s="2259" t="s">
        <v>733</v>
      </c>
      <c r="P263" s="2260"/>
      <c r="Q263" s="2261"/>
      <c r="R263" s="2262" t="s">
        <v>735</v>
      </c>
      <c r="S263" s="2263"/>
      <c r="T263" s="2264"/>
      <c r="U263" s="15"/>
      <c r="V263" s="15"/>
      <c r="AC263" s="956"/>
      <c r="AD263" s="956"/>
      <c r="AE263" s="956"/>
      <c r="AF263" s="956"/>
      <c r="AG263" s="956"/>
      <c r="AH263" s="957"/>
      <c r="AI263" s="10"/>
      <c r="AJ263" s="10"/>
      <c r="AK263" s="10"/>
    </row>
    <row r="264" spans="1:37" ht="68" x14ac:dyDescent="0.2">
      <c r="C264" s="102" t="s">
        <v>998</v>
      </c>
      <c r="D264" s="983"/>
      <c r="E264" s="32" t="s">
        <v>748</v>
      </c>
      <c r="F264" s="32" t="s">
        <v>749</v>
      </c>
      <c r="G264" s="32" t="s">
        <v>750</v>
      </c>
      <c r="H264" s="1620" t="s">
        <v>306</v>
      </c>
      <c r="I264" s="43" t="s">
        <v>307</v>
      </c>
      <c r="J264" s="43" t="s">
        <v>308</v>
      </c>
      <c r="K264" s="43"/>
      <c r="L264" s="43"/>
      <c r="M264" s="43"/>
      <c r="N264" s="1621"/>
      <c r="O264" s="1620" t="s">
        <v>306</v>
      </c>
      <c r="P264" s="43" t="s">
        <v>307</v>
      </c>
      <c r="Q264" s="1621" t="s">
        <v>308</v>
      </c>
      <c r="R264" s="1620" t="s">
        <v>306</v>
      </c>
      <c r="S264" s="43" t="s">
        <v>307</v>
      </c>
      <c r="T264" s="1621" t="s">
        <v>308</v>
      </c>
      <c r="U264" s="818"/>
      <c r="V264" s="955" t="s">
        <v>928</v>
      </c>
      <c r="W264" s="1391" t="s">
        <v>734</v>
      </c>
      <c r="X264" s="955" t="s">
        <v>928</v>
      </c>
      <c r="Y264" s="1395" t="s">
        <v>733</v>
      </c>
      <c r="Z264" s="955"/>
      <c r="AA264" s="1399" t="s">
        <v>735</v>
      </c>
      <c r="AC264" s="970" t="s">
        <v>734</v>
      </c>
      <c r="AD264" s="971" t="s">
        <v>946</v>
      </c>
      <c r="AE264" s="970" t="s">
        <v>733</v>
      </c>
      <c r="AF264" s="971" t="s">
        <v>947</v>
      </c>
      <c r="AG264" s="970" t="s">
        <v>735</v>
      </c>
      <c r="AH264" s="971" t="s">
        <v>948</v>
      </c>
      <c r="AI264" s="10"/>
      <c r="AJ264" s="10"/>
      <c r="AK264" s="10"/>
    </row>
    <row r="265" spans="1:37" x14ac:dyDescent="0.2">
      <c r="B265" s="414"/>
      <c r="C265" s="26"/>
      <c r="D265" s="101"/>
      <c r="E265" s="790"/>
      <c r="F265" s="789"/>
      <c r="G265" s="790"/>
      <c r="H265" s="1647">
        <v>11</v>
      </c>
      <c r="I265" s="1648">
        <v>11</v>
      </c>
      <c r="J265" s="45" t="b">
        <f>IF(AND(E265&gt;=H265,E265&lt;=I265),TRUE,FALSE)</f>
        <v>0</v>
      </c>
      <c r="K265" s="45"/>
      <c r="L265" s="45"/>
      <c r="M265" s="45"/>
      <c r="N265" s="1623"/>
      <c r="O265" s="1647">
        <v>11</v>
      </c>
      <c r="P265" s="1648">
        <v>11</v>
      </c>
      <c r="Q265" s="1623" t="b">
        <f>IF(AND(E265&gt;=O265,E265&lt;=P265),TRUE,FALSE)</f>
        <v>0</v>
      </c>
      <c r="R265" s="1647">
        <v>11</v>
      </c>
      <c r="S265" s="1648">
        <v>11</v>
      </c>
      <c r="T265" s="1623" t="b">
        <f>IF(AND(E265&gt;=R265,E265&lt;=S265),TRUE,FALSE)</f>
        <v>0</v>
      </c>
      <c r="U265" s="931"/>
      <c r="V265" s="1403"/>
      <c r="W265" s="1436">
        <v>11</v>
      </c>
      <c r="X265" s="1447"/>
      <c r="Y265" s="1446">
        <v>11</v>
      </c>
      <c r="Z265" s="1405"/>
      <c r="AA265" s="1448">
        <v>11</v>
      </c>
      <c r="AC265" s="958"/>
      <c r="AD265" s="959"/>
      <c r="AE265" s="958"/>
      <c r="AF265" s="959"/>
      <c r="AG265" s="958"/>
      <c r="AH265" s="959"/>
      <c r="AI265" s="10"/>
      <c r="AJ265" s="10"/>
      <c r="AK265" s="10"/>
    </row>
    <row r="266" spans="1:37" x14ac:dyDescent="0.2">
      <c r="B266" s="414"/>
      <c r="C266" s="26"/>
      <c r="D266" s="101"/>
      <c r="E266" s="790"/>
      <c r="F266" s="789"/>
      <c r="G266" s="790"/>
      <c r="H266" s="1647">
        <v>11</v>
      </c>
      <c r="I266" s="1648">
        <v>11</v>
      </c>
      <c r="J266" s="45" t="b">
        <f>IF(AND(E266&gt;=H266,E266&lt;=I266),TRUE,FALSE)</f>
        <v>0</v>
      </c>
      <c r="K266" s="45"/>
      <c r="L266" s="45"/>
      <c r="M266" s="45"/>
      <c r="N266" s="1623"/>
      <c r="O266" s="1647">
        <v>11</v>
      </c>
      <c r="P266" s="1648">
        <v>11</v>
      </c>
      <c r="Q266" s="1623" t="b">
        <f>IF(AND(E266&gt;=O266,E266&lt;=P266),TRUE,FALSE)</f>
        <v>0</v>
      </c>
      <c r="R266" s="1647">
        <v>11</v>
      </c>
      <c r="S266" s="1648">
        <v>11</v>
      </c>
      <c r="T266" s="1623" t="b">
        <f>IF(AND(E266&gt;=R266,E266&lt;=S266),TRUE,FALSE)</f>
        <v>0</v>
      </c>
      <c r="U266" s="931"/>
      <c r="V266" s="1406" t="s">
        <v>943</v>
      </c>
      <c r="W266" s="1437">
        <v>11</v>
      </c>
      <c r="X266" s="1441"/>
      <c r="Y266" s="1440">
        <v>11</v>
      </c>
      <c r="Z266" s="1426"/>
      <c r="AA266" s="1442">
        <v>11</v>
      </c>
      <c r="AC266" s="960"/>
      <c r="AD266" s="961"/>
      <c r="AE266" s="960"/>
      <c r="AF266" s="961"/>
      <c r="AG266" s="960"/>
      <c r="AH266" s="961"/>
      <c r="AI266" s="10"/>
      <c r="AJ266" s="10"/>
      <c r="AK266" s="10"/>
    </row>
    <row r="267" spans="1:37" x14ac:dyDescent="0.2">
      <c r="B267" s="792"/>
      <c r="C267" s="793"/>
      <c r="D267" s="794"/>
      <c r="E267" s="795"/>
      <c r="F267" s="795"/>
      <c r="G267" s="795"/>
      <c r="H267" s="1624"/>
      <c r="I267" s="796"/>
      <c r="J267" s="797" t="b">
        <f>IF(AND(J265=FALSE,J266=FALSE),FALSE,TRUE)</f>
        <v>0</v>
      </c>
      <c r="K267" s="45"/>
      <c r="L267" s="45"/>
      <c r="M267" s="45"/>
      <c r="N267" s="1623"/>
      <c r="O267" s="1624"/>
      <c r="P267" s="796"/>
      <c r="Q267" s="1637" t="b">
        <f>IF(AND(Q265=FALSE,Q266=FALSE),FALSE,TRUE)</f>
        <v>0</v>
      </c>
      <c r="R267" s="1624"/>
      <c r="S267" s="796"/>
      <c r="T267" s="1637" t="b">
        <f>IF(AND(T265=FALSE,T266=FALSE),FALSE,TRUE)</f>
        <v>0</v>
      </c>
      <c r="U267" s="931"/>
      <c r="V267" s="931" t="s">
        <v>943</v>
      </c>
      <c r="W267" s="1438"/>
      <c r="X267" s="1444"/>
      <c r="Y267" s="1443"/>
      <c r="Z267" s="8"/>
      <c r="AA267" s="1445"/>
      <c r="AC267" s="960"/>
      <c r="AD267" s="961"/>
      <c r="AE267" s="960"/>
      <c r="AF267" s="961"/>
      <c r="AG267" s="960"/>
      <c r="AH267" s="961"/>
      <c r="AI267" s="10"/>
      <c r="AJ267" s="10"/>
      <c r="AK267" s="10"/>
    </row>
    <row r="268" spans="1:37" x14ac:dyDescent="0.2">
      <c r="B268" s="52"/>
      <c r="C268" s="26"/>
      <c r="D268" s="101"/>
      <c r="E268" s="790"/>
      <c r="F268" s="789"/>
      <c r="G268" s="790"/>
      <c r="H268" s="1647">
        <v>11</v>
      </c>
      <c r="I268" s="1648">
        <v>11</v>
      </c>
      <c r="J268" s="45" t="b">
        <f>IF(AND(E268&gt;=H268,E268&lt;=I268),TRUE,FALSE)</f>
        <v>0</v>
      </c>
      <c r="K268" s="45"/>
      <c r="L268" s="45"/>
      <c r="M268" s="45"/>
      <c r="N268" s="1623"/>
      <c r="O268" s="1647">
        <v>11</v>
      </c>
      <c r="P268" s="1648">
        <v>11</v>
      </c>
      <c r="Q268" s="1623" t="b">
        <f>IF(AND(E268&gt;=O268,E268&lt;=P268),TRUE,FALSE)</f>
        <v>0</v>
      </c>
      <c r="R268" s="1647">
        <v>11</v>
      </c>
      <c r="S268" s="1648">
        <v>11</v>
      </c>
      <c r="T268" s="1623" t="b">
        <f>IF(AND(E268&gt;=R268,E268&lt;=S268),TRUE,FALSE)</f>
        <v>0</v>
      </c>
      <c r="U268" s="931"/>
      <c r="V268" s="1403"/>
      <c r="W268" s="1436">
        <v>11</v>
      </c>
      <c r="X268" s="1447"/>
      <c r="Y268" s="1446">
        <v>11</v>
      </c>
      <c r="Z268" s="1405"/>
      <c r="AA268" s="1448">
        <v>11</v>
      </c>
      <c r="AC268" s="960"/>
      <c r="AD268" s="961"/>
      <c r="AE268" s="960"/>
      <c r="AF268" s="961"/>
      <c r="AG268" s="960"/>
      <c r="AH268" s="961"/>
      <c r="AI268" s="10"/>
      <c r="AJ268" s="10"/>
      <c r="AK268" s="10"/>
    </row>
    <row r="269" spans="1:37" x14ac:dyDescent="0.2">
      <c r="B269" s="52"/>
      <c r="C269" s="26"/>
      <c r="D269" s="101"/>
      <c r="E269" s="790"/>
      <c r="F269" s="789"/>
      <c r="G269" s="790"/>
      <c r="H269" s="1647">
        <v>11</v>
      </c>
      <c r="I269" s="1648">
        <v>11</v>
      </c>
      <c r="J269" s="45" t="b">
        <f>IF(AND(E269&gt;=H269,E269&lt;=I269),TRUE,FALSE)</f>
        <v>0</v>
      </c>
      <c r="K269" s="45"/>
      <c r="L269" s="45"/>
      <c r="M269" s="45"/>
      <c r="N269" s="1623"/>
      <c r="O269" s="1647">
        <v>11</v>
      </c>
      <c r="P269" s="1648">
        <v>11</v>
      </c>
      <c r="Q269" s="1623" t="b">
        <f>IF(AND(E269&gt;=O269,E269&lt;=P269),TRUE,FALSE)</f>
        <v>0</v>
      </c>
      <c r="R269" s="1647">
        <v>11</v>
      </c>
      <c r="S269" s="1648">
        <v>11</v>
      </c>
      <c r="T269" s="1623" t="b">
        <f>IF(AND(E269&gt;=R269,E269&lt;=S269),TRUE,FALSE)</f>
        <v>0</v>
      </c>
      <c r="U269" s="931"/>
      <c r="V269" s="1406" t="s">
        <v>943</v>
      </c>
      <c r="W269" s="1437">
        <v>11</v>
      </c>
      <c r="X269" s="1441"/>
      <c r="Y269" s="1440">
        <v>11</v>
      </c>
      <c r="Z269" s="1412"/>
      <c r="AA269" s="1442">
        <v>11</v>
      </c>
      <c r="AC269" s="960"/>
      <c r="AD269" s="961"/>
      <c r="AE269" s="960"/>
      <c r="AF269" s="961"/>
      <c r="AG269" s="960"/>
      <c r="AH269" s="961"/>
      <c r="AI269" s="10"/>
      <c r="AJ269" s="10"/>
      <c r="AK269" s="10"/>
    </row>
    <row r="270" spans="1:37" ht="17" thickBot="1" x14ac:dyDescent="0.25">
      <c r="B270" s="798"/>
      <c r="C270" s="799"/>
      <c r="D270" s="800"/>
      <c r="E270" s="801"/>
      <c r="F270" s="801"/>
      <c r="G270" s="801"/>
      <c r="H270" s="1625"/>
      <c r="I270" s="802"/>
      <c r="J270" s="803" t="b">
        <f>IF(AND(J268=FALSE,J269=FALSE),FALSE,TRUE)</f>
        <v>0</v>
      </c>
      <c r="K270" s="45"/>
      <c r="L270" s="45"/>
      <c r="M270" s="45"/>
      <c r="N270" s="1623"/>
      <c r="O270" s="1625"/>
      <c r="P270" s="802"/>
      <c r="Q270" s="1638" t="b">
        <f>IF(AND(Q268=FALSE,Q269=FALSE),FALSE,TRUE)</f>
        <v>0</v>
      </c>
      <c r="R270" s="1625"/>
      <c r="S270" s="802"/>
      <c r="T270" s="1638" t="b">
        <f>IF(AND(T268=FALSE,T269=FALSE),FALSE,TRUE)</f>
        <v>0</v>
      </c>
      <c r="U270" s="931"/>
      <c r="V270" s="931"/>
      <c r="W270" s="1392"/>
      <c r="X270" s="8"/>
      <c r="Y270" s="1397"/>
      <c r="Z270" s="8"/>
      <c r="AA270" s="1400"/>
      <c r="AC270" s="960"/>
      <c r="AD270" s="961"/>
      <c r="AE270" s="960"/>
      <c r="AF270" s="961"/>
      <c r="AG270" s="960"/>
      <c r="AH270" s="961"/>
      <c r="AI270" s="10"/>
      <c r="AJ270" s="10"/>
      <c r="AK270" s="10"/>
    </row>
    <row r="271" spans="1:37" ht="17" thickBot="1" x14ac:dyDescent="0.25">
      <c r="B271" s="804"/>
      <c r="C271" s="805"/>
      <c r="D271" s="805"/>
      <c r="E271" s="806"/>
      <c r="F271" s="806"/>
      <c r="G271" s="806"/>
      <c r="H271" s="1626"/>
      <c r="I271" s="807"/>
      <c r="J271" s="808" t="b">
        <f>IF(AND(J267=FALSE,J270=FALSE),FALSE,TRUE)</f>
        <v>0</v>
      </c>
      <c r="K271" s="1610"/>
      <c r="L271" s="1610"/>
      <c r="M271" s="1610"/>
      <c r="N271" s="1627"/>
      <c r="O271" s="1626"/>
      <c r="P271" s="807"/>
      <c r="Q271" s="808" t="b">
        <f>IF(AND(Q267=FALSE,Q270=FALSE),FALSE,TRUE)</f>
        <v>0</v>
      </c>
      <c r="R271" s="1626"/>
      <c r="S271" s="807"/>
      <c r="T271" s="808" t="b">
        <f>IF(AND(T267=FALSE,T270=FALSE),FALSE,TRUE)</f>
        <v>0</v>
      </c>
      <c r="U271" s="931"/>
      <c r="V271" s="931" t="s">
        <v>942</v>
      </c>
      <c r="W271" s="1392"/>
      <c r="X271" s="8"/>
      <c r="Y271" s="1397"/>
      <c r="Z271" s="8"/>
      <c r="AA271" s="1400"/>
      <c r="AC271" s="960" t="str">
        <f>IF(J271=TRUE,"V","F")</f>
        <v>F</v>
      </c>
      <c r="AD271" s="961"/>
      <c r="AE271" s="960" t="str">
        <f>IF(Q271=TRUE,"V","F")</f>
        <v>F</v>
      </c>
      <c r="AF271" s="961"/>
      <c r="AG271" s="960" t="str">
        <f>IF(T271=TRUE,"V","F")</f>
        <v>F</v>
      </c>
      <c r="AH271" s="961"/>
      <c r="AI271" s="10"/>
      <c r="AJ271" s="10"/>
      <c r="AK271" s="10"/>
    </row>
    <row r="272" spans="1:37" ht="42" customHeight="1" x14ac:dyDescent="0.2">
      <c r="B272" s="313">
        <f>'CPTS indépendants'!O50</f>
        <v>0</v>
      </c>
      <c r="C272" s="26" t="str">
        <f>Test_Bible!B289</f>
        <v>Arrive-t-il à votre enfant de vous accuser de voler de l’argent à son autre parent ou d'être responsable de son apauvrissement ?</v>
      </c>
      <c r="D272" s="101"/>
      <c r="E272" s="790">
        <f>Test_Bible!P289</f>
        <v>1</v>
      </c>
      <c r="F272" s="789">
        <f>Test_Bible!D289</f>
        <v>3</v>
      </c>
      <c r="G272" s="790">
        <f>E272*F272</f>
        <v>3</v>
      </c>
      <c r="H272" s="1622">
        <v>4</v>
      </c>
      <c r="I272" s="1615">
        <v>10</v>
      </c>
      <c r="J272" s="45" t="b">
        <f>IF(AND(E272&gt;=H272,E272&lt;=I272),TRUE,FALSE)</f>
        <v>0</v>
      </c>
      <c r="K272" s="45"/>
      <c r="L272" s="45"/>
      <c r="M272" s="45"/>
      <c r="N272" s="1623"/>
      <c r="O272" s="1622">
        <v>2</v>
      </c>
      <c r="P272" s="1615">
        <v>10</v>
      </c>
      <c r="Q272" s="1623" t="b">
        <f>IF(AND(E272&gt;=O272,E272&lt;=P272),TRUE,FALSE)</f>
        <v>0</v>
      </c>
      <c r="R272" s="1622"/>
      <c r="S272" s="1615"/>
      <c r="T272" s="1623"/>
      <c r="U272" s="931"/>
      <c r="V272" s="1403"/>
      <c r="W272" s="1404">
        <v>4</v>
      </c>
      <c r="X272" s="1405"/>
      <c r="Y272" s="1408">
        <v>2</v>
      </c>
      <c r="Z272" s="1405"/>
      <c r="AA272" s="1416">
        <v>11</v>
      </c>
      <c r="AC272" s="960" t="s">
        <v>945</v>
      </c>
      <c r="AD272" s="961"/>
      <c r="AE272" s="960"/>
      <c r="AF272" s="961"/>
      <c r="AG272" s="960"/>
      <c r="AH272" s="961"/>
      <c r="AI272" s="10"/>
      <c r="AJ272" s="10"/>
      <c r="AK272" s="10"/>
    </row>
    <row r="273" spans="1:37" ht="42" customHeight="1" thickBot="1" x14ac:dyDescent="0.25">
      <c r="B273" s="313" t="str">
        <f>'Action-Réaction finale'!O61</f>
        <v>E32</v>
      </c>
      <c r="C273" s="26" t="str">
        <f>Test_Bible!B325</f>
        <v/>
      </c>
      <c r="D273" s="101"/>
      <c r="E273" s="790">
        <f>Test_Bible!P325</f>
        <v>0</v>
      </c>
      <c r="F273" s="789">
        <f>Test_Bible!D325</f>
        <v>2</v>
      </c>
      <c r="G273" s="790">
        <f>E273*F273</f>
        <v>0</v>
      </c>
      <c r="H273" s="1622">
        <v>4</v>
      </c>
      <c r="I273" s="1615">
        <v>10</v>
      </c>
      <c r="J273" s="45" t="b">
        <f>IF(AND(E273&gt;=H273,E273&lt;=I273),TRUE,FALSE)</f>
        <v>0</v>
      </c>
      <c r="K273" s="45"/>
      <c r="L273" s="45"/>
      <c r="M273" s="45"/>
      <c r="N273" s="1623"/>
      <c r="O273" s="1622">
        <v>2</v>
      </c>
      <c r="P273" s="1615">
        <v>10</v>
      </c>
      <c r="Q273" s="1623" t="b">
        <f>IF(AND(E273&gt;=O273,E273&lt;=P273),TRUE,FALSE)</f>
        <v>0</v>
      </c>
      <c r="R273" s="1647"/>
      <c r="S273" s="1648"/>
      <c r="T273" s="1623"/>
      <c r="U273" s="931"/>
      <c r="V273" s="1406" t="s">
        <v>943</v>
      </c>
      <c r="W273" s="1411">
        <v>4</v>
      </c>
      <c r="X273" s="1412"/>
      <c r="Y273" s="1413">
        <v>2</v>
      </c>
      <c r="Z273" s="1426"/>
      <c r="AA273" s="1421">
        <v>11</v>
      </c>
      <c r="AC273" s="960"/>
      <c r="AD273" s="961"/>
      <c r="AE273" s="960"/>
      <c r="AF273" s="961"/>
      <c r="AG273" s="960"/>
      <c r="AH273" s="961"/>
      <c r="AI273" s="10"/>
      <c r="AJ273" s="10"/>
      <c r="AK273" s="10"/>
    </row>
    <row r="274" spans="1:37" ht="17" thickBot="1" x14ac:dyDescent="0.25">
      <c r="B274" s="809"/>
      <c r="C274" s="810"/>
      <c r="D274" s="810"/>
      <c r="E274" s="811"/>
      <c r="F274" s="811"/>
      <c r="G274" s="811"/>
      <c r="H274" s="1628"/>
      <c r="I274" s="812"/>
      <c r="J274" s="813" t="b">
        <f>IF(AND(J272=FALSE,J273=FALSE),FALSE,TRUE)</f>
        <v>0</v>
      </c>
      <c r="K274" s="1611"/>
      <c r="L274" s="1611"/>
      <c r="M274" s="1611"/>
      <c r="N274" s="1629"/>
      <c r="O274" s="1628"/>
      <c r="P274" s="812"/>
      <c r="Q274" s="813" t="b">
        <f>IF(AND(Q272=FALSE,Q273=FALSE),FALSE,TRUE)</f>
        <v>0</v>
      </c>
      <c r="R274" s="1628"/>
      <c r="S274" s="812"/>
      <c r="T274" s="813"/>
      <c r="U274" s="931"/>
      <c r="V274" s="931"/>
      <c r="W274" s="1394"/>
      <c r="Y274" s="1398"/>
      <c r="AA274" s="1402"/>
      <c r="AC274" s="960" t="str">
        <f>IF(J274=TRUE,"V","F")</f>
        <v>F</v>
      </c>
      <c r="AD274" s="961"/>
      <c r="AE274" s="960" t="str">
        <f>IF(Q274=TRUE,"V","F")</f>
        <v>F</v>
      </c>
      <c r="AF274" s="961"/>
      <c r="AG274" s="960"/>
      <c r="AH274" s="961"/>
      <c r="AI274" s="10"/>
      <c r="AJ274" s="10"/>
      <c r="AK274" s="10"/>
    </row>
    <row r="275" spans="1:37" x14ac:dyDescent="0.2">
      <c r="C275" s="421"/>
      <c r="D275" s="785"/>
      <c r="E275" s="474"/>
      <c r="F275" s="47"/>
      <c r="G275" s="47"/>
      <c r="H275" s="1630"/>
      <c r="I275" s="475"/>
      <c r="J275" s="1613"/>
      <c r="K275" s="1614"/>
      <c r="L275" s="1614"/>
      <c r="M275" s="1614"/>
      <c r="N275" s="1631"/>
      <c r="O275" s="1630"/>
      <c r="P275" s="475"/>
      <c r="Q275" s="1639"/>
      <c r="R275" s="1630"/>
      <c r="S275" s="475"/>
      <c r="T275" s="1639"/>
      <c r="U275" s="1664"/>
      <c r="V275" s="170"/>
      <c r="W275" s="1394"/>
      <c r="Y275" s="1398"/>
      <c r="AA275" s="1402"/>
      <c r="AC275" s="962"/>
      <c r="AD275" s="963">
        <f>IF(AND(AC271="V",AC274="V"),2,IF(OR(AC271="V",AC274="V"),1,0))</f>
        <v>0</v>
      </c>
      <c r="AE275" s="962"/>
      <c r="AF275" s="963">
        <f>IF(OR(AE271="V",AE274="V"),1,0)</f>
        <v>0</v>
      </c>
      <c r="AG275" s="962"/>
      <c r="AH275" s="963"/>
      <c r="AI275" s="10"/>
      <c r="AJ275" s="10"/>
      <c r="AK275" s="10"/>
    </row>
    <row r="276" spans="1:37" x14ac:dyDescent="0.2">
      <c r="B276" t="s">
        <v>243</v>
      </c>
      <c r="H276" s="146"/>
      <c r="K276" s="46"/>
      <c r="L276" s="46"/>
      <c r="M276" s="46"/>
      <c r="N276" s="1652"/>
      <c r="O276" s="146"/>
      <c r="Q276" s="326"/>
      <c r="R276" s="146"/>
      <c r="T276" s="326"/>
      <c r="W276" s="1394"/>
      <c r="Y276" s="1398"/>
      <c r="AA276" s="1402"/>
      <c r="AC276" s="960"/>
      <c r="AD276" s="961"/>
      <c r="AE276" s="960"/>
      <c r="AF276" s="961"/>
      <c r="AG276" s="960"/>
      <c r="AH276" s="961"/>
      <c r="AI276" s="10"/>
      <c r="AJ276" s="10"/>
      <c r="AK276" s="10"/>
    </row>
    <row r="277" spans="1:37" x14ac:dyDescent="0.2">
      <c r="B277" s="964"/>
      <c r="C277" s="965"/>
      <c r="D277" s="965"/>
      <c r="E277" s="973"/>
      <c r="F277" s="973"/>
      <c r="G277" s="973"/>
      <c r="H277" s="1647">
        <v>11</v>
      </c>
      <c r="I277" s="1648">
        <v>11</v>
      </c>
      <c r="J277" s="45" t="b">
        <f>IF(AND(E277&gt;=H277,E277&lt;=I277),TRUE,FALSE)</f>
        <v>0</v>
      </c>
      <c r="K277" s="32"/>
      <c r="L277" s="32"/>
      <c r="M277" s="32"/>
      <c r="N277" s="1632"/>
      <c r="O277" s="1647">
        <v>11</v>
      </c>
      <c r="P277" s="1648">
        <v>11</v>
      </c>
      <c r="Q277" s="1623" t="b">
        <f>IF(AND(E277&gt;=O277,E277&lt;=P277),TRUE,FALSE)</f>
        <v>0</v>
      </c>
      <c r="R277" s="1647">
        <v>11</v>
      </c>
      <c r="S277" s="1648">
        <v>11</v>
      </c>
      <c r="T277" s="1623" t="b">
        <f>IF(AND(E277&gt;=R277,E277&lt;=S277),TRUE,FALSE)</f>
        <v>0</v>
      </c>
      <c r="U277" s="931"/>
      <c r="V277" s="1428"/>
      <c r="W277" s="1422">
        <v>11</v>
      </c>
      <c r="X277" s="1405"/>
      <c r="Y277" s="1424">
        <v>11</v>
      </c>
      <c r="Z277" s="1405"/>
      <c r="AA277" s="1448">
        <v>11</v>
      </c>
      <c r="AC277" s="960"/>
      <c r="AD277" s="961"/>
      <c r="AE277" s="960"/>
      <c r="AF277" s="961"/>
      <c r="AG277" s="960"/>
      <c r="AH277" s="961"/>
      <c r="AI277" s="10"/>
      <c r="AJ277" s="10"/>
      <c r="AK277" s="10"/>
    </row>
    <row r="278" spans="1:37" ht="20" thickBot="1" x14ac:dyDescent="0.25">
      <c r="B278" s="964"/>
      <c r="C278" s="972"/>
      <c r="D278" s="965"/>
      <c r="E278" s="973"/>
      <c r="F278" s="973"/>
      <c r="G278" s="973"/>
      <c r="H278" s="1647">
        <v>11</v>
      </c>
      <c r="I278" s="1648">
        <v>11</v>
      </c>
      <c r="J278" s="45" t="b">
        <f>IF(AND(E278&gt;=H278,E278&lt;=I278),TRUE,FALSE)</f>
        <v>0</v>
      </c>
      <c r="K278" s="32"/>
      <c r="L278" s="32"/>
      <c r="M278" s="32"/>
      <c r="N278" s="1632"/>
      <c r="O278" s="1647">
        <v>11</v>
      </c>
      <c r="P278" s="1648">
        <v>11</v>
      </c>
      <c r="Q278" s="1623" t="b">
        <f>IF(AND(E278&gt;=O278,E278&lt;=P278),TRUE,FALSE)</f>
        <v>0</v>
      </c>
      <c r="R278" s="1647">
        <v>11</v>
      </c>
      <c r="S278" s="1648">
        <v>11</v>
      </c>
      <c r="T278" s="1623" t="b">
        <f>IF(AND(E278&gt;=R278,E278&lt;=S278),TRUE,FALSE)</f>
        <v>0</v>
      </c>
      <c r="U278" s="931"/>
      <c r="V278" s="1429"/>
      <c r="W278" s="1425">
        <v>11</v>
      </c>
      <c r="X278" s="1426"/>
      <c r="Y278" s="1427">
        <v>11</v>
      </c>
      <c r="Z278" s="1426"/>
      <c r="AA278" s="1421">
        <v>11</v>
      </c>
      <c r="AC278" s="960"/>
      <c r="AD278" s="961"/>
      <c r="AE278" s="960"/>
      <c r="AF278" s="961"/>
      <c r="AG278" s="960"/>
      <c r="AH278" s="961"/>
      <c r="AI278" s="10"/>
      <c r="AJ278" s="10"/>
      <c r="AK278" s="10"/>
    </row>
    <row r="279" spans="1:37" ht="27" thickBot="1" x14ac:dyDescent="0.35">
      <c r="A279" s="657"/>
      <c r="C279" s="16"/>
      <c r="D279" s="16"/>
      <c r="E279" s="89"/>
      <c r="F279" s="473"/>
      <c r="G279" s="473"/>
      <c r="H279" s="1644"/>
      <c r="I279" s="1645"/>
      <c r="J279" s="1651" t="b">
        <f>IF(AND(J277=FALSE,J278=FALSE),FALSE,TRUE)</f>
        <v>0</v>
      </c>
      <c r="K279" s="1633"/>
      <c r="L279" s="1634"/>
      <c r="M279" s="1634"/>
      <c r="N279" s="1635"/>
      <c r="O279" s="1644"/>
      <c r="P279" s="1645"/>
      <c r="Q279" s="1651" t="b">
        <f>IF(AND(Q277=FALSE,Q278=FALSE),FALSE,TRUE)</f>
        <v>0</v>
      </c>
      <c r="R279" s="1656"/>
      <c r="S279" s="1657"/>
      <c r="T279" s="1658" t="b">
        <f>IF(AND(T277=FALSE,T278=FALSE),FALSE,TRUE)</f>
        <v>0</v>
      </c>
      <c r="U279" s="932"/>
      <c r="AC279" s="1564" t="str">
        <f>IF(J279=TRUE,"V","F")</f>
        <v>F</v>
      </c>
      <c r="AD279" s="1565"/>
      <c r="AE279" s="1564" t="str">
        <f>IF(Q279=TRUE,"V","F")</f>
        <v>F</v>
      </c>
      <c r="AF279" s="1565"/>
      <c r="AG279" s="1564" t="str">
        <f>IF(T279=TRUE,"V","F")</f>
        <v>F</v>
      </c>
      <c r="AH279" s="1565"/>
      <c r="AI279" s="10"/>
      <c r="AJ279" s="10"/>
      <c r="AK279" s="10"/>
    </row>
    <row r="280" spans="1:37" ht="21" x14ac:dyDescent="0.25">
      <c r="AC280" s="1649"/>
      <c r="AD280" s="1650">
        <f>IF(AND(AC279="V",AC271="V"),AD275-1,AD275)</f>
        <v>0</v>
      </c>
      <c r="AE280" s="1649"/>
      <c r="AF280" s="1650">
        <f>IF(OR(AE271="V",AE274="V",AE279="V"),1,0)</f>
        <v>0</v>
      </c>
      <c r="AG280" s="1649"/>
      <c r="AH280" s="1650">
        <f>IF(AG271="V",1,IF(AG279="V",1,0))</f>
        <v>0</v>
      </c>
      <c r="AI280" s="10">
        <v>1</v>
      </c>
      <c r="AJ280" s="10">
        <v>1</v>
      </c>
      <c r="AK280" s="10"/>
    </row>
    <row r="281" spans="1:37" x14ac:dyDescent="0.2">
      <c r="AC281" s="1668" t="s">
        <v>1388</v>
      </c>
      <c r="AD281" s="1669">
        <f>IF(AF280=1,AD280*(1+$AH$28),AD280)</f>
        <v>0</v>
      </c>
      <c r="AI281" s="10"/>
      <c r="AJ281" s="10"/>
      <c r="AK281" s="10"/>
    </row>
    <row r="282" spans="1:37" x14ac:dyDescent="0.2">
      <c r="AI282" s="10"/>
      <c r="AJ282" s="10"/>
      <c r="AK282" s="10"/>
    </row>
    <row r="283" spans="1:37" ht="26" x14ac:dyDescent="0.3">
      <c r="A283" s="820">
        <v>15</v>
      </c>
      <c r="C283" s="476">
        <f>'CPTS indépendants'!F47</f>
        <v>0</v>
      </c>
      <c r="D283" s="107"/>
      <c r="E283" s="65"/>
      <c r="F283" s="18"/>
      <c r="G283" s="18"/>
      <c r="H283" s="2255" t="s">
        <v>734</v>
      </c>
      <c r="I283" s="2256"/>
      <c r="J283" s="2256"/>
      <c r="K283" s="2257" t="s">
        <v>1378</v>
      </c>
      <c r="L283" s="2257"/>
      <c r="M283" s="2257"/>
      <c r="N283" s="2258"/>
      <c r="O283" s="2259" t="s">
        <v>733</v>
      </c>
      <c r="P283" s="2260"/>
      <c r="Q283" s="2261"/>
      <c r="R283" s="2262" t="s">
        <v>735</v>
      </c>
      <c r="S283" s="2263"/>
      <c r="T283" s="2264"/>
      <c r="U283" s="15"/>
      <c r="V283" s="15"/>
      <c r="AC283" s="956"/>
      <c r="AD283" s="956"/>
      <c r="AE283" s="956"/>
      <c r="AF283" s="956"/>
      <c r="AG283" s="956"/>
      <c r="AH283" s="957"/>
      <c r="AI283" s="10"/>
      <c r="AJ283" s="10"/>
      <c r="AK283" s="10"/>
    </row>
    <row r="284" spans="1:37" ht="68" x14ac:dyDescent="0.2">
      <c r="C284" s="102" t="s">
        <v>998</v>
      </c>
      <c r="D284" s="983"/>
      <c r="E284" s="32" t="s">
        <v>748</v>
      </c>
      <c r="F284" s="32" t="s">
        <v>749</v>
      </c>
      <c r="G284" s="32" t="s">
        <v>750</v>
      </c>
      <c r="H284" s="1620" t="s">
        <v>306</v>
      </c>
      <c r="I284" s="43" t="s">
        <v>307</v>
      </c>
      <c r="J284" s="43" t="s">
        <v>308</v>
      </c>
      <c r="K284" s="43"/>
      <c r="L284" s="43"/>
      <c r="M284" s="43"/>
      <c r="N284" s="1621"/>
      <c r="O284" s="1620" t="s">
        <v>306</v>
      </c>
      <c r="P284" s="43" t="s">
        <v>307</v>
      </c>
      <c r="Q284" s="1621" t="s">
        <v>308</v>
      </c>
      <c r="R284" s="1620" t="s">
        <v>306</v>
      </c>
      <c r="S284" s="43" t="s">
        <v>307</v>
      </c>
      <c r="T284" s="1621" t="s">
        <v>308</v>
      </c>
      <c r="U284" s="818"/>
      <c r="V284" s="955" t="s">
        <v>928</v>
      </c>
      <c r="W284" s="1391" t="s">
        <v>734</v>
      </c>
      <c r="X284" s="955" t="s">
        <v>928</v>
      </c>
      <c r="Y284" s="1395" t="s">
        <v>733</v>
      </c>
      <c r="Z284" s="955"/>
      <c r="AA284" s="1399" t="s">
        <v>735</v>
      </c>
      <c r="AC284" s="970" t="s">
        <v>734</v>
      </c>
      <c r="AD284" s="971" t="s">
        <v>946</v>
      </c>
      <c r="AE284" s="970" t="s">
        <v>733</v>
      </c>
      <c r="AF284" s="971" t="s">
        <v>947</v>
      </c>
      <c r="AG284" s="970" t="s">
        <v>735</v>
      </c>
      <c r="AH284" s="971" t="s">
        <v>948</v>
      </c>
      <c r="AI284" s="10"/>
      <c r="AJ284" s="10"/>
      <c r="AK284" s="10"/>
    </row>
    <row r="285" spans="1:37" x14ac:dyDescent="0.2">
      <c r="B285" s="414"/>
      <c r="C285" s="26"/>
      <c r="D285" s="101"/>
      <c r="E285" s="790"/>
      <c r="F285" s="789"/>
      <c r="G285" s="790"/>
      <c r="H285" s="1647">
        <v>11</v>
      </c>
      <c r="I285" s="1648">
        <v>11</v>
      </c>
      <c r="J285" s="45" t="b">
        <f>IF(AND(E285&gt;=H285,E285&lt;=I285),TRUE,FALSE)</f>
        <v>0</v>
      </c>
      <c r="K285" s="45"/>
      <c r="L285" s="45"/>
      <c r="M285" s="45"/>
      <c r="N285" s="1623"/>
      <c r="O285" s="1647">
        <v>11</v>
      </c>
      <c r="P285" s="1648">
        <v>11</v>
      </c>
      <c r="Q285" s="1623" t="b">
        <f>IF(AND(E285&gt;=O285,E285&lt;=P285),TRUE,FALSE)</f>
        <v>0</v>
      </c>
      <c r="R285" s="1647">
        <v>11</v>
      </c>
      <c r="S285" s="1648">
        <v>11</v>
      </c>
      <c r="T285" s="1623" t="b">
        <f>IF(AND(E285&gt;=R285,E285&lt;=S285),TRUE,FALSE)</f>
        <v>0</v>
      </c>
      <c r="U285" s="931"/>
      <c r="V285" s="1403"/>
      <c r="W285" s="1436">
        <v>11</v>
      </c>
      <c r="X285" s="1447"/>
      <c r="Y285" s="1446">
        <v>11</v>
      </c>
      <c r="Z285" s="1405"/>
      <c r="AA285" s="1448">
        <v>11</v>
      </c>
      <c r="AC285" s="958"/>
      <c r="AD285" s="959"/>
      <c r="AE285" s="958"/>
      <c r="AF285" s="959"/>
      <c r="AG285" s="958"/>
      <c r="AH285" s="959"/>
      <c r="AI285" s="10"/>
      <c r="AJ285" s="10"/>
      <c r="AK285" s="10"/>
    </row>
    <row r="286" spans="1:37" x14ac:dyDescent="0.2">
      <c r="B286" s="414"/>
      <c r="C286" s="26"/>
      <c r="D286" s="101"/>
      <c r="E286" s="790"/>
      <c r="F286" s="789"/>
      <c r="G286" s="790"/>
      <c r="H286" s="1647">
        <v>11</v>
      </c>
      <c r="I286" s="1648">
        <v>11</v>
      </c>
      <c r="J286" s="45" t="b">
        <f>IF(AND(E286&gt;=H286,E286&lt;=I286),TRUE,FALSE)</f>
        <v>0</v>
      </c>
      <c r="K286" s="45"/>
      <c r="L286" s="45"/>
      <c r="M286" s="45"/>
      <c r="N286" s="1623"/>
      <c r="O286" s="1647">
        <v>11</v>
      </c>
      <c r="P286" s="1648">
        <v>11</v>
      </c>
      <c r="Q286" s="1623" t="b">
        <f>IF(AND(E286&gt;=O286,E286&lt;=P286),TRUE,FALSE)</f>
        <v>0</v>
      </c>
      <c r="R286" s="1647">
        <v>11</v>
      </c>
      <c r="S286" s="1648">
        <v>11</v>
      </c>
      <c r="T286" s="1623" t="b">
        <f>IF(AND(E286&gt;=R286,E286&lt;=S286),TRUE,FALSE)</f>
        <v>0</v>
      </c>
      <c r="U286" s="931"/>
      <c r="V286" s="1406" t="s">
        <v>943</v>
      </c>
      <c r="W286" s="1437">
        <v>11</v>
      </c>
      <c r="X286" s="1441"/>
      <c r="Y286" s="1440">
        <v>11</v>
      </c>
      <c r="Z286" s="1426"/>
      <c r="AA286" s="1442">
        <v>11</v>
      </c>
      <c r="AC286" s="960"/>
      <c r="AD286" s="961"/>
      <c r="AE286" s="960"/>
      <c r="AF286" s="961"/>
      <c r="AG286" s="960"/>
      <c r="AH286" s="961"/>
      <c r="AI286" s="10"/>
      <c r="AJ286" s="10"/>
      <c r="AK286" s="10"/>
    </row>
    <row r="287" spans="1:37" x14ac:dyDescent="0.2">
      <c r="B287" s="792"/>
      <c r="C287" s="793"/>
      <c r="D287" s="794"/>
      <c r="E287" s="795"/>
      <c r="F287" s="795"/>
      <c r="G287" s="795"/>
      <c r="H287" s="1624"/>
      <c r="I287" s="796"/>
      <c r="J287" s="797" t="b">
        <f>IF(AND(J285=FALSE,J286=FALSE),FALSE,TRUE)</f>
        <v>0</v>
      </c>
      <c r="K287" s="45"/>
      <c r="L287" s="45"/>
      <c r="M287" s="45"/>
      <c r="N287" s="1623"/>
      <c r="O287" s="1624"/>
      <c r="P287" s="796"/>
      <c r="Q287" s="1637" t="b">
        <f>IF(AND(Q285=FALSE,Q286=FALSE),FALSE,TRUE)</f>
        <v>0</v>
      </c>
      <c r="R287" s="1624"/>
      <c r="S287" s="796"/>
      <c r="T287" s="1637" t="b">
        <f>IF(AND(T285=FALSE,T286=FALSE),FALSE,TRUE)</f>
        <v>0</v>
      </c>
      <c r="U287" s="931"/>
      <c r="V287" s="931" t="s">
        <v>943</v>
      </c>
      <c r="W287" s="1438"/>
      <c r="X287" s="1444"/>
      <c r="Y287" s="1443"/>
      <c r="Z287" s="8"/>
      <c r="AA287" s="1445"/>
      <c r="AC287" s="960"/>
      <c r="AD287" s="961"/>
      <c r="AE287" s="960"/>
      <c r="AF287" s="961"/>
      <c r="AG287" s="960"/>
      <c r="AH287" s="961"/>
      <c r="AI287" s="10"/>
      <c r="AJ287" s="10"/>
      <c r="AK287" s="10"/>
    </row>
    <row r="288" spans="1:37" x14ac:dyDescent="0.2">
      <c r="B288" s="52"/>
      <c r="C288" s="26"/>
      <c r="D288" s="101"/>
      <c r="E288" s="790"/>
      <c r="F288" s="789"/>
      <c r="G288" s="790"/>
      <c r="H288" s="1647">
        <v>11</v>
      </c>
      <c r="I288" s="1648">
        <v>11</v>
      </c>
      <c r="J288" s="45" t="b">
        <f>IF(AND(E288&gt;=H288,E288&lt;=I288),TRUE,FALSE)</f>
        <v>0</v>
      </c>
      <c r="K288" s="45"/>
      <c r="L288" s="45"/>
      <c r="M288" s="45"/>
      <c r="N288" s="1623"/>
      <c r="O288" s="1647">
        <v>11</v>
      </c>
      <c r="P288" s="1648">
        <v>11</v>
      </c>
      <c r="Q288" s="1623" t="b">
        <f>IF(AND(E288&gt;=O288,E288&lt;=P288),TRUE,FALSE)</f>
        <v>0</v>
      </c>
      <c r="R288" s="1647">
        <v>11</v>
      </c>
      <c r="S288" s="1648">
        <v>11</v>
      </c>
      <c r="T288" s="1623" t="b">
        <f>IF(AND(E288&gt;=R288,E288&lt;=S288),TRUE,FALSE)</f>
        <v>0</v>
      </c>
      <c r="U288" s="931"/>
      <c r="V288" s="1403"/>
      <c r="W288" s="1436">
        <v>11</v>
      </c>
      <c r="X288" s="1447"/>
      <c r="Y288" s="1446">
        <v>11</v>
      </c>
      <c r="Z288" s="1405"/>
      <c r="AA288" s="1448">
        <v>11</v>
      </c>
      <c r="AC288" s="960"/>
      <c r="AD288" s="961"/>
      <c r="AE288" s="960"/>
      <c r="AF288" s="961"/>
      <c r="AG288" s="960"/>
      <c r="AH288" s="961"/>
      <c r="AI288" s="10"/>
      <c r="AJ288" s="10"/>
      <c r="AK288" s="10"/>
    </row>
    <row r="289" spans="1:37" x14ac:dyDescent="0.2">
      <c r="B289" s="52"/>
      <c r="C289" s="26"/>
      <c r="D289" s="101"/>
      <c r="E289" s="790"/>
      <c r="F289" s="789"/>
      <c r="G289" s="790"/>
      <c r="H289" s="1647">
        <v>11</v>
      </c>
      <c r="I289" s="1648">
        <v>11</v>
      </c>
      <c r="J289" s="45" t="b">
        <f>IF(AND(E289&gt;=H289,E289&lt;=I289),TRUE,FALSE)</f>
        <v>0</v>
      </c>
      <c r="K289" s="45"/>
      <c r="L289" s="45"/>
      <c r="M289" s="45"/>
      <c r="N289" s="1623"/>
      <c r="O289" s="1647">
        <v>11</v>
      </c>
      <c r="P289" s="1648">
        <v>11</v>
      </c>
      <c r="Q289" s="1623" t="b">
        <f>IF(AND(E289&gt;=O289,E289&lt;=P289),TRUE,FALSE)</f>
        <v>0</v>
      </c>
      <c r="R289" s="1647">
        <v>11</v>
      </c>
      <c r="S289" s="1648">
        <v>11</v>
      </c>
      <c r="T289" s="1623" t="b">
        <f>IF(AND(E289&gt;=R289,E289&lt;=S289),TRUE,FALSE)</f>
        <v>0</v>
      </c>
      <c r="U289" s="931"/>
      <c r="V289" s="1406" t="s">
        <v>943</v>
      </c>
      <c r="W289" s="1437">
        <v>11</v>
      </c>
      <c r="X289" s="1441"/>
      <c r="Y289" s="1440">
        <v>11</v>
      </c>
      <c r="Z289" s="1412"/>
      <c r="AA289" s="1442">
        <v>11</v>
      </c>
      <c r="AC289" s="960"/>
      <c r="AD289" s="961"/>
      <c r="AE289" s="960"/>
      <c r="AF289" s="961"/>
      <c r="AG289" s="960"/>
      <c r="AH289" s="961"/>
      <c r="AI289" s="10"/>
      <c r="AJ289" s="10"/>
      <c r="AK289" s="10"/>
    </row>
    <row r="290" spans="1:37" ht="17" thickBot="1" x14ac:dyDescent="0.25">
      <c r="B290" s="798"/>
      <c r="C290" s="799"/>
      <c r="D290" s="800"/>
      <c r="E290" s="801"/>
      <c r="F290" s="801"/>
      <c r="G290" s="801"/>
      <c r="H290" s="1625"/>
      <c r="I290" s="802"/>
      <c r="J290" s="803" t="b">
        <f>IF(AND(J288=FALSE,J289=FALSE),FALSE,TRUE)</f>
        <v>0</v>
      </c>
      <c r="K290" s="45"/>
      <c r="L290" s="45"/>
      <c r="M290" s="45"/>
      <c r="N290" s="1623"/>
      <c r="O290" s="1625"/>
      <c r="P290" s="802"/>
      <c r="Q290" s="1638" t="b">
        <f>IF(AND(Q288=FALSE,Q289=FALSE),FALSE,TRUE)</f>
        <v>0</v>
      </c>
      <c r="R290" s="1625"/>
      <c r="S290" s="802"/>
      <c r="T290" s="1638" t="b">
        <f>IF(AND(T288=FALSE,T289=FALSE),FALSE,TRUE)</f>
        <v>0</v>
      </c>
      <c r="U290" s="931"/>
      <c r="V290" s="931"/>
      <c r="W290" s="1392"/>
      <c r="X290" s="8"/>
      <c r="Y290" s="1397"/>
      <c r="Z290" s="8"/>
      <c r="AA290" s="1400"/>
      <c r="AC290" s="960"/>
      <c r="AD290" s="961"/>
      <c r="AE290" s="960"/>
      <c r="AF290" s="961"/>
      <c r="AG290" s="960"/>
      <c r="AH290" s="961"/>
      <c r="AI290" s="10"/>
      <c r="AJ290" s="10"/>
      <c r="AK290" s="10"/>
    </row>
    <row r="291" spans="1:37" ht="17" thickBot="1" x14ac:dyDescent="0.25">
      <c r="B291" s="804"/>
      <c r="C291" s="805"/>
      <c r="D291" s="805"/>
      <c r="E291" s="806"/>
      <c r="F291" s="806"/>
      <c r="G291" s="806"/>
      <c r="H291" s="1626"/>
      <c r="I291" s="807"/>
      <c r="J291" s="808" t="b">
        <f>IF(AND(J287=FALSE,J290=FALSE),FALSE,TRUE)</f>
        <v>0</v>
      </c>
      <c r="K291" s="1610"/>
      <c r="L291" s="1610"/>
      <c r="M291" s="1610"/>
      <c r="N291" s="1627"/>
      <c r="O291" s="1626"/>
      <c r="P291" s="807"/>
      <c r="Q291" s="808" t="b">
        <f>IF(AND(Q287=FALSE,Q290=FALSE),FALSE,TRUE)</f>
        <v>0</v>
      </c>
      <c r="R291" s="1626"/>
      <c r="S291" s="807"/>
      <c r="T291" s="808" t="b">
        <f>IF(AND(T287=FALSE,T290=FALSE),FALSE,TRUE)</f>
        <v>0</v>
      </c>
      <c r="U291" s="931"/>
      <c r="V291" s="931" t="s">
        <v>942</v>
      </c>
      <c r="W291" s="1392"/>
      <c r="X291" s="8"/>
      <c r="Y291" s="1397"/>
      <c r="Z291" s="8"/>
      <c r="AA291" s="1400"/>
      <c r="AC291" s="960" t="str">
        <f>IF(J291=TRUE,"V","F")</f>
        <v>F</v>
      </c>
      <c r="AD291" s="961"/>
      <c r="AE291" s="960" t="str">
        <f>IF(Q291=TRUE,"V","F")</f>
        <v>F</v>
      </c>
      <c r="AF291" s="961"/>
      <c r="AG291" s="960" t="str">
        <f>IF(T291=TRUE,"V","F")</f>
        <v>F</v>
      </c>
      <c r="AH291" s="961"/>
      <c r="AI291" s="10"/>
      <c r="AJ291" s="10"/>
      <c r="AK291" s="10"/>
    </row>
    <row r="292" spans="1:37" ht="58" customHeight="1" x14ac:dyDescent="0.2">
      <c r="B292" s="313" t="str">
        <f>'Action-Réaction finale'!O82</f>
        <v>E23</v>
      </c>
      <c r="C292" s="26" t="str">
        <f>Test_Bible!B307</f>
        <v>Votre enfant se sent responsable du bonheur de l’autre parent ou sent le besoin de le protéger.</v>
      </c>
      <c r="D292" s="101"/>
      <c r="E292" s="790">
        <f>Test_Bible!P307</f>
        <v>2</v>
      </c>
      <c r="F292" s="789">
        <f>Test_Bible!D307</f>
        <v>1</v>
      </c>
      <c r="G292" s="790">
        <f>E292*F292</f>
        <v>2</v>
      </c>
      <c r="H292" s="1647">
        <v>11</v>
      </c>
      <c r="I292" s="1648">
        <v>11</v>
      </c>
      <c r="J292" s="45" t="b">
        <f>IF(AND(E292&gt;=H292,E292&lt;=I292),TRUE,FALSE)</f>
        <v>0</v>
      </c>
      <c r="K292" s="45"/>
      <c r="L292" s="45"/>
      <c r="M292" s="45"/>
      <c r="N292" s="1623"/>
      <c r="O292" s="1622">
        <v>2</v>
      </c>
      <c r="P292" s="1615">
        <v>10</v>
      </c>
      <c r="Q292" s="1623" t="b">
        <f>IF(AND(E292&gt;=O292,E292&lt;=P292),TRUE,FALSE)</f>
        <v>1</v>
      </c>
      <c r="R292" s="1622"/>
      <c r="S292" s="1615"/>
      <c r="T292" s="1623"/>
      <c r="U292" s="931"/>
      <c r="V292" s="1403"/>
      <c r="W292" s="1436">
        <v>11</v>
      </c>
      <c r="X292" s="1405"/>
      <c r="Y292" s="1408">
        <v>2</v>
      </c>
      <c r="Z292" s="1405"/>
      <c r="AA292" s="1416">
        <v>11</v>
      </c>
      <c r="AC292" s="960" t="s">
        <v>945</v>
      </c>
      <c r="AD292" s="961"/>
      <c r="AE292" s="960"/>
      <c r="AF292" s="961"/>
      <c r="AG292" s="960"/>
      <c r="AH292" s="961"/>
      <c r="AI292" s="10"/>
      <c r="AJ292" s="10"/>
      <c r="AK292" s="10"/>
    </row>
    <row r="293" spans="1:37" ht="42" customHeight="1" thickBot="1" x14ac:dyDescent="0.25">
      <c r="B293" s="313" t="str">
        <f>'Action-Réaction finale'!O83</f>
        <v>E25</v>
      </c>
      <c r="C293" s="26" t="str">
        <f>Test_Bible!B309</f>
        <v>Dans quelle mesure diriez-vous que votre enfant sent le besoin de protéger l’autre parent ou de défendre ses intérêts ?</v>
      </c>
      <c r="D293" s="101"/>
      <c r="E293" s="790">
        <f>Test_Bible!P309</f>
        <v>7</v>
      </c>
      <c r="F293" s="789">
        <f>Test_Bible!D309</f>
        <v>2</v>
      </c>
      <c r="G293" s="790">
        <f>E293*F293</f>
        <v>14</v>
      </c>
      <c r="H293" s="1622">
        <v>7</v>
      </c>
      <c r="I293" s="1615">
        <v>10</v>
      </c>
      <c r="J293" s="45" t="b">
        <f>IF(AND(E293&gt;=H293,E293&lt;=I293),TRUE,FALSE)</f>
        <v>1</v>
      </c>
      <c r="K293" s="45"/>
      <c r="L293" s="45"/>
      <c r="M293" s="45"/>
      <c r="N293" s="1623"/>
      <c r="O293" s="1622">
        <v>2</v>
      </c>
      <c r="P293" s="1615">
        <v>10</v>
      </c>
      <c r="Q293" s="1623" t="b">
        <f>IF(AND(E293&gt;=O293,E293&lt;=P293),TRUE,FALSE)</f>
        <v>1</v>
      </c>
      <c r="R293" s="1647"/>
      <c r="S293" s="1648"/>
      <c r="T293" s="1623"/>
      <c r="U293" s="931"/>
      <c r="V293" s="1406" t="s">
        <v>943</v>
      </c>
      <c r="W293" s="1411">
        <v>7</v>
      </c>
      <c r="X293" s="1412"/>
      <c r="Y293" s="1413">
        <v>2</v>
      </c>
      <c r="Z293" s="1426"/>
      <c r="AA293" s="1421">
        <v>11</v>
      </c>
      <c r="AC293" s="960"/>
      <c r="AD293" s="961"/>
      <c r="AE293" s="960"/>
      <c r="AF293" s="961"/>
      <c r="AG293" s="960"/>
      <c r="AH293" s="961"/>
      <c r="AI293" s="10"/>
      <c r="AJ293" s="10"/>
      <c r="AK293" s="10"/>
    </row>
    <row r="294" spans="1:37" ht="17" thickBot="1" x14ac:dyDescent="0.25">
      <c r="B294" s="809"/>
      <c r="C294" s="810"/>
      <c r="D294" s="810"/>
      <c r="E294" s="811"/>
      <c r="F294" s="811"/>
      <c r="G294" s="811"/>
      <c r="H294" s="1628"/>
      <c r="I294" s="812"/>
      <c r="J294" s="813" t="b">
        <f>IF(AND(J292=FALSE,J293=FALSE),FALSE,TRUE)</f>
        <v>1</v>
      </c>
      <c r="K294" s="1611"/>
      <c r="L294" s="1611"/>
      <c r="M294" s="1611"/>
      <c r="N294" s="1629"/>
      <c r="O294" s="1628"/>
      <c r="P294" s="812"/>
      <c r="Q294" s="813" t="b">
        <f>IF(AND(Q292=FALSE,Q293=FALSE),FALSE,TRUE)</f>
        <v>1</v>
      </c>
      <c r="R294" s="1628"/>
      <c r="S294" s="812"/>
      <c r="T294" s="813"/>
      <c r="U294" s="931"/>
      <c r="V294" s="931"/>
      <c r="W294" s="1394"/>
      <c r="Y294" s="1398"/>
      <c r="AA294" s="1402"/>
      <c r="AC294" s="960" t="str">
        <f>IF(J294=TRUE,"V","F")</f>
        <v>V</v>
      </c>
      <c r="AD294" s="961"/>
      <c r="AE294" s="960" t="str">
        <f>IF(Q294=TRUE,"V","F")</f>
        <v>V</v>
      </c>
      <c r="AF294" s="961"/>
      <c r="AG294" s="960"/>
      <c r="AH294" s="961"/>
      <c r="AI294" s="10"/>
      <c r="AJ294" s="10"/>
      <c r="AK294" s="10"/>
    </row>
    <row r="295" spans="1:37" x14ac:dyDescent="0.2">
      <c r="C295" s="421"/>
      <c r="D295" s="785"/>
      <c r="E295" s="474"/>
      <c r="F295" s="47"/>
      <c r="G295" s="47"/>
      <c r="H295" s="1630"/>
      <c r="I295" s="475"/>
      <c r="J295" s="1613"/>
      <c r="K295" s="1614"/>
      <c r="L295" s="1614"/>
      <c r="M295" s="1614"/>
      <c r="N295" s="1631"/>
      <c r="O295" s="1630"/>
      <c r="P295" s="475"/>
      <c r="Q295" s="1639"/>
      <c r="R295" s="1630"/>
      <c r="S295" s="475"/>
      <c r="T295" s="1639"/>
      <c r="U295" s="1664"/>
      <c r="V295" s="170"/>
      <c r="W295" s="1394"/>
      <c r="Y295" s="1398"/>
      <c r="AA295" s="1402"/>
      <c r="AC295" s="962"/>
      <c r="AD295" s="963">
        <f>IF(AND(AC291="V",AC294="V"),2,IF(OR(AC291="V",AC294="V"),1,0))</f>
        <v>1</v>
      </c>
      <c r="AE295" s="962"/>
      <c r="AF295" s="963">
        <f>IF(OR(AE291="V",AE294="V"),1,0)</f>
        <v>1</v>
      </c>
      <c r="AG295" s="962"/>
      <c r="AH295" s="963"/>
      <c r="AI295" s="10"/>
      <c r="AJ295" s="10"/>
      <c r="AK295" s="10"/>
    </row>
    <row r="296" spans="1:37" x14ac:dyDescent="0.2">
      <c r="B296" t="s">
        <v>243</v>
      </c>
      <c r="H296" s="146"/>
      <c r="K296" s="46"/>
      <c r="L296" s="46"/>
      <c r="M296" s="46"/>
      <c r="N296" s="1652"/>
      <c r="O296" s="146"/>
      <c r="Q296" s="326"/>
      <c r="R296" s="146"/>
      <c r="T296" s="326"/>
      <c r="W296" s="1394"/>
      <c r="Y296" s="1398"/>
      <c r="AA296" s="1402"/>
      <c r="AC296" s="960"/>
      <c r="AD296" s="961"/>
      <c r="AE296" s="960"/>
      <c r="AF296" s="961"/>
      <c r="AG296" s="960"/>
      <c r="AH296" s="961"/>
      <c r="AI296" s="10"/>
      <c r="AJ296" s="10"/>
      <c r="AK296" s="10"/>
    </row>
    <row r="297" spans="1:37" x14ac:dyDescent="0.2">
      <c r="B297" s="964"/>
      <c r="C297" s="965"/>
      <c r="D297" s="965"/>
      <c r="E297" s="973"/>
      <c r="F297" s="973"/>
      <c r="G297" s="973"/>
      <c r="H297" s="1647">
        <v>11</v>
      </c>
      <c r="I297" s="1648">
        <v>11</v>
      </c>
      <c r="J297" s="45" t="b">
        <f>IF(AND(E297&gt;=H297,E297&lt;=I297),TRUE,FALSE)</f>
        <v>0</v>
      </c>
      <c r="K297" s="32"/>
      <c r="L297" s="32"/>
      <c r="M297" s="32"/>
      <c r="N297" s="1632"/>
      <c r="O297" s="1647">
        <v>11</v>
      </c>
      <c r="P297" s="1648">
        <v>11</v>
      </c>
      <c r="Q297" s="1623" t="b">
        <f>IF(AND(E297&gt;=O297,E297&lt;=P297),TRUE,FALSE)</f>
        <v>0</v>
      </c>
      <c r="R297" s="1647">
        <v>11</v>
      </c>
      <c r="S297" s="1648">
        <v>11</v>
      </c>
      <c r="T297" s="1623" t="b">
        <f>IF(AND(E297&gt;=R297,E297&lt;=S297),TRUE,FALSE)</f>
        <v>0</v>
      </c>
      <c r="U297" s="931"/>
      <c r="V297" s="1428"/>
      <c r="W297" s="1422">
        <v>11</v>
      </c>
      <c r="X297" s="1405"/>
      <c r="Y297" s="1424">
        <v>11</v>
      </c>
      <c r="Z297" s="1405"/>
      <c r="AA297" s="1448">
        <v>11</v>
      </c>
      <c r="AC297" s="960"/>
      <c r="AD297" s="961"/>
      <c r="AE297" s="960"/>
      <c r="AF297" s="961"/>
      <c r="AG297" s="960"/>
      <c r="AH297" s="961"/>
      <c r="AI297" s="10"/>
      <c r="AJ297" s="10"/>
      <c r="AK297" s="10"/>
    </row>
    <row r="298" spans="1:37" ht="20" thickBot="1" x14ac:dyDescent="0.25">
      <c r="B298" s="964"/>
      <c r="C298" s="972"/>
      <c r="D298" s="965"/>
      <c r="E298" s="973"/>
      <c r="F298" s="973"/>
      <c r="G298" s="973"/>
      <c r="H298" s="1647">
        <v>11</v>
      </c>
      <c r="I298" s="1648">
        <v>11</v>
      </c>
      <c r="J298" s="45" t="b">
        <f>IF(AND(E298&gt;=H298,E298&lt;=I298),TRUE,FALSE)</f>
        <v>0</v>
      </c>
      <c r="K298" s="32"/>
      <c r="L298" s="32"/>
      <c r="M298" s="32"/>
      <c r="N298" s="1632"/>
      <c r="O298" s="1647">
        <v>11</v>
      </c>
      <c r="P298" s="1648">
        <v>11</v>
      </c>
      <c r="Q298" s="1623" t="b">
        <f>IF(AND(E298&gt;=O298,E298&lt;=P298),TRUE,FALSE)</f>
        <v>0</v>
      </c>
      <c r="R298" s="1647">
        <v>11</v>
      </c>
      <c r="S298" s="1648">
        <v>11</v>
      </c>
      <c r="T298" s="1623" t="b">
        <f>IF(AND(E298&gt;=R298,E298&lt;=S298),TRUE,FALSE)</f>
        <v>0</v>
      </c>
      <c r="U298" s="931"/>
      <c r="V298" s="1429"/>
      <c r="W298" s="1425">
        <v>11</v>
      </c>
      <c r="X298" s="1426"/>
      <c r="Y298" s="1427">
        <v>11</v>
      </c>
      <c r="Z298" s="1426"/>
      <c r="AA298" s="1421">
        <v>11</v>
      </c>
      <c r="AC298" s="960"/>
      <c r="AD298" s="961"/>
      <c r="AE298" s="960"/>
      <c r="AF298" s="961"/>
      <c r="AG298" s="960"/>
      <c r="AH298" s="961"/>
      <c r="AI298" s="10"/>
      <c r="AJ298" s="10"/>
      <c r="AK298" s="10"/>
    </row>
    <row r="299" spans="1:37" ht="27" thickBot="1" x14ac:dyDescent="0.35">
      <c r="A299" s="657"/>
      <c r="C299" s="16"/>
      <c r="D299" s="16"/>
      <c r="E299" s="89"/>
      <c r="F299" s="473"/>
      <c r="G299" s="473"/>
      <c r="H299" s="1644"/>
      <c r="I299" s="1645"/>
      <c r="J299" s="1651" t="b">
        <f>IF(AND(J297=FALSE,J298=FALSE),FALSE,TRUE)</f>
        <v>0</v>
      </c>
      <c r="K299" s="1633"/>
      <c r="L299" s="1634"/>
      <c r="M299" s="1634"/>
      <c r="N299" s="1635"/>
      <c r="O299" s="1644"/>
      <c r="P299" s="1645"/>
      <c r="Q299" s="1651" t="b">
        <f>IF(AND(Q297=FALSE,Q298=FALSE),FALSE,TRUE)</f>
        <v>0</v>
      </c>
      <c r="R299" s="1656"/>
      <c r="S299" s="1657"/>
      <c r="T299" s="1658" t="b">
        <f>IF(AND(T297=FALSE,T298=FALSE),FALSE,TRUE)</f>
        <v>0</v>
      </c>
      <c r="U299" s="932"/>
      <c r="AC299" s="1564" t="str">
        <f>IF(J299=TRUE,"V","F")</f>
        <v>F</v>
      </c>
      <c r="AD299" s="1565"/>
      <c r="AE299" s="1564" t="str">
        <f>IF(Q299=TRUE,"V","F")</f>
        <v>F</v>
      </c>
      <c r="AF299" s="1565"/>
      <c r="AG299" s="1564" t="str">
        <f>IF(T299=TRUE,"V","F")</f>
        <v>F</v>
      </c>
      <c r="AH299" s="1565"/>
      <c r="AI299" s="10"/>
      <c r="AJ299" s="10"/>
      <c r="AK299" s="10"/>
    </row>
    <row r="300" spans="1:37" ht="21" x14ac:dyDescent="0.25">
      <c r="AC300" s="1649"/>
      <c r="AD300" s="1650">
        <f>IF(AND(AC299="V",AC291="V"),AD295-1,AD295)</f>
        <v>1</v>
      </c>
      <c r="AE300" s="1649"/>
      <c r="AF300" s="1650">
        <f>IF(OR(AE291="V",AE294="V",AE299="V"),1,0)</f>
        <v>1</v>
      </c>
      <c r="AG300" s="1649"/>
      <c r="AH300" s="1650">
        <f>IF(AG291="V",1,IF(AG299="V",1,0))</f>
        <v>0</v>
      </c>
      <c r="AI300" s="10">
        <v>1</v>
      </c>
      <c r="AJ300" s="10">
        <v>1</v>
      </c>
      <c r="AK300" s="10"/>
    </row>
    <row r="301" spans="1:37" x14ac:dyDescent="0.2">
      <c r="AC301" s="1668" t="s">
        <v>1388</v>
      </c>
      <c r="AD301" s="1669">
        <f>IF(AF300=1,AD300*(1+$AH$28),AD300)</f>
        <v>1</v>
      </c>
      <c r="AI301" s="10"/>
      <c r="AJ301" s="10"/>
      <c r="AK301" s="10"/>
    </row>
    <row r="302" spans="1:37" x14ac:dyDescent="0.2">
      <c r="AI302" s="10"/>
      <c r="AJ302" s="10"/>
      <c r="AK302" s="10"/>
    </row>
    <row r="303" spans="1:37" ht="26" x14ac:dyDescent="0.3">
      <c r="A303" s="820">
        <v>16</v>
      </c>
      <c r="C303" s="476">
        <f>'CPTS indépendants'!F50</f>
        <v>0</v>
      </c>
      <c r="D303" s="107"/>
      <c r="E303" s="65"/>
      <c r="F303" s="18"/>
      <c r="G303" s="18"/>
      <c r="H303" s="2255" t="s">
        <v>734</v>
      </c>
      <c r="I303" s="2256"/>
      <c r="J303" s="2256"/>
      <c r="K303" s="2257" t="s">
        <v>1378</v>
      </c>
      <c r="L303" s="2257"/>
      <c r="M303" s="2257"/>
      <c r="N303" s="2258"/>
      <c r="O303" s="2259" t="s">
        <v>733</v>
      </c>
      <c r="P303" s="2260"/>
      <c r="Q303" s="2261"/>
      <c r="R303" s="2262" t="s">
        <v>735</v>
      </c>
      <c r="S303" s="2263"/>
      <c r="T303" s="2264"/>
      <c r="U303" s="15"/>
      <c r="V303" s="15"/>
      <c r="AC303" s="956"/>
      <c r="AD303" s="956"/>
      <c r="AE303" s="956"/>
      <c r="AF303" s="956"/>
      <c r="AG303" s="956"/>
      <c r="AH303" s="957"/>
      <c r="AI303" s="10"/>
      <c r="AJ303" s="10"/>
      <c r="AK303" s="10"/>
    </row>
    <row r="304" spans="1:37" ht="68" x14ac:dyDescent="0.2">
      <c r="C304" s="102" t="s">
        <v>998</v>
      </c>
      <c r="D304" s="983"/>
      <c r="E304" s="32" t="s">
        <v>748</v>
      </c>
      <c r="F304" s="32" t="s">
        <v>749</v>
      </c>
      <c r="G304" s="32" t="s">
        <v>750</v>
      </c>
      <c r="H304" s="1620" t="s">
        <v>306</v>
      </c>
      <c r="I304" s="43" t="s">
        <v>307</v>
      </c>
      <c r="J304" s="43" t="s">
        <v>308</v>
      </c>
      <c r="K304" s="43"/>
      <c r="L304" s="43"/>
      <c r="M304" s="43"/>
      <c r="N304" s="1621"/>
      <c r="O304" s="1620" t="s">
        <v>306</v>
      </c>
      <c r="P304" s="43" t="s">
        <v>307</v>
      </c>
      <c r="Q304" s="1621" t="s">
        <v>308</v>
      </c>
      <c r="R304" s="1620" t="s">
        <v>306</v>
      </c>
      <c r="S304" s="43" t="s">
        <v>307</v>
      </c>
      <c r="T304" s="1621" t="s">
        <v>308</v>
      </c>
      <c r="U304" s="818"/>
      <c r="V304" s="955" t="s">
        <v>928</v>
      </c>
      <c r="W304" s="1391" t="s">
        <v>734</v>
      </c>
      <c r="X304" s="955" t="s">
        <v>928</v>
      </c>
      <c r="Y304" s="1395" t="s">
        <v>733</v>
      </c>
      <c r="Z304" s="955"/>
      <c r="AA304" s="1399" t="s">
        <v>735</v>
      </c>
      <c r="AC304" s="970" t="s">
        <v>734</v>
      </c>
      <c r="AD304" s="971" t="s">
        <v>946</v>
      </c>
      <c r="AE304" s="970" t="s">
        <v>733</v>
      </c>
      <c r="AF304" s="971" t="s">
        <v>947</v>
      </c>
      <c r="AG304" s="970" t="s">
        <v>735</v>
      </c>
      <c r="AH304" s="971" t="s">
        <v>948</v>
      </c>
      <c r="AI304" s="10"/>
      <c r="AJ304" s="10"/>
      <c r="AK304" s="10"/>
    </row>
    <row r="305" spans="1:37" x14ac:dyDescent="0.2">
      <c r="B305" s="414"/>
      <c r="C305" s="26"/>
      <c r="D305" s="101"/>
      <c r="E305" s="790"/>
      <c r="F305" s="789"/>
      <c r="G305" s="790"/>
      <c r="H305" s="1647">
        <v>11</v>
      </c>
      <c r="I305" s="1648">
        <v>11</v>
      </c>
      <c r="J305" s="45" t="b">
        <f>IF(AND(E305&gt;=H305,E305&lt;=I305),TRUE,FALSE)</f>
        <v>0</v>
      </c>
      <c r="K305" s="45"/>
      <c r="L305" s="45"/>
      <c r="M305" s="45"/>
      <c r="N305" s="1623"/>
      <c r="O305" s="1647">
        <v>11</v>
      </c>
      <c r="P305" s="1648">
        <v>11</v>
      </c>
      <c r="Q305" s="1623" t="b">
        <f>IF(AND(E305&gt;=O305,E305&lt;=P305),TRUE,FALSE)</f>
        <v>0</v>
      </c>
      <c r="R305" s="1647">
        <v>11</v>
      </c>
      <c r="S305" s="1648">
        <v>11</v>
      </c>
      <c r="T305" s="1623" t="b">
        <f>IF(AND(E305&gt;=R305,E305&lt;=S305),TRUE,FALSE)</f>
        <v>0</v>
      </c>
      <c r="U305" s="931"/>
      <c r="V305" s="1403"/>
      <c r="W305" s="1436">
        <v>11</v>
      </c>
      <c r="X305" s="1447"/>
      <c r="Y305" s="1446">
        <v>11</v>
      </c>
      <c r="Z305" s="1447"/>
      <c r="AA305" s="1448">
        <v>11</v>
      </c>
      <c r="AC305" s="958"/>
      <c r="AD305" s="959"/>
      <c r="AE305" s="958"/>
      <c r="AF305" s="959"/>
      <c r="AG305" s="958"/>
      <c r="AH305" s="959"/>
      <c r="AI305" s="10"/>
      <c r="AJ305" s="10"/>
      <c r="AK305" s="10"/>
    </row>
    <row r="306" spans="1:37" x14ac:dyDescent="0.2">
      <c r="B306" s="414"/>
      <c r="C306" s="26"/>
      <c r="D306" s="101"/>
      <c r="E306" s="790"/>
      <c r="F306" s="789"/>
      <c r="G306" s="790"/>
      <c r="H306" s="1647">
        <v>11</v>
      </c>
      <c r="I306" s="1648">
        <v>11</v>
      </c>
      <c r="J306" s="45" t="b">
        <f>IF(AND(E306&gt;=H306,E306&lt;=I306),TRUE,FALSE)</f>
        <v>0</v>
      </c>
      <c r="K306" s="45"/>
      <c r="L306" s="45"/>
      <c r="M306" s="45"/>
      <c r="N306" s="1623"/>
      <c r="O306" s="1647">
        <v>11</v>
      </c>
      <c r="P306" s="1648">
        <v>11</v>
      </c>
      <c r="Q306" s="1623" t="b">
        <f>IF(AND(E306&gt;=O306,E306&lt;=P306),TRUE,FALSE)</f>
        <v>0</v>
      </c>
      <c r="R306" s="1647">
        <v>11</v>
      </c>
      <c r="S306" s="1648">
        <v>11</v>
      </c>
      <c r="T306" s="1623" t="b">
        <f>IF(AND(E306&gt;=R306,E306&lt;=S306),TRUE,FALSE)</f>
        <v>0</v>
      </c>
      <c r="U306" s="931"/>
      <c r="V306" s="1406" t="s">
        <v>943</v>
      </c>
      <c r="W306" s="1437">
        <v>11</v>
      </c>
      <c r="X306" s="1441"/>
      <c r="Y306" s="1440">
        <v>11</v>
      </c>
      <c r="Z306" s="1441"/>
      <c r="AA306" s="1442">
        <v>11</v>
      </c>
      <c r="AC306" s="960"/>
      <c r="AD306" s="961"/>
      <c r="AE306" s="960"/>
      <c r="AF306" s="961"/>
      <c r="AG306" s="960"/>
      <c r="AH306" s="961"/>
      <c r="AI306" s="10"/>
      <c r="AJ306" s="10"/>
      <c r="AK306" s="10"/>
    </row>
    <row r="307" spans="1:37" x14ac:dyDescent="0.2">
      <c r="B307" s="792"/>
      <c r="C307" s="793"/>
      <c r="D307" s="794"/>
      <c r="E307" s="795"/>
      <c r="F307" s="795"/>
      <c r="G307" s="795"/>
      <c r="H307" s="1624"/>
      <c r="I307" s="796"/>
      <c r="J307" s="797" t="b">
        <f>IF(AND(J305=FALSE,J306=FALSE),FALSE,TRUE)</f>
        <v>0</v>
      </c>
      <c r="K307" s="45"/>
      <c r="L307" s="45"/>
      <c r="M307" s="45"/>
      <c r="N307" s="1623"/>
      <c r="O307" s="1624"/>
      <c r="P307" s="796"/>
      <c r="Q307" s="1637" t="b">
        <f>IF(AND(Q305=FALSE,Q306=FALSE),FALSE,TRUE)</f>
        <v>0</v>
      </c>
      <c r="R307" s="1624"/>
      <c r="S307" s="796"/>
      <c r="T307" s="1637" t="b">
        <f>IF(AND(T305=FALSE,T306=FALSE),FALSE,TRUE)</f>
        <v>0</v>
      </c>
      <c r="U307" s="931"/>
      <c r="V307" s="931" t="s">
        <v>943</v>
      </c>
      <c r="W307" s="1438"/>
      <c r="X307" s="1444"/>
      <c r="Y307" s="1443"/>
      <c r="Z307" s="1444"/>
      <c r="AA307" s="1445"/>
      <c r="AC307" s="960"/>
      <c r="AD307" s="961"/>
      <c r="AE307" s="960"/>
      <c r="AF307" s="961"/>
      <c r="AG307" s="960"/>
      <c r="AH307" s="961"/>
      <c r="AI307" s="10"/>
      <c r="AJ307" s="10"/>
      <c r="AK307" s="10"/>
    </row>
    <row r="308" spans="1:37" x14ac:dyDescent="0.2">
      <c r="B308" s="52"/>
      <c r="C308" s="26"/>
      <c r="D308" s="101"/>
      <c r="E308" s="790"/>
      <c r="F308" s="789"/>
      <c r="G308" s="790"/>
      <c r="H308" s="1647">
        <v>11</v>
      </c>
      <c r="I308" s="1648">
        <v>11</v>
      </c>
      <c r="J308" s="45" t="b">
        <f>IF(AND(E308&gt;=H308,E308&lt;=I308),TRUE,FALSE)</f>
        <v>0</v>
      </c>
      <c r="K308" s="45"/>
      <c r="L308" s="45"/>
      <c r="M308" s="45"/>
      <c r="N308" s="1623"/>
      <c r="O308" s="1647">
        <v>11</v>
      </c>
      <c r="P308" s="1648">
        <v>11</v>
      </c>
      <c r="Q308" s="1623" t="b">
        <f>IF(AND(E308&gt;=O308,E308&lt;=P308),TRUE,FALSE)</f>
        <v>0</v>
      </c>
      <c r="R308" s="1647">
        <v>11</v>
      </c>
      <c r="S308" s="1648">
        <v>11</v>
      </c>
      <c r="T308" s="1623" t="b">
        <f>IF(AND(E308&gt;=R308,E308&lt;=S308),TRUE,FALSE)</f>
        <v>0</v>
      </c>
      <c r="U308" s="931"/>
      <c r="V308" s="1403"/>
      <c r="W308" s="1436">
        <v>11</v>
      </c>
      <c r="X308" s="1447"/>
      <c r="Y308" s="1446">
        <v>11</v>
      </c>
      <c r="Z308" s="1447"/>
      <c r="AA308" s="1448">
        <v>11</v>
      </c>
      <c r="AC308" s="960"/>
      <c r="AD308" s="961"/>
      <c r="AE308" s="960"/>
      <c r="AF308" s="961"/>
      <c r="AG308" s="960"/>
      <c r="AH308" s="961"/>
      <c r="AI308" s="10"/>
      <c r="AJ308" s="10"/>
      <c r="AK308" s="10"/>
    </row>
    <row r="309" spans="1:37" x14ac:dyDescent="0.2">
      <c r="B309" s="52"/>
      <c r="C309" s="26"/>
      <c r="D309" s="101"/>
      <c r="E309" s="790"/>
      <c r="F309" s="789"/>
      <c r="G309" s="790"/>
      <c r="H309" s="1647">
        <v>11</v>
      </c>
      <c r="I309" s="1648">
        <v>11</v>
      </c>
      <c r="J309" s="45" t="b">
        <f>IF(AND(E309&gt;=H309,E309&lt;=I309),TRUE,FALSE)</f>
        <v>0</v>
      </c>
      <c r="K309" s="45"/>
      <c r="L309" s="45"/>
      <c r="M309" s="45"/>
      <c r="N309" s="1623"/>
      <c r="O309" s="1647">
        <v>11</v>
      </c>
      <c r="P309" s="1648">
        <v>11</v>
      </c>
      <c r="Q309" s="1623" t="b">
        <f>IF(AND(E309&gt;=O309,E309&lt;=P309),TRUE,FALSE)</f>
        <v>0</v>
      </c>
      <c r="R309" s="1647">
        <v>11</v>
      </c>
      <c r="S309" s="1648">
        <v>11</v>
      </c>
      <c r="T309" s="1623" t="b">
        <f>IF(AND(E309&gt;=R309,E309&lt;=S309),TRUE,FALSE)</f>
        <v>0</v>
      </c>
      <c r="U309" s="931"/>
      <c r="V309" s="1406" t="s">
        <v>943</v>
      </c>
      <c r="W309" s="1437">
        <v>11</v>
      </c>
      <c r="X309" s="1441"/>
      <c r="Y309" s="1440">
        <v>11</v>
      </c>
      <c r="Z309" s="1441"/>
      <c r="AA309" s="1442">
        <v>11</v>
      </c>
      <c r="AC309" s="960"/>
      <c r="AD309" s="961"/>
      <c r="AE309" s="960"/>
      <c r="AF309" s="961"/>
      <c r="AG309" s="960"/>
      <c r="AH309" s="961"/>
      <c r="AI309" s="10"/>
      <c r="AJ309" s="10"/>
      <c r="AK309" s="10"/>
    </row>
    <row r="310" spans="1:37" ht="17" thickBot="1" x14ac:dyDescent="0.25">
      <c r="B310" s="798"/>
      <c r="C310" s="799"/>
      <c r="D310" s="800"/>
      <c r="E310" s="801"/>
      <c r="F310" s="801"/>
      <c r="G310" s="801"/>
      <c r="H310" s="1625"/>
      <c r="I310" s="802"/>
      <c r="J310" s="803" t="b">
        <f>IF(AND(J308=FALSE,J309=FALSE),FALSE,TRUE)</f>
        <v>0</v>
      </c>
      <c r="K310" s="45"/>
      <c r="L310" s="45"/>
      <c r="M310" s="45"/>
      <c r="N310" s="1623"/>
      <c r="O310" s="1625"/>
      <c r="P310" s="802"/>
      <c r="Q310" s="1638" t="b">
        <f>IF(AND(Q308=FALSE,Q309=FALSE),FALSE,TRUE)</f>
        <v>0</v>
      </c>
      <c r="R310" s="1625"/>
      <c r="S310" s="802"/>
      <c r="T310" s="1638" t="b">
        <f>IF(AND(T308=FALSE,T309=FALSE),FALSE,TRUE)</f>
        <v>0</v>
      </c>
      <c r="U310" s="931"/>
      <c r="V310" s="931"/>
      <c r="W310" s="1392"/>
      <c r="X310" s="8"/>
      <c r="Y310" s="1397"/>
      <c r="Z310" s="8"/>
      <c r="AA310" s="1400"/>
      <c r="AC310" s="960"/>
      <c r="AD310" s="961"/>
      <c r="AE310" s="960"/>
      <c r="AF310" s="961"/>
      <c r="AG310" s="960"/>
      <c r="AH310" s="961"/>
      <c r="AI310" s="10"/>
      <c r="AJ310" s="10"/>
      <c r="AK310" s="10"/>
    </row>
    <row r="311" spans="1:37" ht="17" thickBot="1" x14ac:dyDescent="0.25">
      <c r="B311" s="804"/>
      <c r="C311" s="805"/>
      <c r="D311" s="805"/>
      <c r="E311" s="806"/>
      <c r="F311" s="806"/>
      <c r="G311" s="806"/>
      <c r="H311" s="1626"/>
      <c r="I311" s="807"/>
      <c r="J311" s="808" t="b">
        <f>IF(AND(J307=FALSE,J310=FALSE),FALSE,TRUE)</f>
        <v>0</v>
      </c>
      <c r="K311" s="1610"/>
      <c r="L311" s="1610"/>
      <c r="M311" s="1610"/>
      <c r="N311" s="1627"/>
      <c r="O311" s="1626"/>
      <c r="P311" s="807"/>
      <c r="Q311" s="808" t="b">
        <f>IF(AND(Q307=FALSE,Q310=FALSE),FALSE,TRUE)</f>
        <v>0</v>
      </c>
      <c r="R311" s="1626"/>
      <c r="S311" s="807"/>
      <c r="T311" s="808" t="b">
        <f>IF(AND(T307=FALSE,T310=FALSE),FALSE,TRUE)</f>
        <v>0</v>
      </c>
      <c r="U311" s="931"/>
      <c r="V311" s="931" t="s">
        <v>942</v>
      </c>
      <c r="W311" s="1392"/>
      <c r="X311" s="8"/>
      <c r="Y311" s="1397"/>
      <c r="Z311" s="8"/>
      <c r="AA311" s="1400"/>
      <c r="AC311" s="960" t="str">
        <f>IF(J311=TRUE,"V","F")</f>
        <v>F</v>
      </c>
      <c r="AD311" s="961"/>
      <c r="AE311" s="960" t="str">
        <f>IF(Q311=TRUE,"V","F")</f>
        <v>F</v>
      </c>
      <c r="AF311" s="961"/>
      <c r="AG311" s="960" t="str">
        <f>IF(T311=TRUE,"V","F")</f>
        <v>F</v>
      </c>
      <c r="AH311" s="961"/>
      <c r="AI311" s="10"/>
      <c r="AJ311" s="10"/>
      <c r="AK311" s="10"/>
    </row>
    <row r="312" spans="1:37" ht="34" x14ac:dyDescent="0.2">
      <c r="B312" s="313">
        <f>'CPTS indépendants'!O56</f>
        <v>0</v>
      </c>
      <c r="C312" s="26" t="str">
        <f>Test_Bible!B322</f>
        <v>Dans quelle mesure diriez-vous que votre enfant change ou adapte ses champs d’intérêts pour partager les intérêts de l’autre parent ?</v>
      </c>
      <c r="D312" s="101"/>
      <c r="E312" s="790">
        <f>MAX(Test_Bible!P322,Test_Bible!P323)</f>
        <v>7</v>
      </c>
      <c r="F312" s="789">
        <f>Test_Bible!D322</f>
        <v>2</v>
      </c>
      <c r="G312" s="790">
        <f>E312*F312</f>
        <v>14</v>
      </c>
      <c r="H312" s="1622">
        <v>7</v>
      </c>
      <c r="I312" s="1615">
        <v>10</v>
      </c>
      <c r="J312" s="45" t="b">
        <f>IF(AND(E312&gt;=H312,E312&lt;=I312),TRUE,FALSE)</f>
        <v>1</v>
      </c>
      <c r="K312" s="45"/>
      <c r="L312" s="45"/>
      <c r="M312" s="45"/>
      <c r="N312" s="1623"/>
      <c r="O312" s="1622">
        <v>4</v>
      </c>
      <c r="P312" s="1615">
        <v>10</v>
      </c>
      <c r="Q312" s="1623" t="b">
        <f>IF(AND(E312&gt;=O312,E312&lt;=P312),TRUE,FALSE)</f>
        <v>1</v>
      </c>
      <c r="R312" s="1622"/>
      <c r="S312" s="1615"/>
      <c r="T312" s="1623"/>
      <c r="U312" s="931"/>
      <c r="V312" s="1403"/>
      <c r="W312" s="1404">
        <v>7</v>
      </c>
      <c r="X312" s="1405"/>
      <c r="Y312" s="1408">
        <v>4</v>
      </c>
      <c r="Z312" s="1405"/>
      <c r="AA312" s="1416">
        <v>11</v>
      </c>
      <c r="AC312" s="960" t="s">
        <v>945</v>
      </c>
      <c r="AD312" s="961"/>
      <c r="AE312" s="960"/>
      <c r="AF312" s="961"/>
      <c r="AG312" s="960"/>
      <c r="AH312" s="961"/>
      <c r="AI312" s="10"/>
      <c r="AJ312" s="10"/>
      <c r="AK312" s="10"/>
    </row>
    <row r="313" spans="1:37" ht="44" customHeight="1" thickBot="1" x14ac:dyDescent="0.25">
      <c r="B313" s="22">
        <f>'CPTS indépendants'!O57</f>
        <v>0</v>
      </c>
      <c r="C313" s="767" t="str">
        <f>Test_Bible!B323</f>
        <v>Dans quelle mesure diriez-vous que votre enfant rejette vos valeurs et vos champs d’intérêts.</v>
      </c>
      <c r="D313" s="299"/>
      <c r="E313" s="889"/>
      <c r="F313" s="544"/>
      <c r="G313" s="889"/>
      <c r="H313" s="1622">
        <v>7</v>
      </c>
      <c r="I313" s="1615">
        <v>10</v>
      </c>
      <c r="J313" s="45" t="b">
        <f>IF(AND(E313&gt;=H313,E313&lt;=I313),TRUE,FALSE)</f>
        <v>0</v>
      </c>
      <c r="K313" s="45"/>
      <c r="L313" s="45"/>
      <c r="M313" s="45"/>
      <c r="N313" s="1623"/>
      <c r="O313" s="1622">
        <v>4</v>
      </c>
      <c r="P313" s="1615">
        <v>10</v>
      </c>
      <c r="Q313" s="1623" t="b">
        <f>IF(AND(E313&gt;=O313,E313&lt;=P313),TRUE,FALSE)</f>
        <v>0</v>
      </c>
      <c r="R313" s="1647"/>
      <c r="S313" s="1648"/>
      <c r="T313" s="1623"/>
      <c r="U313" s="931"/>
      <c r="V313" s="1406" t="s">
        <v>943</v>
      </c>
      <c r="W313" s="1437">
        <v>11</v>
      </c>
      <c r="X313" s="1412"/>
      <c r="Y313" s="1440">
        <v>11</v>
      </c>
      <c r="Z313" s="1412"/>
      <c r="AA313" s="1421">
        <v>11</v>
      </c>
      <c r="AC313" s="960"/>
      <c r="AD313" s="961"/>
      <c r="AE313" s="960"/>
      <c r="AF313" s="961"/>
      <c r="AG313" s="960"/>
      <c r="AH313" s="961"/>
      <c r="AI313" s="10"/>
      <c r="AJ313" s="10"/>
      <c r="AK313" s="10"/>
    </row>
    <row r="314" spans="1:37" ht="28" customHeight="1" thickBot="1" x14ac:dyDescent="0.25">
      <c r="B314" s="809" t="s">
        <v>574</v>
      </c>
      <c r="C314" s="810"/>
      <c r="D314" s="810"/>
      <c r="E314" s="811"/>
      <c r="F314" s="811"/>
      <c r="G314" s="811"/>
      <c r="H314" s="1628"/>
      <c r="I314" s="812"/>
      <c r="J314" s="813" t="b">
        <f>IF(AND(J312=FALSE,J313=FALSE),FALSE,TRUE)</f>
        <v>1</v>
      </c>
      <c r="K314" s="1611"/>
      <c r="L314" s="1611"/>
      <c r="M314" s="1611"/>
      <c r="N314" s="1629"/>
      <c r="O314" s="1628"/>
      <c r="P314" s="812"/>
      <c r="Q314" s="813" t="b">
        <f>IF(AND(Q312=FALSE,Q313=FALSE),FALSE,TRUE)</f>
        <v>1</v>
      </c>
      <c r="R314" s="1628"/>
      <c r="S314" s="812"/>
      <c r="T314" s="813"/>
      <c r="U314" s="931"/>
      <c r="V314" s="931"/>
      <c r="W314" s="1394"/>
      <c r="Y314" s="1398"/>
      <c r="AA314" s="1402"/>
      <c r="AC314" s="960" t="str">
        <f>IF(J314=TRUE,"V","F")</f>
        <v>V</v>
      </c>
      <c r="AD314" s="961"/>
      <c r="AE314" s="960" t="str">
        <f>IF(Q314=TRUE,"V","F")</f>
        <v>V</v>
      </c>
      <c r="AF314" s="961"/>
      <c r="AG314" s="960"/>
      <c r="AH314" s="961"/>
      <c r="AI314" s="10"/>
      <c r="AJ314" s="10"/>
      <c r="AK314" s="10"/>
    </row>
    <row r="315" spans="1:37" x14ac:dyDescent="0.2">
      <c r="C315" s="421"/>
      <c r="D315" s="785"/>
      <c r="E315" s="474"/>
      <c r="F315" s="47"/>
      <c r="G315" s="47"/>
      <c r="H315" s="1630"/>
      <c r="I315" s="475"/>
      <c r="J315" s="1613"/>
      <c r="K315" s="1614"/>
      <c r="L315" s="1614"/>
      <c r="M315" s="1614"/>
      <c r="N315" s="1631"/>
      <c r="O315" s="1630"/>
      <c r="P315" s="475"/>
      <c r="Q315" s="1639"/>
      <c r="R315" s="1630"/>
      <c r="S315" s="475"/>
      <c r="T315" s="1639"/>
      <c r="U315" s="1664"/>
      <c r="V315" s="170"/>
      <c r="W315" s="1394"/>
      <c r="Y315" s="1398"/>
      <c r="AA315" s="1402"/>
      <c r="AC315" s="962"/>
      <c r="AD315" s="963">
        <f>IF(AND(AC311="V",AC314="V"),2,IF(OR(AC311="V",AC314="V"),1,0))</f>
        <v>1</v>
      </c>
      <c r="AE315" s="962"/>
      <c r="AF315" s="963">
        <f>IF(OR(AE311="V",AE314="V"),1,0)</f>
        <v>1</v>
      </c>
      <c r="AG315" s="962"/>
      <c r="AH315" s="963"/>
      <c r="AI315" s="10"/>
      <c r="AJ315" s="10"/>
      <c r="AK315" s="10"/>
    </row>
    <row r="316" spans="1:37" x14ac:dyDescent="0.2">
      <c r="B316" t="s">
        <v>243</v>
      </c>
      <c r="H316" s="146"/>
      <c r="K316" s="46"/>
      <c r="L316" s="46"/>
      <c r="M316" s="46"/>
      <c r="N316" s="1652"/>
      <c r="O316" s="146"/>
      <c r="Q316" s="326"/>
      <c r="R316" s="146"/>
      <c r="T316" s="326"/>
      <c r="W316" s="1394"/>
      <c r="Y316" s="1398"/>
      <c r="AA316" s="1402"/>
      <c r="AC316" s="960"/>
      <c r="AD316" s="961"/>
      <c r="AE316" s="960"/>
      <c r="AF316" s="961"/>
      <c r="AG316" s="960"/>
      <c r="AH316" s="961"/>
      <c r="AI316" s="10"/>
      <c r="AJ316" s="10"/>
      <c r="AK316" s="10"/>
    </row>
    <row r="317" spans="1:37" x14ac:dyDescent="0.2">
      <c r="B317" s="964"/>
      <c r="C317" s="965"/>
      <c r="D317" s="965"/>
      <c r="E317" s="973"/>
      <c r="F317" s="973"/>
      <c r="G317" s="973"/>
      <c r="H317" s="1647">
        <v>11</v>
      </c>
      <c r="I317" s="1648">
        <v>11</v>
      </c>
      <c r="J317" s="45" t="b">
        <f>IF(AND(E317&gt;=H317,E317&lt;=I317),TRUE,FALSE)</f>
        <v>0</v>
      </c>
      <c r="K317" s="32"/>
      <c r="L317" s="32"/>
      <c r="M317" s="32"/>
      <c r="N317" s="1632"/>
      <c r="O317" s="1647">
        <v>11</v>
      </c>
      <c r="P317" s="1648">
        <v>11</v>
      </c>
      <c r="Q317" s="1623" t="b">
        <f>IF(AND(E317&gt;=O317,E317&lt;=P317),TRUE,FALSE)</f>
        <v>0</v>
      </c>
      <c r="R317" s="1647">
        <v>11</v>
      </c>
      <c r="S317" s="1648">
        <v>11</v>
      </c>
      <c r="T317" s="1623" t="b">
        <f>IF(AND(E317&gt;=R317,E317&lt;=S317),TRUE,FALSE)</f>
        <v>0</v>
      </c>
      <c r="U317" s="931"/>
      <c r="V317" s="1428"/>
      <c r="W317" s="1436">
        <v>11</v>
      </c>
      <c r="X317" s="1447"/>
      <c r="Y317" s="1424">
        <v>11</v>
      </c>
      <c r="Z317" s="1447"/>
      <c r="AA317" s="1448">
        <v>11</v>
      </c>
      <c r="AC317" s="960"/>
      <c r="AD317" s="961"/>
      <c r="AE317" s="960"/>
      <c r="AF317" s="961"/>
      <c r="AG317" s="960"/>
      <c r="AH317" s="961"/>
      <c r="AI317" s="10"/>
      <c r="AJ317" s="10"/>
      <c r="AK317" s="10"/>
    </row>
    <row r="318" spans="1:37" ht="20" thickBot="1" x14ac:dyDescent="0.25">
      <c r="B318" s="964"/>
      <c r="C318" s="972"/>
      <c r="D318" s="965"/>
      <c r="E318" s="973"/>
      <c r="F318" s="973"/>
      <c r="G318" s="973"/>
      <c r="H318" s="1647">
        <v>11</v>
      </c>
      <c r="I318" s="1648">
        <v>11</v>
      </c>
      <c r="J318" s="45" t="b">
        <f>IF(AND(E318&gt;=H318,E318&lt;=I318),TRUE,FALSE)</f>
        <v>0</v>
      </c>
      <c r="K318" s="32"/>
      <c r="L318" s="32"/>
      <c r="M318" s="32"/>
      <c r="N318" s="1632"/>
      <c r="O318" s="1647">
        <v>11</v>
      </c>
      <c r="P318" s="1648">
        <v>11</v>
      </c>
      <c r="Q318" s="1623" t="b">
        <f>IF(AND(E318&gt;=O318,E318&lt;=P318),TRUE,FALSE)</f>
        <v>0</v>
      </c>
      <c r="R318" s="1647">
        <v>11</v>
      </c>
      <c r="S318" s="1648">
        <v>11</v>
      </c>
      <c r="T318" s="1623" t="b">
        <f>IF(AND(E318&gt;=R318,E318&lt;=S318),TRUE,FALSE)</f>
        <v>0</v>
      </c>
      <c r="U318" s="931"/>
      <c r="V318" s="1429"/>
      <c r="W318" s="1437">
        <v>11</v>
      </c>
      <c r="X318" s="1441"/>
      <c r="Y318" s="1427">
        <v>11</v>
      </c>
      <c r="Z318" s="1441"/>
      <c r="AA318" s="1442">
        <v>11</v>
      </c>
      <c r="AC318" s="960"/>
      <c r="AD318" s="961"/>
      <c r="AE318" s="960"/>
      <c r="AF318" s="961"/>
      <c r="AG318" s="960"/>
      <c r="AH318" s="961"/>
      <c r="AI318" s="10"/>
      <c r="AJ318" s="10"/>
      <c r="AK318" s="10"/>
    </row>
    <row r="319" spans="1:37" ht="27" thickBot="1" x14ac:dyDescent="0.35">
      <c r="A319" s="657"/>
      <c r="C319" s="16"/>
      <c r="D319" s="16"/>
      <c r="E319" s="89"/>
      <c r="F319" s="473"/>
      <c r="G319" s="473"/>
      <c r="H319" s="1644"/>
      <c r="I319" s="1645"/>
      <c r="J319" s="1651" t="b">
        <f>IF(AND(J317=FALSE,J318=FALSE),FALSE,TRUE)</f>
        <v>0</v>
      </c>
      <c r="K319" s="1633"/>
      <c r="L319" s="1634"/>
      <c r="M319" s="1634"/>
      <c r="N319" s="1635"/>
      <c r="O319" s="1644"/>
      <c r="P319" s="1645"/>
      <c r="Q319" s="1651" t="b">
        <f>IF(AND(Q317=FALSE,Q318=FALSE),FALSE,TRUE)</f>
        <v>0</v>
      </c>
      <c r="R319" s="1656"/>
      <c r="S319" s="1657"/>
      <c r="T319" s="1658" t="b">
        <f>IF(AND(T317=FALSE,T318=FALSE),FALSE,TRUE)</f>
        <v>0</v>
      </c>
      <c r="U319" s="932"/>
      <c r="AC319" s="1564" t="str">
        <f>IF(J319=TRUE,"V","F")</f>
        <v>F</v>
      </c>
      <c r="AD319" s="1565"/>
      <c r="AE319" s="1564" t="str">
        <f>IF(Q319=TRUE,"V","F")</f>
        <v>F</v>
      </c>
      <c r="AF319" s="1565"/>
      <c r="AG319" s="1564" t="str">
        <f>IF(T319=TRUE,"V","F")</f>
        <v>F</v>
      </c>
      <c r="AH319" s="1565"/>
      <c r="AI319" s="10"/>
      <c r="AJ319" s="10"/>
      <c r="AK319" s="10"/>
    </row>
    <row r="320" spans="1:37" ht="21" x14ac:dyDescent="0.25">
      <c r="AC320" s="1649"/>
      <c r="AD320" s="1650">
        <f>IF(AND(AC319="V",AC311="V"),AD315-1,AD315)</f>
        <v>1</v>
      </c>
      <c r="AE320" s="1649"/>
      <c r="AF320" s="1650">
        <f>IF(OR(AE311="V",AE314="V",AE319="V"),1,0)</f>
        <v>1</v>
      </c>
      <c r="AG320" s="1649"/>
      <c r="AH320" s="1650">
        <f>IF(AG311="V",1,IF(AG319="V",1,0))</f>
        <v>0</v>
      </c>
      <c r="AI320" s="10">
        <v>1</v>
      </c>
      <c r="AJ320" s="10">
        <v>1</v>
      </c>
      <c r="AK320" s="10"/>
    </row>
    <row r="321" spans="1:34" x14ac:dyDescent="0.2">
      <c r="AC321" s="1668" t="s">
        <v>1388</v>
      </c>
      <c r="AD321" s="1669">
        <f>IF(AF320=1,AD320*(1+$AH$28),AD320)</f>
        <v>1</v>
      </c>
    </row>
    <row r="328" spans="1:34" ht="26" x14ac:dyDescent="0.3">
      <c r="A328" s="820"/>
      <c r="C328" s="476" t="str">
        <f>'CPTS indépendants'!K26</f>
        <v>Champion du parent</v>
      </c>
      <c r="D328" s="107"/>
      <c r="E328" s="65"/>
      <c r="F328" s="18"/>
      <c r="G328" s="18"/>
      <c r="H328" s="2255" t="s">
        <v>734</v>
      </c>
      <c r="I328" s="2256"/>
      <c r="J328" s="2256"/>
      <c r="K328" s="2257" t="s">
        <v>1378</v>
      </c>
      <c r="L328" s="2257"/>
      <c r="M328" s="2257"/>
      <c r="N328" s="2258"/>
      <c r="O328" s="2259" t="s">
        <v>733</v>
      </c>
      <c r="P328" s="2260"/>
      <c r="Q328" s="2261"/>
      <c r="R328" s="2262" t="s">
        <v>735</v>
      </c>
      <c r="S328" s="2263"/>
      <c r="T328" s="2264"/>
      <c r="U328" s="15"/>
      <c r="V328" s="15"/>
      <c r="AC328" s="956"/>
      <c r="AD328" s="956"/>
      <c r="AE328" s="956"/>
      <c r="AF328" s="956"/>
      <c r="AG328" s="956"/>
      <c r="AH328" s="957"/>
    </row>
    <row r="329" spans="1:34" ht="70" x14ac:dyDescent="0.3">
      <c r="A329" s="657"/>
      <c r="C329" s="102" t="s">
        <v>998</v>
      </c>
      <c r="D329" s="983" t="s">
        <v>997</v>
      </c>
      <c r="E329" s="32" t="s">
        <v>748</v>
      </c>
      <c r="F329" s="32" t="s">
        <v>749</v>
      </c>
      <c r="G329" s="32" t="s">
        <v>750</v>
      </c>
      <c r="H329" s="1620" t="s">
        <v>306</v>
      </c>
      <c r="I329" s="43" t="s">
        <v>307</v>
      </c>
      <c r="J329" s="43" t="s">
        <v>308</v>
      </c>
      <c r="K329" s="43" t="s">
        <v>413</v>
      </c>
      <c r="L329" s="43" t="s">
        <v>388</v>
      </c>
      <c r="M329" s="43" t="s">
        <v>389</v>
      </c>
      <c r="N329" s="1621" t="s">
        <v>390</v>
      </c>
      <c r="O329" s="1620" t="s">
        <v>306</v>
      </c>
      <c r="P329" s="43" t="s">
        <v>307</v>
      </c>
      <c r="Q329" s="1621" t="s">
        <v>308</v>
      </c>
      <c r="R329" s="1620" t="s">
        <v>306</v>
      </c>
      <c r="S329" s="43" t="s">
        <v>307</v>
      </c>
      <c r="T329" s="1621" t="s">
        <v>308</v>
      </c>
      <c r="U329" s="818"/>
      <c r="V329" s="955" t="s">
        <v>928</v>
      </c>
      <c r="W329" s="1391" t="s">
        <v>734</v>
      </c>
      <c r="X329" s="955" t="s">
        <v>928</v>
      </c>
      <c r="Y329" s="1395" t="s">
        <v>733</v>
      </c>
      <c r="Z329" s="955"/>
      <c r="AA329" s="1399" t="s">
        <v>735</v>
      </c>
      <c r="AC329" s="970" t="s">
        <v>734</v>
      </c>
      <c r="AD329" s="971" t="s">
        <v>946</v>
      </c>
      <c r="AE329" s="970" t="s">
        <v>733</v>
      </c>
      <c r="AF329" s="971" t="s">
        <v>947</v>
      </c>
      <c r="AG329" s="970" t="s">
        <v>735</v>
      </c>
      <c r="AH329" s="971" t="s">
        <v>948</v>
      </c>
    </row>
    <row r="330" spans="1:34" ht="26" x14ac:dyDescent="0.3">
      <c r="A330" s="657"/>
      <c r="B330" s="414"/>
      <c r="C330" s="26"/>
      <c r="D330" s="101"/>
      <c r="E330" s="790"/>
      <c r="F330" s="789"/>
      <c r="G330" s="790"/>
      <c r="H330" s="1647"/>
      <c r="I330" s="1648"/>
      <c r="J330" s="45"/>
      <c r="K330" s="45"/>
      <c r="L330" s="45"/>
      <c r="M330" s="45"/>
      <c r="N330" s="1623"/>
      <c r="O330" s="1622"/>
      <c r="P330" s="1615"/>
      <c r="Q330" s="1623"/>
      <c r="R330" s="1622"/>
      <c r="S330" s="1615"/>
      <c r="T330" s="1623"/>
      <c r="U330" s="931"/>
      <c r="V330" s="1403"/>
      <c r="W330" s="1422">
        <v>11</v>
      </c>
      <c r="X330" s="1405"/>
      <c r="Y330" s="1408">
        <v>4</v>
      </c>
      <c r="Z330" s="1405"/>
      <c r="AA330" s="1415">
        <v>4</v>
      </c>
      <c r="AC330" s="958"/>
      <c r="AD330" s="959"/>
      <c r="AE330" s="958"/>
      <c r="AF330" s="959"/>
      <c r="AG330" s="958"/>
      <c r="AH330" s="959"/>
    </row>
    <row r="331" spans="1:34" ht="26" x14ac:dyDescent="0.3">
      <c r="A331" s="657"/>
      <c r="B331" s="414"/>
      <c r="C331" s="26"/>
      <c r="D331" s="101"/>
      <c r="E331" s="790"/>
      <c r="F331" s="789"/>
      <c r="G331" s="790"/>
      <c r="H331" s="1647"/>
      <c r="I331" s="1648"/>
      <c r="J331" s="45"/>
      <c r="K331" s="45"/>
      <c r="L331" s="45"/>
      <c r="M331" s="45"/>
      <c r="N331" s="1623"/>
      <c r="O331" s="1647"/>
      <c r="P331" s="1648"/>
      <c r="Q331" s="1623"/>
      <c r="R331" s="1647"/>
      <c r="S331" s="1648"/>
      <c r="T331" s="1623"/>
      <c r="U331" s="931"/>
      <c r="V331" s="1406" t="s">
        <v>943</v>
      </c>
      <c r="W331" s="1425">
        <v>11</v>
      </c>
      <c r="X331" s="1426"/>
      <c r="Y331" s="1427">
        <v>11</v>
      </c>
      <c r="Z331" s="1426"/>
      <c r="AA331" s="1421">
        <v>11</v>
      </c>
      <c r="AC331" s="960"/>
      <c r="AD331" s="961"/>
      <c r="AE331" s="960"/>
      <c r="AF331" s="961"/>
      <c r="AG331" s="960"/>
      <c r="AH331" s="961"/>
    </row>
    <row r="332" spans="1:34" ht="26" x14ac:dyDescent="0.3">
      <c r="A332" s="657"/>
      <c r="B332" s="792"/>
      <c r="C332" s="793"/>
      <c r="D332" s="794"/>
      <c r="E332" s="795"/>
      <c r="F332" s="795"/>
      <c r="G332" s="795"/>
      <c r="H332" s="1624"/>
      <c r="I332" s="796"/>
      <c r="J332" s="797"/>
      <c r="K332" s="45"/>
      <c r="L332" s="45"/>
      <c r="M332" s="45"/>
      <c r="N332" s="1623"/>
      <c r="O332" s="1624"/>
      <c r="P332" s="796"/>
      <c r="Q332" s="1637"/>
      <c r="R332" s="1624"/>
      <c r="S332" s="796"/>
      <c r="T332" s="1637"/>
      <c r="U332" s="931"/>
      <c r="V332" s="931" t="s">
        <v>943</v>
      </c>
      <c r="W332" s="1392"/>
      <c r="X332" s="8"/>
      <c r="Y332" s="1397"/>
      <c r="Z332" s="8"/>
      <c r="AA332" s="1400"/>
      <c r="AC332" s="960"/>
      <c r="AD332" s="961"/>
      <c r="AE332" s="960"/>
      <c r="AF332" s="961"/>
      <c r="AG332" s="960"/>
      <c r="AH332" s="961"/>
    </row>
    <row r="333" spans="1:34" ht="26" x14ac:dyDescent="0.3">
      <c r="A333" s="657"/>
      <c r="B333" s="52"/>
      <c r="C333" s="26"/>
      <c r="D333" s="101"/>
      <c r="E333" s="790"/>
      <c r="F333" s="789"/>
      <c r="G333" s="790"/>
      <c r="H333" s="1622"/>
      <c r="I333" s="1615"/>
      <c r="J333" s="45"/>
      <c r="K333" s="45"/>
      <c r="L333" s="45"/>
      <c r="M333" s="45"/>
      <c r="N333" s="1623"/>
      <c r="O333" s="1647"/>
      <c r="P333" s="1648"/>
      <c r="Q333" s="1623"/>
      <c r="R333" s="1622"/>
      <c r="S333" s="1615"/>
      <c r="T333" s="1623"/>
      <c r="U333" s="931"/>
      <c r="V333" s="1403"/>
      <c r="W333" s="1404">
        <v>7</v>
      </c>
      <c r="X333" s="1405"/>
      <c r="Y333" s="1424">
        <v>11</v>
      </c>
      <c r="Z333" s="1405"/>
      <c r="AA333" s="1416">
        <v>11</v>
      </c>
      <c r="AC333" s="960"/>
      <c r="AD333" s="961"/>
      <c r="AE333" s="960"/>
      <c r="AF333" s="961"/>
      <c r="AG333" s="960"/>
      <c r="AH333" s="961"/>
    </row>
    <row r="334" spans="1:34" ht="26" x14ac:dyDescent="0.3">
      <c r="A334" s="657"/>
      <c r="B334" s="22"/>
      <c r="C334" s="767"/>
      <c r="D334" s="101"/>
      <c r="E334" s="790"/>
      <c r="F334" s="789"/>
      <c r="G334" s="790"/>
      <c r="H334" s="1622"/>
      <c r="I334" s="1615"/>
      <c r="J334" s="45"/>
      <c r="K334" s="45"/>
      <c r="L334" s="45"/>
      <c r="M334" s="45"/>
      <c r="N334" s="1623"/>
      <c r="O334" s="1647"/>
      <c r="P334" s="1648"/>
      <c r="Q334" s="1623"/>
      <c r="R334" s="1622"/>
      <c r="S334" s="1615"/>
      <c r="T334" s="1623"/>
      <c r="U334" s="931"/>
      <c r="V334" s="1410"/>
      <c r="W334" s="1392"/>
      <c r="X334" s="8"/>
      <c r="Y334" s="1430"/>
      <c r="Z334" s="8"/>
      <c r="AA334" s="1432"/>
      <c r="AC334" s="960"/>
      <c r="AD334" s="961"/>
      <c r="AE334" s="960"/>
      <c r="AF334" s="961"/>
      <c r="AG334" s="960"/>
      <c r="AH334" s="961"/>
    </row>
    <row r="335" spans="1:34" ht="26" x14ac:dyDescent="0.3">
      <c r="A335" s="657"/>
      <c r="B335" s="22"/>
      <c r="C335" s="767"/>
      <c r="D335" s="62"/>
      <c r="E335" s="790"/>
      <c r="F335" s="789"/>
      <c r="G335" s="790"/>
      <c r="H335" s="1622"/>
      <c r="I335" s="1615"/>
      <c r="J335" s="45"/>
      <c r="K335" s="45"/>
      <c r="L335" s="45"/>
      <c r="M335" s="45"/>
      <c r="N335" s="1623"/>
      <c r="O335" s="1647"/>
      <c r="P335" s="1648"/>
      <c r="Q335" s="1623"/>
      <c r="R335" s="1622"/>
      <c r="S335" s="1615"/>
      <c r="T335" s="1623"/>
      <c r="U335" s="931"/>
      <c r="V335" s="1406" t="s">
        <v>943</v>
      </c>
      <c r="W335" s="1425">
        <v>11</v>
      </c>
      <c r="X335" s="1426"/>
      <c r="Y335" s="1427">
        <v>11</v>
      </c>
      <c r="Z335" s="1426"/>
      <c r="AA335" s="1421">
        <v>11</v>
      </c>
      <c r="AC335" s="960"/>
      <c r="AD335" s="961"/>
      <c r="AE335" s="960"/>
      <c r="AF335" s="961"/>
      <c r="AG335" s="960"/>
      <c r="AH335" s="961"/>
    </row>
    <row r="336" spans="1:34" ht="27" thickBot="1" x14ac:dyDescent="0.35">
      <c r="A336" s="657"/>
      <c r="B336" s="798"/>
      <c r="C336" s="799"/>
      <c r="D336" s="800"/>
      <c r="E336" s="801"/>
      <c r="F336" s="801"/>
      <c r="G336" s="801"/>
      <c r="H336" s="1625"/>
      <c r="I336" s="802"/>
      <c r="J336" s="803"/>
      <c r="K336" s="45"/>
      <c r="L336" s="45"/>
      <c r="M336" s="45"/>
      <c r="N336" s="1623"/>
      <c r="O336" s="1625"/>
      <c r="P336" s="802"/>
      <c r="Q336" s="1638"/>
      <c r="R336" s="1625"/>
      <c r="S336" s="802"/>
      <c r="T336" s="1638"/>
      <c r="U336" s="931"/>
      <c r="V336" s="931"/>
      <c r="W336" s="1392"/>
      <c r="X336" s="8"/>
      <c r="Y336" s="1397"/>
      <c r="Z336" s="8"/>
      <c r="AA336" s="1400"/>
      <c r="AC336" s="960"/>
      <c r="AD336" s="961"/>
      <c r="AE336" s="960"/>
      <c r="AF336" s="961"/>
      <c r="AG336" s="960"/>
      <c r="AH336" s="961"/>
    </row>
    <row r="337" spans="1:34" ht="35" thickBot="1" x14ac:dyDescent="0.35">
      <c r="A337" s="657"/>
      <c r="B337" s="804" t="s">
        <v>754</v>
      </c>
      <c r="C337" s="805"/>
      <c r="D337" s="805">
        <f>IF(G337=G332,D332,D336)</f>
        <v>0</v>
      </c>
      <c r="E337" s="806"/>
      <c r="F337" s="806"/>
      <c r="G337" s="806">
        <f>IF(AND(J333=TRUE,J336=FALSE),G333,IF(AND(J333=FALSE,J336=TRUE),G336,IF(AND(J333=TRUE,J336=TRUE),G333+G336,MAX(G333,G336))))</f>
        <v>0</v>
      </c>
      <c r="H337" s="1626"/>
      <c r="I337" s="807"/>
      <c r="J337" s="808" t="b">
        <f>IF(AND(J332=FALSE,J336=FALSE),FALSE,TRUE)</f>
        <v>0</v>
      </c>
      <c r="K337" s="1610"/>
      <c r="L337" s="1610"/>
      <c r="M337" s="1610"/>
      <c r="N337" s="1627"/>
      <c r="O337" s="1626"/>
      <c r="P337" s="807"/>
      <c r="Q337" s="808" t="b">
        <f>IF(AND(Q332=FALSE,Q336=FALSE),FALSE,TRUE)</f>
        <v>0</v>
      </c>
      <c r="R337" s="1626"/>
      <c r="S337" s="807"/>
      <c r="T337" s="808" t="b">
        <f>IF(AND(T332=FALSE,T336=FALSE),FALSE,TRUE)</f>
        <v>0</v>
      </c>
      <c r="U337" s="931"/>
      <c r="V337" s="931" t="s">
        <v>942</v>
      </c>
      <c r="W337" s="1392"/>
      <c r="X337" s="8"/>
      <c r="Y337" s="1397"/>
      <c r="Z337" s="8"/>
      <c r="AA337" s="1400"/>
      <c r="AC337" s="960" t="str">
        <f>IF(J337=TRUE,"V","F")</f>
        <v>F</v>
      </c>
      <c r="AD337" s="961"/>
      <c r="AE337" s="960" t="str">
        <f>IF(Q337=TRUE,"V","F")</f>
        <v>F</v>
      </c>
      <c r="AF337" s="961"/>
      <c r="AG337" s="960" t="str">
        <f>IF(T337=TRUE,"V","F")</f>
        <v>F</v>
      </c>
      <c r="AH337" s="961"/>
    </row>
    <row r="338" spans="1:34" ht="68" x14ac:dyDescent="0.3">
      <c r="A338" s="657"/>
      <c r="B338" s="313" t="str">
        <f>'CPTS indépendants'!K27</f>
        <v>E10</v>
      </c>
      <c r="C338" s="26" t="str">
        <f>Test_Bible!B283</f>
        <v>Votre enfant cherche à vous convaincre des qualités de l’autre parent.</v>
      </c>
      <c r="D338" s="101" t="s">
        <v>798</v>
      </c>
      <c r="E338" s="790">
        <f>Test_Bible!P283</f>
        <v>1</v>
      </c>
      <c r="F338" s="789">
        <f>Test_Bible!D283</f>
        <v>2</v>
      </c>
      <c r="G338" s="790">
        <f>Test_Bible!Q283</f>
        <v>2</v>
      </c>
      <c r="H338" s="1622">
        <v>4</v>
      </c>
      <c r="I338" s="1615">
        <v>10</v>
      </c>
      <c r="J338" s="45" t="b">
        <f>IF(AND(E338&gt;=H338,E338&lt;=I338),TRUE,FALSE)</f>
        <v>0</v>
      </c>
      <c r="K338" s="45"/>
      <c r="L338" s="45"/>
      <c r="M338" s="45"/>
      <c r="N338" s="1623"/>
      <c r="O338" s="1647">
        <v>11</v>
      </c>
      <c r="P338" s="1648">
        <v>11</v>
      </c>
      <c r="Q338" s="1623" t="b">
        <f>IF(AND(E338&gt;=O338,E338&lt;=P338),TRUE,FALSE)</f>
        <v>0</v>
      </c>
      <c r="R338" s="1622"/>
      <c r="S338" s="1615"/>
      <c r="T338" s="1623"/>
      <c r="U338" s="931"/>
      <c r="V338" s="1403"/>
      <c r="W338" s="1404">
        <v>4</v>
      </c>
      <c r="X338" s="1405"/>
      <c r="Y338" s="1408">
        <v>4</v>
      </c>
      <c r="Z338" s="1405"/>
      <c r="AA338" s="1416">
        <v>11</v>
      </c>
      <c r="AC338" s="960" t="s">
        <v>945</v>
      </c>
      <c r="AD338" s="961"/>
      <c r="AE338" s="960"/>
      <c r="AF338" s="961"/>
      <c r="AG338" s="960"/>
      <c r="AH338" s="961"/>
    </row>
    <row r="339" spans="1:34" ht="62" customHeight="1" x14ac:dyDescent="0.3">
      <c r="A339" s="657"/>
      <c r="B339" s="313" t="str">
        <f>'CPTS indépendants'!K28</f>
        <v>E04</v>
      </c>
      <c r="C339" s="26" t="str">
        <f>Test_Bible!B269</f>
        <v>Votre enfant défend l'autre parent, quoi que vous fassiez, quoi que vous disiez.</v>
      </c>
      <c r="D339" s="101"/>
      <c r="E339" s="790">
        <f>Test_Bible!P269</f>
        <v>0</v>
      </c>
      <c r="F339" s="789">
        <f>Test_Bible!D269</f>
        <v>2</v>
      </c>
      <c r="G339" s="790">
        <f>Test_Bible!Q269</f>
        <v>0</v>
      </c>
      <c r="H339" s="1622">
        <v>4</v>
      </c>
      <c r="I339" s="1615">
        <v>10</v>
      </c>
      <c r="J339" s="45" t="b">
        <f t="shared" ref="J339:J340" si="0">IF(AND(E339&gt;=H339,E339&lt;=I339),TRUE,FALSE)</f>
        <v>0</v>
      </c>
      <c r="K339" s="45"/>
      <c r="L339" s="45"/>
      <c r="M339" s="45"/>
      <c r="N339" s="1623"/>
      <c r="O339" s="1647">
        <v>11</v>
      </c>
      <c r="P339" s="1648">
        <v>11</v>
      </c>
      <c r="Q339" s="1623" t="b">
        <f t="shared" ref="Q339:Q340" si="1">IF(AND(E339&gt;=O339,E339&lt;=P339),TRUE,FALSE)</f>
        <v>0</v>
      </c>
      <c r="R339" s="1622"/>
      <c r="S339" s="1615"/>
      <c r="T339" s="1623"/>
      <c r="U339" s="931"/>
      <c r="V339" s="1410"/>
      <c r="W339" s="1392"/>
      <c r="X339" s="8"/>
      <c r="Y339" s="1397"/>
      <c r="Z339" s="8"/>
      <c r="AA339" s="1432"/>
      <c r="AC339" s="960"/>
      <c r="AD339" s="961"/>
      <c r="AE339" s="960"/>
      <c r="AF339" s="961"/>
      <c r="AG339" s="960"/>
      <c r="AH339" s="961"/>
    </row>
    <row r="340" spans="1:34" ht="27" thickBot="1" x14ac:dyDescent="0.35">
      <c r="A340" s="657"/>
      <c r="B340" s="313" t="str">
        <f>'CPTS indépendants'!K29</f>
        <v>E04a</v>
      </c>
      <c r="C340" s="26" t="str">
        <f>Test_Bible!B270</f>
        <v/>
      </c>
      <c r="D340" s="101"/>
      <c r="E340" s="790">
        <f>Test_Bible!P270</f>
        <v>0</v>
      </c>
      <c r="F340" s="789">
        <f>Test_Bible!D270</f>
        <v>3</v>
      </c>
      <c r="G340" s="790">
        <f>Test_Bible!Q270</f>
        <v>0</v>
      </c>
      <c r="H340" s="1622">
        <v>4</v>
      </c>
      <c r="I340" s="1615">
        <v>10</v>
      </c>
      <c r="J340" s="45" t="b">
        <f t="shared" si="0"/>
        <v>0</v>
      </c>
      <c r="K340" s="45"/>
      <c r="L340" s="45"/>
      <c r="M340" s="45"/>
      <c r="N340" s="1623"/>
      <c r="O340" s="1647">
        <v>11</v>
      </c>
      <c r="P340" s="1648">
        <v>11</v>
      </c>
      <c r="Q340" s="1623" t="b">
        <f t="shared" si="1"/>
        <v>0</v>
      </c>
      <c r="R340" s="1647"/>
      <c r="S340" s="1648"/>
      <c r="T340" s="1623"/>
      <c r="U340" s="931"/>
      <c r="V340" s="1406" t="s">
        <v>943</v>
      </c>
      <c r="W340" s="1425">
        <v>11</v>
      </c>
      <c r="X340" s="1426"/>
      <c r="Y340" s="1427">
        <v>11</v>
      </c>
      <c r="Z340" s="1426"/>
      <c r="AA340" s="1421">
        <v>11</v>
      </c>
      <c r="AC340" s="960"/>
      <c r="AD340" s="961"/>
      <c r="AE340" s="960"/>
      <c r="AF340" s="961"/>
      <c r="AG340" s="960"/>
      <c r="AH340" s="961"/>
    </row>
    <row r="341" spans="1:34" ht="69" thickBot="1" x14ac:dyDescent="0.35">
      <c r="A341" s="657"/>
      <c r="B341" s="809" t="s">
        <v>747</v>
      </c>
      <c r="C341" s="810" t="str">
        <f>_xlfn.XLOOKUP(G341,G338:G340,C338:C340)</f>
        <v>Votre enfant cherche à vous convaincre des qualités de l’autre parent.</v>
      </c>
      <c r="D341" s="810" t="str">
        <f>_xlfn.XLOOKUP(G341,G338:G340,D338:D340)</f>
        <v>a la responsabilité de communiquer les informations concernant la logistique familiale</v>
      </c>
      <c r="E341" s="811"/>
      <c r="F341" s="811"/>
      <c r="G341" s="1750">
        <f>IF(AND(J338=TRUE,J339=FALSE,J340=FALSE),G338,IF(AND(J338=FALSE,J339=TRUE,J340=FALSE),G339,IF(AND(J338=FALSE,J339=FALSE,J340=TRUE),G340,MAX(G338:G340))))</f>
        <v>2</v>
      </c>
      <c r="H341" s="1747"/>
      <c r="I341" s="1747"/>
      <c r="J341" s="1748" t="b">
        <f>IF(AND(J338=FALSE,J339=FALSE,J340=FALSE),FALSE,TRUE)</f>
        <v>0</v>
      </c>
      <c r="K341" s="1611"/>
      <c r="L341" s="1611"/>
      <c r="M341" s="1611"/>
      <c r="N341" s="1629"/>
      <c r="O341" s="1749"/>
      <c r="P341" s="1747"/>
      <c r="Q341" s="1748" t="b">
        <f>IF(AND(Q338=FALSE,Q339=FALSE,Q340=FALSE),FALSE,TRUE)</f>
        <v>0</v>
      </c>
      <c r="R341" s="1628"/>
      <c r="S341" s="812"/>
      <c r="T341" s="813"/>
      <c r="U341" s="931"/>
      <c r="V341" s="931"/>
      <c r="W341" s="1394"/>
      <c r="Y341" s="1398"/>
      <c r="AA341" s="1402"/>
      <c r="AC341" s="960" t="str">
        <f>IF(J341=TRUE,"V","F")</f>
        <v>F</v>
      </c>
      <c r="AD341" s="961"/>
      <c r="AE341" s="960" t="str">
        <f>IF(Q341=TRUE,"V","F")</f>
        <v>F</v>
      </c>
      <c r="AF341" s="961"/>
      <c r="AG341" s="960"/>
      <c r="AH341" s="961"/>
    </row>
    <row r="342" spans="1:34" ht="27" customHeight="1" x14ac:dyDescent="0.3">
      <c r="A342" s="657"/>
      <c r="C342" s="421" t="s">
        <v>310</v>
      </c>
      <c r="D342" s="785"/>
      <c r="E342" s="474" t="s">
        <v>398</v>
      </c>
      <c r="F342" s="47"/>
      <c r="G342" s="47">
        <f>G332+G336+G341</f>
        <v>2</v>
      </c>
      <c r="H342" s="1630"/>
      <c r="I342" s="475"/>
      <c r="J342" s="1613"/>
      <c r="K342" s="1614" t="str">
        <f>IF(AND(J341=TRUE,J337=TRUE),D341,"")</f>
        <v/>
      </c>
      <c r="L342" s="1614" t="str">
        <f>IF(AND(J337=TRUE,J341=FALSE),"Bien que le parent "&amp;D337&amp;" l'enfant ne semble pas s'ingérer","")</f>
        <v/>
      </c>
      <c r="M342" s="1614" t="str">
        <f>IF(AND(J337=FALSE,J341=TRUE),D341&amp;" sans signe de la participation du parent favorisé et|ou nouveau conjoint.e","")</f>
        <v/>
      </c>
      <c r="N342" s="1631" t="str">
        <f>IF(AND(J337=FALSE,J341=FALSE),"aucun comportement significatif de cette nature","")</f>
        <v>aucun comportement significatif de cette nature</v>
      </c>
      <c r="O342" s="1630"/>
      <c r="P342" s="475"/>
      <c r="Q342" s="1639"/>
      <c r="R342" s="1630"/>
      <c r="S342" s="475"/>
      <c r="T342" s="1639"/>
      <c r="U342" s="170"/>
      <c r="V342" s="170"/>
      <c r="W342" s="1394"/>
      <c r="Y342" s="1398"/>
      <c r="AA342" s="1402"/>
      <c r="AC342" s="962"/>
      <c r="AD342" s="963">
        <f>IF(AND(AC337="V",AC341="V"),2,IF(OR(AC337="V",AC341="V"),1,0))</f>
        <v>0</v>
      </c>
      <c r="AE342" s="962"/>
      <c r="AF342" s="963">
        <f>IF(OR(AE337="V",AE341="V"),1,0)</f>
        <v>0</v>
      </c>
      <c r="AG342" s="962"/>
      <c r="AH342" s="963"/>
    </row>
    <row r="343" spans="1:34" ht="26" x14ac:dyDescent="0.3">
      <c r="A343" s="657"/>
      <c r="B343" t="s">
        <v>243</v>
      </c>
      <c r="H343" s="146"/>
      <c r="K343" s="46"/>
      <c r="L343" s="46"/>
      <c r="M343" s="46"/>
      <c r="N343" s="1652"/>
      <c r="O343" s="146"/>
      <c r="Q343" s="326"/>
      <c r="R343" s="146"/>
      <c r="T343" s="326"/>
      <c r="U343" s="46"/>
      <c r="AC343" s="960"/>
      <c r="AD343" s="961"/>
      <c r="AE343" s="960"/>
      <c r="AF343" s="961"/>
      <c r="AG343" s="960"/>
      <c r="AH343" s="961"/>
    </row>
    <row r="344" spans="1:34" ht="26" x14ac:dyDescent="0.3">
      <c r="A344" s="657"/>
      <c r="B344" s="964"/>
      <c r="C344" s="965"/>
      <c r="D344" s="965"/>
      <c r="E344" s="973"/>
      <c r="F344" s="973"/>
      <c r="G344" s="973"/>
      <c r="H344" s="1647"/>
      <c r="I344" s="1648"/>
      <c r="J344" s="45"/>
      <c r="K344" s="32"/>
      <c r="L344" s="32"/>
      <c r="M344" s="32"/>
      <c r="N344" s="1632"/>
      <c r="O344" s="1622"/>
      <c r="P344" s="1615"/>
      <c r="Q344" s="1623"/>
      <c r="R344" s="1622"/>
      <c r="S344" s="1615"/>
      <c r="T344" s="1623"/>
      <c r="U344" s="46"/>
      <c r="V344" s="1428"/>
      <c r="W344" s="1422">
        <v>11</v>
      </c>
      <c r="X344" s="1423"/>
      <c r="Y344" s="1408">
        <v>4</v>
      </c>
      <c r="Z344" s="1405"/>
      <c r="AA344" s="1415">
        <v>4</v>
      </c>
      <c r="AC344" s="960"/>
      <c r="AD344" s="961"/>
      <c r="AE344" s="960"/>
      <c r="AF344" s="961"/>
      <c r="AG344" s="960"/>
      <c r="AH344" s="961"/>
    </row>
    <row r="345" spans="1:34" ht="27" thickBot="1" x14ac:dyDescent="0.35">
      <c r="A345" s="657"/>
      <c r="B345" s="964"/>
      <c r="C345" s="972"/>
      <c r="D345" s="965"/>
      <c r="E345" s="973"/>
      <c r="F345" s="973"/>
      <c r="G345" s="973"/>
      <c r="H345" s="1647"/>
      <c r="I345" s="1648"/>
      <c r="J345" s="45"/>
      <c r="K345" s="32"/>
      <c r="L345" s="32"/>
      <c r="M345" s="32"/>
      <c r="N345" s="1632"/>
      <c r="O345" s="1647"/>
      <c r="P345" s="1648"/>
      <c r="Q345" s="1623"/>
      <c r="R345" s="1647"/>
      <c r="S345" s="1648"/>
      <c r="T345" s="1623"/>
      <c r="V345" s="1429"/>
      <c r="W345" s="1425">
        <v>11</v>
      </c>
      <c r="X345" s="1426"/>
      <c r="Y345" s="1427">
        <v>11</v>
      </c>
      <c r="Z345" s="1426"/>
      <c r="AA345" s="1421">
        <v>11</v>
      </c>
      <c r="AC345" s="960"/>
      <c r="AD345" s="961"/>
      <c r="AE345" s="960"/>
      <c r="AF345" s="961"/>
      <c r="AG345" s="960"/>
      <c r="AH345" s="961"/>
    </row>
    <row r="346" spans="1:34" ht="27" thickBot="1" x14ac:dyDescent="0.35">
      <c r="A346" s="657"/>
      <c r="C346" s="16"/>
      <c r="D346" s="16"/>
      <c r="E346" s="89"/>
      <c r="F346" s="473"/>
      <c r="G346" s="473"/>
      <c r="H346" s="1644"/>
      <c r="I346" s="1645"/>
      <c r="J346" s="1651" t="b">
        <f>IF(AND(J344=FALSE,J345=FALSE),FALSE,TRUE)</f>
        <v>0</v>
      </c>
      <c r="K346" s="1633"/>
      <c r="L346" s="1634"/>
      <c r="M346" s="1634"/>
      <c r="N346" s="1635"/>
      <c r="O346" s="1644"/>
      <c r="P346" s="1645"/>
      <c r="Q346" s="1651" t="b">
        <f>IF(AND(Q344=FALSE,Q345=FALSE),FALSE,TRUE)</f>
        <v>0</v>
      </c>
      <c r="R346" s="1656"/>
      <c r="S346" s="1657"/>
      <c r="T346" s="1658" t="b">
        <f>IF(AND(T344=FALSE,T345=FALSE),FALSE,TRUE)</f>
        <v>0</v>
      </c>
      <c r="U346" s="933"/>
      <c r="AC346" s="1564" t="str">
        <f>IF(J346=TRUE,"V","F")</f>
        <v>F</v>
      </c>
      <c r="AD346" s="1565"/>
      <c r="AE346" s="1564" t="str">
        <f>IF(Q346=TRUE,"V","F")</f>
        <v>F</v>
      </c>
      <c r="AF346" s="1565"/>
      <c r="AG346" s="1564" t="str">
        <f>IF(T346=TRUE,"V","F")</f>
        <v>F</v>
      </c>
      <c r="AH346" s="1565"/>
    </row>
    <row r="347" spans="1:34" ht="26" x14ac:dyDescent="0.3">
      <c r="A347" s="657"/>
      <c r="C347" s="16"/>
      <c r="D347" s="16"/>
      <c r="E347" s="89"/>
      <c r="F347" s="473"/>
      <c r="G347" s="473"/>
      <c r="H347" s="8"/>
      <c r="I347" s="8"/>
      <c r="J347" s="932"/>
      <c r="K347" s="933"/>
      <c r="L347" s="933"/>
      <c r="M347" s="933"/>
      <c r="N347" s="933"/>
      <c r="O347" s="933"/>
      <c r="P347" s="933"/>
      <c r="Q347" s="933"/>
      <c r="R347" s="933"/>
      <c r="S347" s="933"/>
      <c r="T347" s="933"/>
      <c r="U347" s="933"/>
      <c r="V347" s="933"/>
      <c r="AC347" s="1649"/>
      <c r="AD347" s="1650">
        <f>IF(AND(AC346="V",AC337="V"),AD342-1,AD342)</f>
        <v>0</v>
      </c>
      <c r="AE347" s="1649"/>
      <c r="AF347" s="1650">
        <f>IF(OR(AE337="V",AE341="V",AE346="V"),1,0)</f>
        <v>0</v>
      </c>
      <c r="AG347" s="1649"/>
      <c r="AH347" s="1650">
        <f>IF(AG337="V",1,IF(AG346="V",1,0))</f>
        <v>0</v>
      </c>
    </row>
    <row r="349" spans="1:34" ht="26" x14ac:dyDescent="0.3">
      <c r="A349" s="820"/>
      <c r="C349" s="476" t="str">
        <f>'CPTS indépendants'!K31</f>
        <v>Comportements adultoides</v>
      </c>
      <c r="D349" s="107"/>
      <c r="E349" s="65"/>
      <c r="F349" s="18"/>
      <c r="G349" s="18"/>
      <c r="H349" s="2255" t="s">
        <v>734</v>
      </c>
      <c r="I349" s="2256"/>
      <c r="J349" s="2256"/>
      <c r="K349" s="2257" t="s">
        <v>1378</v>
      </c>
      <c r="L349" s="2257"/>
      <c r="M349" s="2257"/>
      <c r="N349" s="2258"/>
      <c r="O349" s="2259" t="s">
        <v>733</v>
      </c>
      <c r="P349" s="2260"/>
      <c r="Q349" s="2261"/>
      <c r="R349" s="2262" t="s">
        <v>735</v>
      </c>
      <c r="S349" s="2263"/>
      <c r="T349" s="2264"/>
      <c r="U349" s="15"/>
      <c r="V349" s="15"/>
      <c r="AC349" s="956"/>
      <c r="AD349" s="956"/>
      <c r="AE349" s="956"/>
      <c r="AF349" s="956"/>
      <c r="AG349" s="956"/>
      <c r="AH349" s="957"/>
    </row>
    <row r="350" spans="1:34" ht="70" x14ac:dyDescent="0.3">
      <c r="A350" s="657"/>
      <c r="C350" s="102" t="s">
        <v>998</v>
      </c>
      <c r="D350" s="983" t="s">
        <v>997</v>
      </c>
      <c r="E350" s="32" t="s">
        <v>748</v>
      </c>
      <c r="F350" s="32" t="s">
        <v>749</v>
      </c>
      <c r="G350" s="32" t="s">
        <v>750</v>
      </c>
      <c r="H350" s="1620" t="s">
        <v>306</v>
      </c>
      <c r="I350" s="43" t="s">
        <v>307</v>
      </c>
      <c r="J350" s="43" t="s">
        <v>308</v>
      </c>
      <c r="K350" s="43" t="s">
        <v>413</v>
      </c>
      <c r="L350" s="43" t="s">
        <v>388</v>
      </c>
      <c r="M350" s="43" t="s">
        <v>389</v>
      </c>
      <c r="N350" s="1621" t="s">
        <v>390</v>
      </c>
      <c r="O350" s="1620" t="s">
        <v>306</v>
      </c>
      <c r="P350" s="43" t="s">
        <v>307</v>
      </c>
      <c r="Q350" s="1621" t="s">
        <v>308</v>
      </c>
      <c r="R350" s="1620" t="s">
        <v>306</v>
      </c>
      <c r="S350" s="43" t="s">
        <v>307</v>
      </c>
      <c r="T350" s="1621" t="s">
        <v>308</v>
      </c>
      <c r="U350" s="818"/>
      <c r="V350" s="955" t="s">
        <v>928</v>
      </c>
      <c r="W350" s="1391" t="s">
        <v>734</v>
      </c>
      <c r="X350" s="955" t="s">
        <v>928</v>
      </c>
      <c r="Y350" s="1395" t="s">
        <v>733</v>
      </c>
      <c r="Z350" s="955"/>
      <c r="AA350" s="1399" t="s">
        <v>735</v>
      </c>
      <c r="AC350" s="970" t="s">
        <v>734</v>
      </c>
      <c r="AD350" s="971" t="s">
        <v>946</v>
      </c>
      <c r="AE350" s="970" t="s">
        <v>733</v>
      </c>
      <c r="AF350" s="971" t="s">
        <v>947</v>
      </c>
      <c r="AG350" s="970" t="s">
        <v>735</v>
      </c>
      <c r="AH350" s="971" t="s">
        <v>948</v>
      </c>
    </row>
    <row r="351" spans="1:34" ht="26" x14ac:dyDescent="0.3">
      <c r="A351" s="657"/>
      <c r="B351" s="414"/>
      <c r="C351" s="26"/>
      <c r="D351" s="101"/>
      <c r="E351" s="790"/>
      <c r="F351" s="789"/>
      <c r="G351" s="790"/>
      <c r="H351" s="1647"/>
      <c r="I351" s="1648"/>
      <c r="J351" s="45"/>
      <c r="K351" s="45"/>
      <c r="L351" s="45"/>
      <c r="M351" s="45"/>
      <c r="N351" s="1623"/>
      <c r="O351" s="1622"/>
      <c r="P351" s="1615"/>
      <c r="Q351" s="1623"/>
      <c r="R351" s="1622"/>
      <c r="S351" s="1615"/>
      <c r="T351" s="1623"/>
      <c r="U351" s="931"/>
      <c r="V351" s="1403"/>
      <c r="W351" s="1422">
        <v>11</v>
      </c>
      <c r="X351" s="1405"/>
      <c r="Y351" s="1408">
        <v>4</v>
      </c>
      <c r="Z351" s="1405"/>
      <c r="AA351" s="1415">
        <v>4</v>
      </c>
      <c r="AC351" s="958"/>
      <c r="AD351" s="959"/>
      <c r="AE351" s="958"/>
      <c r="AF351" s="959"/>
      <c r="AG351" s="958"/>
      <c r="AH351" s="959"/>
    </row>
    <row r="352" spans="1:34" ht="26" x14ac:dyDescent="0.3">
      <c r="A352" s="657"/>
      <c r="B352" s="414"/>
      <c r="C352" s="26"/>
      <c r="D352" s="101"/>
      <c r="E352" s="790"/>
      <c r="F352" s="789"/>
      <c r="G352" s="790"/>
      <c r="H352" s="1647"/>
      <c r="I352" s="1648"/>
      <c r="J352" s="45"/>
      <c r="K352" s="45"/>
      <c r="L352" s="45"/>
      <c r="M352" s="45"/>
      <c r="N352" s="1623"/>
      <c r="O352" s="1647"/>
      <c r="P352" s="1648"/>
      <c r="Q352" s="1623"/>
      <c r="R352" s="1647"/>
      <c r="S352" s="1648"/>
      <c r="T352" s="1623"/>
      <c r="U352" s="931"/>
      <c r="V352" s="1406" t="s">
        <v>943</v>
      </c>
      <c r="W352" s="1425">
        <v>11</v>
      </c>
      <c r="X352" s="1426"/>
      <c r="Y352" s="1427">
        <v>11</v>
      </c>
      <c r="Z352" s="1426"/>
      <c r="AA352" s="1421">
        <v>11</v>
      </c>
      <c r="AC352" s="960"/>
      <c r="AD352" s="961"/>
      <c r="AE352" s="960"/>
      <c r="AF352" s="961"/>
      <c r="AG352" s="960"/>
      <c r="AH352" s="961"/>
    </row>
    <row r="353" spans="1:34" ht="26" x14ac:dyDescent="0.3">
      <c r="A353" s="657"/>
      <c r="B353" s="792"/>
      <c r="C353" s="793"/>
      <c r="D353" s="794"/>
      <c r="E353" s="795"/>
      <c r="F353" s="795"/>
      <c r="G353" s="795"/>
      <c r="H353" s="1624"/>
      <c r="I353" s="796"/>
      <c r="J353" s="797"/>
      <c r="K353" s="45"/>
      <c r="L353" s="45"/>
      <c r="M353" s="45"/>
      <c r="N353" s="1623"/>
      <c r="O353" s="1624"/>
      <c r="P353" s="796"/>
      <c r="Q353" s="1637"/>
      <c r="R353" s="1624"/>
      <c r="S353" s="796"/>
      <c r="T353" s="1637"/>
      <c r="U353" s="931"/>
      <c r="V353" s="931" t="s">
        <v>943</v>
      </c>
      <c r="W353" s="1392"/>
      <c r="X353" s="8"/>
      <c r="Y353" s="1397"/>
      <c r="Z353" s="8"/>
      <c r="AA353" s="1400"/>
      <c r="AC353" s="960"/>
      <c r="AD353" s="961"/>
      <c r="AE353" s="960"/>
      <c r="AF353" s="961"/>
      <c r="AG353" s="960"/>
      <c r="AH353" s="961"/>
    </row>
    <row r="354" spans="1:34" ht="26" x14ac:dyDescent="0.3">
      <c r="A354" s="657"/>
      <c r="B354" s="52"/>
      <c r="C354" s="26"/>
      <c r="D354" s="101"/>
      <c r="E354" s="790"/>
      <c r="F354" s="789"/>
      <c r="G354" s="790"/>
      <c r="H354" s="1622"/>
      <c r="I354" s="1615"/>
      <c r="J354" s="45"/>
      <c r="K354" s="45"/>
      <c r="L354" s="45"/>
      <c r="M354" s="45"/>
      <c r="N354" s="1623"/>
      <c r="O354" s="1647"/>
      <c r="P354" s="1648"/>
      <c r="Q354" s="1623"/>
      <c r="R354" s="1622"/>
      <c r="S354" s="1615"/>
      <c r="T354" s="1623"/>
      <c r="U354" s="931"/>
      <c r="V354" s="1403"/>
      <c r="W354" s="1404">
        <v>7</v>
      </c>
      <c r="X354" s="1405"/>
      <c r="Y354" s="1424">
        <v>11</v>
      </c>
      <c r="Z354" s="1405"/>
      <c r="AA354" s="1416">
        <v>11</v>
      </c>
      <c r="AC354" s="960"/>
      <c r="AD354" s="961"/>
      <c r="AE354" s="960"/>
      <c r="AF354" s="961"/>
      <c r="AG354" s="960"/>
      <c r="AH354" s="961"/>
    </row>
    <row r="355" spans="1:34" ht="26" x14ac:dyDescent="0.3">
      <c r="A355" s="657"/>
      <c r="B355" s="22"/>
      <c r="C355" s="767"/>
      <c r="D355" s="101"/>
      <c r="E355" s="790"/>
      <c r="F355" s="789"/>
      <c r="G355" s="790"/>
      <c r="H355" s="1622"/>
      <c r="I355" s="1615"/>
      <c r="J355" s="45"/>
      <c r="K355" s="45"/>
      <c r="L355" s="45"/>
      <c r="M355" s="45"/>
      <c r="N355" s="1623"/>
      <c r="O355" s="1647"/>
      <c r="P355" s="1648"/>
      <c r="Q355" s="1623"/>
      <c r="R355" s="1622"/>
      <c r="S355" s="1615"/>
      <c r="T355" s="1623"/>
      <c r="U355" s="931"/>
      <c r="V355" s="1410"/>
      <c r="W355" s="1392"/>
      <c r="X355" s="8"/>
      <c r="Y355" s="1430"/>
      <c r="Z355" s="8"/>
      <c r="AA355" s="1432"/>
      <c r="AC355" s="960"/>
      <c r="AD355" s="961"/>
      <c r="AE355" s="960"/>
      <c r="AF355" s="961"/>
      <c r="AG355" s="960"/>
      <c r="AH355" s="961"/>
    </row>
    <row r="356" spans="1:34" ht="26" x14ac:dyDescent="0.3">
      <c r="A356" s="657"/>
      <c r="B356" s="22"/>
      <c r="C356" s="767"/>
      <c r="D356" s="62"/>
      <c r="E356" s="790"/>
      <c r="F356" s="789"/>
      <c r="G356" s="790"/>
      <c r="H356" s="1622"/>
      <c r="I356" s="1615"/>
      <c r="J356" s="45"/>
      <c r="K356" s="45"/>
      <c r="L356" s="45"/>
      <c r="M356" s="45"/>
      <c r="N356" s="1623"/>
      <c r="O356" s="1647"/>
      <c r="P356" s="1648"/>
      <c r="Q356" s="1623"/>
      <c r="R356" s="1622"/>
      <c r="S356" s="1615"/>
      <c r="T356" s="1623"/>
      <c r="U356" s="931"/>
      <c r="V356" s="1406" t="s">
        <v>943</v>
      </c>
      <c r="W356" s="1425">
        <v>11</v>
      </c>
      <c r="X356" s="1426"/>
      <c r="Y356" s="1427">
        <v>11</v>
      </c>
      <c r="Z356" s="1426"/>
      <c r="AA356" s="1421">
        <v>11</v>
      </c>
      <c r="AC356" s="960"/>
      <c r="AD356" s="961"/>
      <c r="AE356" s="960"/>
      <c r="AF356" s="961"/>
      <c r="AG356" s="960"/>
      <c r="AH356" s="961"/>
    </row>
    <row r="357" spans="1:34" ht="27" thickBot="1" x14ac:dyDescent="0.35">
      <c r="A357" s="657"/>
      <c r="B357" s="798"/>
      <c r="C357" s="799"/>
      <c r="D357" s="800"/>
      <c r="E357" s="801"/>
      <c r="F357" s="801"/>
      <c r="G357" s="801"/>
      <c r="H357" s="1625"/>
      <c r="I357" s="802"/>
      <c r="J357" s="803"/>
      <c r="K357" s="45"/>
      <c r="L357" s="45"/>
      <c r="M357" s="45"/>
      <c r="N357" s="1623"/>
      <c r="O357" s="1625"/>
      <c r="P357" s="802"/>
      <c r="Q357" s="1638"/>
      <c r="R357" s="1625"/>
      <c r="S357" s="802"/>
      <c r="T357" s="1638"/>
      <c r="U357" s="931"/>
      <c r="V357" s="931"/>
      <c r="W357" s="1392"/>
      <c r="X357" s="8"/>
      <c r="Y357" s="1397"/>
      <c r="Z357" s="8"/>
      <c r="AA357" s="1400"/>
      <c r="AC357" s="960"/>
      <c r="AD357" s="961"/>
      <c r="AE357" s="960"/>
      <c r="AF357" s="961"/>
      <c r="AG357" s="960"/>
      <c r="AH357" s="961"/>
    </row>
    <row r="358" spans="1:34" ht="35" thickBot="1" x14ac:dyDescent="0.35">
      <c r="A358" s="657"/>
      <c r="B358" s="804" t="s">
        <v>754</v>
      </c>
      <c r="C358" s="805"/>
      <c r="D358" s="805">
        <f>IF(G358=G353,D353,D357)</f>
        <v>0</v>
      </c>
      <c r="E358" s="806"/>
      <c r="F358" s="806"/>
      <c r="G358" s="806">
        <f>IF(AND(J354=TRUE,J357=FALSE),G354,IF(AND(J354=FALSE,J357=TRUE),G357,IF(AND(J354=TRUE,J357=TRUE),G354+G357,MAX(G354,G357))))</f>
        <v>0</v>
      </c>
      <c r="H358" s="1626"/>
      <c r="I358" s="807"/>
      <c r="J358" s="808" t="b">
        <f>IF(AND(J353=FALSE,J357=FALSE),FALSE,TRUE)</f>
        <v>0</v>
      </c>
      <c r="K358" s="1610"/>
      <c r="L358" s="1610"/>
      <c r="M358" s="1610"/>
      <c r="N358" s="1627"/>
      <c r="O358" s="1626"/>
      <c r="P358" s="807"/>
      <c r="Q358" s="808" t="b">
        <f>IF(AND(Q353=FALSE,Q357=FALSE),FALSE,TRUE)</f>
        <v>0</v>
      </c>
      <c r="R358" s="1626"/>
      <c r="S358" s="807"/>
      <c r="T358" s="808" t="b">
        <f>IF(AND(T353=FALSE,T357=FALSE),FALSE,TRUE)</f>
        <v>0</v>
      </c>
      <c r="U358" s="931"/>
      <c r="V358" s="931" t="s">
        <v>942</v>
      </c>
      <c r="W358" s="1392"/>
      <c r="X358" s="8"/>
      <c r="Y358" s="1397"/>
      <c r="Z358" s="8"/>
      <c r="AA358" s="1400"/>
      <c r="AC358" s="960" t="str">
        <f>IF(J358=TRUE,"V","F")</f>
        <v>F</v>
      </c>
      <c r="AD358" s="961"/>
      <c r="AE358" s="960" t="str">
        <f>IF(Q358=TRUE,"V","F")</f>
        <v>F</v>
      </c>
      <c r="AF358" s="961"/>
      <c r="AG358" s="960" t="str">
        <f>IF(T358=TRUE,"V","F")</f>
        <v>F</v>
      </c>
      <c r="AH358" s="961"/>
    </row>
    <row r="359" spans="1:34" ht="68" x14ac:dyDescent="0.3">
      <c r="A359" s="657"/>
      <c r="B359" s="313" t="str">
        <f>'CPTS indépendants'!K32</f>
        <v>E05</v>
      </c>
      <c r="C359" s="26" t="str">
        <f>Test_Bible!B304</f>
        <v>Votre enfant connait des informations personnelles ou intimes sur vous dont vous n'avez jamais discuté avec lui ou avec elle.</v>
      </c>
      <c r="D359" s="101" t="s">
        <v>798</v>
      </c>
      <c r="E359" s="790">
        <f>Test_Bible!P304</f>
        <v>4</v>
      </c>
      <c r="F359" s="789">
        <f>Test_Bible!D304</f>
        <v>2</v>
      </c>
      <c r="G359" s="790">
        <f>Test_Bible!Q304</f>
        <v>8</v>
      </c>
      <c r="H359" s="1622">
        <v>4</v>
      </c>
      <c r="I359" s="1615">
        <v>10</v>
      </c>
      <c r="J359" s="45" t="b">
        <f>IF(AND(E359&gt;=H359,E359&lt;=I359),TRUE,FALSE)</f>
        <v>1</v>
      </c>
      <c r="K359" s="45"/>
      <c r="L359" s="45"/>
      <c r="M359" s="45"/>
      <c r="N359" s="1623"/>
      <c r="O359" s="1647">
        <v>11</v>
      </c>
      <c r="P359" s="1648">
        <v>11</v>
      </c>
      <c r="Q359" s="1623" t="b">
        <f>IF(AND(E359&gt;=O359,E359&lt;=P359),TRUE,FALSE)</f>
        <v>0</v>
      </c>
      <c r="R359" s="1622"/>
      <c r="S359" s="1615"/>
      <c r="T359" s="1623"/>
      <c r="U359" s="931"/>
      <c r="V359" s="1403"/>
      <c r="W359" s="1404">
        <v>4</v>
      </c>
      <c r="X359" s="1405"/>
      <c r="Y359" s="1408">
        <v>4</v>
      </c>
      <c r="Z359" s="1405"/>
      <c r="AA359" s="1416">
        <v>11</v>
      </c>
      <c r="AC359" s="960" t="s">
        <v>945</v>
      </c>
      <c r="AD359" s="961"/>
      <c r="AE359" s="960"/>
      <c r="AF359" s="961"/>
      <c r="AG359" s="960"/>
      <c r="AH359" s="961"/>
    </row>
    <row r="360" spans="1:34" ht="26" x14ac:dyDescent="0.3">
      <c r="A360" s="657"/>
      <c r="B360" s="313">
        <f>'CPTS indépendants'!K49</f>
        <v>0</v>
      </c>
      <c r="C360" s="26" t="str">
        <f>Test_Bible!B290</f>
        <v>Votre enfant demande à modifier les horaires de garde et de visite.</v>
      </c>
      <c r="D360" s="101"/>
      <c r="E360" s="790">
        <f>Test_Bible!P290</f>
        <v>2</v>
      </c>
      <c r="F360" s="789">
        <f>Test_Bible!D290</f>
        <v>2</v>
      </c>
      <c r="G360" s="790">
        <f>Test_Bible!Q290</f>
        <v>4</v>
      </c>
      <c r="H360" s="1622">
        <v>4</v>
      </c>
      <c r="I360" s="1615">
        <v>10</v>
      </c>
      <c r="J360" s="45" t="b">
        <f t="shared" ref="J360:J362" si="2">IF(AND(E360&gt;=H360,E360&lt;=I360),TRUE,FALSE)</f>
        <v>0</v>
      </c>
      <c r="K360" s="45"/>
      <c r="L360" s="45"/>
      <c r="M360" s="45"/>
      <c r="N360" s="1623"/>
      <c r="O360" s="1647">
        <v>11</v>
      </c>
      <c r="P360" s="1648">
        <v>11</v>
      </c>
      <c r="Q360" s="1623" t="b">
        <f t="shared" ref="Q360:Q362" si="3">IF(AND(E360&gt;=O360,E360&lt;=P360),TRUE,FALSE)</f>
        <v>0</v>
      </c>
      <c r="R360" s="1622"/>
      <c r="S360" s="1615"/>
      <c r="T360" s="1623"/>
      <c r="U360" s="931"/>
      <c r="V360" s="1410"/>
      <c r="W360" s="1392"/>
      <c r="X360" s="8"/>
      <c r="Y360" s="1397"/>
      <c r="Z360" s="8"/>
      <c r="AA360" s="1432"/>
      <c r="AC360" s="960"/>
      <c r="AD360" s="961"/>
      <c r="AE360" s="960"/>
      <c r="AF360" s="961"/>
      <c r="AG360" s="960"/>
      <c r="AH360" s="961"/>
    </row>
    <row r="361" spans="1:34" ht="26" x14ac:dyDescent="0.3">
      <c r="A361" s="657"/>
      <c r="B361" s="313"/>
      <c r="C361" s="26"/>
      <c r="D361" s="101"/>
      <c r="E361" s="790"/>
      <c r="F361" s="789"/>
      <c r="G361" s="790"/>
      <c r="H361" s="1622"/>
      <c r="I361" s="1615"/>
      <c r="J361" s="45"/>
      <c r="K361" s="45"/>
      <c r="L361" s="45"/>
      <c r="M361" s="45"/>
      <c r="N361" s="1623"/>
      <c r="O361" s="1647"/>
      <c r="P361" s="1648"/>
      <c r="Q361" s="1623"/>
      <c r="R361" s="1622"/>
      <c r="S361" s="1615"/>
      <c r="T361" s="1623"/>
      <c r="U361" s="931"/>
      <c r="V361" s="1410"/>
      <c r="W361" s="1392"/>
      <c r="X361" s="8"/>
      <c r="Y361" s="1397"/>
      <c r="Z361" s="8"/>
      <c r="AA361" s="1432"/>
      <c r="AC361" s="960"/>
      <c r="AD361" s="961"/>
      <c r="AE361" s="960"/>
      <c r="AF361" s="961"/>
      <c r="AG361" s="960"/>
      <c r="AH361" s="961"/>
    </row>
    <row r="362" spans="1:34" ht="35" thickBot="1" x14ac:dyDescent="0.35">
      <c r="A362" s="657"/>
      <c r="B362" s="313">
        <f>'CPTS indépendants'!K50</f>
        <v>0</v>
      </c>
      <c r="C362" s="26" t="str">
        <f>Test_Bible!B291</f>
        <v>Dans quel contexte votre enfant demande-t-il ou elle à changer les horaires de garde et de visite chez l'un et l'autre des parents ?</v>
      </c>
      <c r="D362" s="101"/>
      <c r="E362" s="790">
        <f>Test_Bible!P292</f>
        <v>1</v>
      </c>
      <c r="F362" s="789">
        <f>Test_Bible!E292</f>
        <v>1</v>
      </c>
      <c r="G362" s="790">
        <f>Test_Bible!Q292</f>
        <v>0</v>
      </c>
      <c r="H362" s="1622">
        <v>4</v>
      </c>
      <c r="I362" s="1615">
        <v>10</v>
      </c>
      <c r="J362" s="45" t="b">
        <f t="shared" si="2"/>
        <v>0</v>
      </c>
      <c r="K362" s="45"/>
      <c r="L362" s="45"/>
      <c r="M362" s="45"/>
      <c r="N362" s="1623"/>
      <c r="O362" s="1647">
        <v>11</v>
      </c>
      <c r="P362" s="1648">
        <v>11</v>
      </c>
      <c r="Q362" s="1623" t="b">
        <f t="shared" si="3"/>
        <v>0</v>
      </c>
      <c r="R362" s="1647"/>
      <c r="S362" s="1648"/>
      <c r="T362" s="1623"/>
      <c r="U362" s="931"/>
      <c r="V362" s="1406" t="s">
        <v>943</v>
      </c>
      <c r="W362" s="1425">
        <v>11</v>
      </c>
      <c r="X362" s="1426"/>
      <c r="Y362" s="1427">
        <v>11</v>
      </c>
      <c r="Z362" s="1426"/>
      <c r="AA362" s="1421">
        <v>11</v>
      </c>
      <c r="AC362" s="960"/>
      <c r="AD362" s="961"/>
      <c r="AE362" s="960"/>
      <c r="AF362" s="961"/>
      <c r="AG362" s="960"/>
      <c r="AH362" s="961"/>
    </row>
    <row r="363" spans="1:34" ht="69" thickBot="1" x14ac:dyDescent="0.35">
      <c r="A363" s="657"/>
      <c r="B363" s="809" t="s">
        <v>747</v>
      </c>
      <c r="C363" s="810" t="str">
        <f>_xlfn.XLOOKUP(G363,G359:G362,C359:C362)</f>
        <v>Votre enfant connait des informations personnelles ou intimes sur vous dont vous n'avez jamais discuté avec lui ou avec elle.</v>
      </c>
      <c r="D363" s="810" t="str">
        <f>_xlfn.XLOOKUP(G363,G359:G362,D359:D362)</f>
        <v>a la responsabilité de communiquer les informations concernant la logistique familiale</v>
      </c>
      <c r="E363" s="811"/>
      <c r="F363" s="811"/>
      <c r="G363" s="811">
        <f>IF(AND(J359=TRUE,J362=FALSE),G359,IF(AND(J359=FALSE,J362=TRUE),G362,MAX(G359,G362)))</f>
        <v>8</v>
      </c>
      <c r="H363" s="1628"/>
      <c r="I363" s="812"/>
      <c r="J363" s="813" t="b">
        <f>IF(AND(J359=FALSE,J362=FALSE),FALSE,TRUE)</f>
        <v>1</v>
      </c>
      <c r="K363" s="1611"/>
      <c r="L363" s="1611"/>
      <c r="M363" s="1611"/>
      <c r="N363" s="1629"/>
      <c r="O363" s="1628"/>
      <c r="P363" s="812"/>
      <c r="Q363" s="813" t="b">
        <f>IF(AND(Q359=FALSE,Q362=FALSE),FALSE,TRUE)</f>
        <v>0</v>
      </c>
      <c r="R363" s="1628"/>
      <c r="S363" s="812"/>
      <c r="T363" s="813"/>
      <c r="U363" s="931"/>
      <c r="V363" s="931"/>
      <c r="W363" s="1394"/>
      <c r="Y363" s="1398"/>
      <c r="AA363" s="1402"/>
      <c r="AC363" s="960" t="str">
        <f>IF(J363=TRUE,"V","F")</f>
        <v>V</v>
      </c>
      <c r="AD363" s="961"/>
      <c r="AE363" s="960" t="str">
        <f>IF(Q363=TRUE,"V","F")</f>
        <v>F</v>
      </c>
      <c r="AF363" s="961"/>
      <c r="AG363" s="960"/>
      <c r="AH363" s="961"/>
    </row>
    <row r="364" spans="1:34" ht="340" x14ac:dyDescent="0.3">
      <c r="A364" s="657"/>
      <c r="C364" s="421" t="s">
        <v>310</v>
      </c>
      <c r="D364" s="785"/>
      <c r="E364" s="474" t="s">
        <v>398</v>
      </c>
      <c r="F364" s="47"/>
      <c r="G364" s="47">
        <f>G353+G357+G363</f>
        <v>8</v>
      </c>
      <c r="H364" s="1630"/>
      <c r="I364" s="475"/>
      <c r="J364" s="1613"/>
      <c r="K364" s="1614" t="str">
        <f>IF(AND(J363=TRUE,J358=TRUE),D363,"")</f>
        <v/>
      </c>
      <c r="L364" s="1614" t="str">
        <f>IF(AND(J358=TRUE,J363=FALSE),"Bien que le parent "&amp;D358&amp;" l'enfant ne semble pas s'ingérer","")</f>
        <v/>
      </c>
      <c r="M364" s="1614" t="str">
        <f>IF(AND(J358=FALSE,J363=TRUE),D363&amp;" sans signe de la participation du parent favorisé et|ou nouveau conjoint.e","")</f>
        <v>a la responsabilité de communiquer les informations concernant la logistique familiale sans signe de la participation du parent favorisé et|ou nouveau conjoint.e</v>
      </c>
      <c r="N364" s="1631" t="str">
        <f>IF(AND(J358=FALSE,J363=FALSE),"aucun comportement significatif de cette nature","")</f>
        <v/>
      </c>
      <c r="O364" s="1630"/>
      <c r="P364" s="475"/>
      <c r="Q364" s="1639"/>
      <c r="R364" s="1630"/>
      <c r="S364" s="475"/>
      <c r="T364" s="1639"/>
      <c r="U364" s="170"/>
      <c r="V364" s="170"/>
      <c r="W364" s="1394"/>
      <c r="Y364" s="1398"/>
      <c r="AA364" s="1402"/>
      <c r="AC364" s="962"/>
      <c r="AD364" s="963">
        <f>IF(AND(AC358="V",AC363="V"),2,IF(OR(AC358="V",AC363="V"),1,0))</f>
        <v>1</v>
      </c>
      <c r="AE364" s="962"/>
      <c r="AF364" s="963">
        <f>IF(OR(AE358="V",AE363="V"),1,0)</f>
        <v>0</v>
      </c>
      <c r="AG364" s="962"/>
      <c r="AH364" s="963"/>
    </row>
    <row r="365" spans="1:34" ht="26" x14ac:dyDescent="0.3">
      <c r="A365" s="657"/>
      <c r="B365" t="s">
        <v>243</v>
      </c>
      <c r="H365" s="146"/>
      <c r="K365" s="46"/>
      <c r="L365" s="46"/>
      <c r="M365" s="46"/>
      <c r="N365" s="1652"/>
      <c r="O365" s="146"/>
      <c r="Q365" s="326"/>
      <c r="R365" s="146"/>
      <c r="T365" s="326"/>
      <c r="U365" s="46"/>
      <c r="AC365" s="960"/>
      <c r="AD365" s="961"/>
      <c r="AE365" s="960"/>
      <c r="AF365" s="961"/>
      <c r="AG365" s="960"/>
      <c r="AH365" s="961"/>
    </row>
    <row r="366" spans="1:34" ht="26" x14ac:dyDescent="0.3">
      <c r="A366" s="657"/>
      <c r="B366" s="964"/>
      <c r="C366" s="965"/>
      <c r="D366" s="965"/>
      <c r="E366" s="973"/>
      <c r="F366" s="973"/>
      <c r="G366" s="973"/>
      <c r="H366" s="1647"/>
      <c r="I366" s="1648"/>
      <c r="J366" s="45"/>
      <c r="K366" s="32"/>
      <c r="L366" s="32"/>
      <c r="M366" s="32"/>
      <c r="N366" s="1632"/>
      <c r="O366" s="1622"/>
      <c r="P366" s="1615"/>
      <c r="Q366" s="1623"/>
      <c r="R366" s="1622"/>
      <c r="S366" s="1615"/>
      <c r="T366" s="1623"/>
      <c r="U366" s="46"/>
      <c r="V366" s="1428"/>
      <c r="W366" s="1422">
        <v>11</v>
      </c>
      <c r="X366" s="1423"/>
      <c r="Y366" s="1408">
        <v>4</v>
      </c>
      <c r="Z366" s="1405"/>
      <c r="AA366" s="1415">
        <v>4</v>
      </c>
      <c r="AC366" s="960"/>
      <c r="AD366" s="961"/>
      <c r="AE366" s="960"/>
      <c r="AF366" s="961"/>
      <c r="AG366" s="960"/>
      <c r="AH366" s="961"/>
    </row>
    <row r="367" spans="1:34" ht="27" thickBot="1" x14ac:dyDescent="0.35">
      <c r="A367" s="657"/>
      <c r="B367" s="964"/>
      <c r="C367" s="972"/>
      <c r="D367" s="965"/>
      <c r="E367" s="973"/>
      <c r="F367" s="973"/>
      <c r="G367" s="973"/>
      <c r="H367" s="1647"/>
      <c r="I367" s="1648"/>
      <c r="J367" s="45"/>
      <c r="K367" s="32"/>
      <c r="L367" s="32"/>
      <c r="M367" s="32"/>
      <c r="N367" s="1632"/>
      <c r="O367" s="1647"/>
      <c r="P367" s="1648"/>
      <c r="Q367" s="1623"/>
      <c r="R367" s="1647"/>
      <c r="S367" s="1648"/>
      <c r="T367" s="1623"/>
      <c r="V367" s="1429"/>
      <c r="W367" s="1425">
        <v>11</v>
      </c>
      <c r="X367" s="1426"/>
      <c r="Y367" s="1427">
        <v>11</v>
      </c>
      <c r="Z367" s="1426"/>
      <c r="AA367" s="1421">
        <v>11</v>
      </c>
      <c r="AC367" s="960"/>
      <c r="AD367" s="961"/>
      <c r="AE367" s="960"/>
      <c r="AF367" s="961"/>
      <c r="AG367" s="960"/>
      <c r="AH367" s="961"/>
    </row>
    <row r="368" spans="1:34" ht="27" thickBot="1" x14ac:dyDescent="0.35">
      <c r="A368" s="657"/>
      <c r="C368" s="16"/>
      <c r="D368" s="16"/>
      <c r="E368" s="89"/>
      <c r="F368" s="473"/>
      <c r="G368" s="473"/>
      <c r="H368" s="1644"/>
      <c r="I368" s="1645"/>
      <c r="J368" s="1651" t="b">
        <f>IF(AND(J366=FALSE,J367=FALSE),FALSE,TRUE)</f>
        <v>0</v>
      </c>
      <c r="K368" s="1633"/>
      <c r="L368" s="1634"/>
      <c r="M368" s="1634"/>
      <c r="N368" s="1635"/>
      <c r="O368" s="1644"/>
      <c r="P368" s="1645"/>
      <c r="Q368" s="1651" t="b">
        <f>IF(AND(Q366=FALSE,Q367=FALSE),FALSE,TRUE)</f>
        <v>0</v>
      </c>
      <c r="R368" s="1656"/>
      <c r="S368" s="1657"/>
      <c r="T368" s="1658" t="b">
        <f>IF(AND(T366=FALSE,T367=FALSE),FALSE,TRUE)</f>
        <v>0</v>
      </c>
      <c r="U368" s="933"/>
      <c r="AC368" s="1564" t="str">
        <f>IF(J368=TRUE,"V","F")</f>
        <v>F</v>
      </c>
      <c r="AD368" s="1565"/>
      <c r="AE368" s="1564" t="str">
        <f>IF(Q368=TRUE,"V","F")</f>
        <v>F</v>
      </c>
      <c r="AF368" s="1565"/>
      <c r="AG368" s="1564" t="str">
        <f>IF(T368=TRUE,"V","F")</f>
        <v>F</v>
      </c>
      <c r="AH368" s="1565"/>
    </row>
    <row r="369" spans="1:34" ht="26" x14ac:dyDescent="0.3">
      <c r="A369" s="657"/>
      <c r="C369" s="16"/>
      <c r="D369" s="16"/>
      <c r="E369" s="89"/>
      <c r="F369" s="473"/>
      <c r="G369" s="473"/>
      <c r="H369" s="8"/>
      <c r="I369" s="8"/>
      <c r="J369" s="932"/>
      <c r="K369" s="933"/>
      <c r="L369" s="933"/>
      <c r="M369" s="933"/>
      <c r="N369" s="933"/>
      <c r="O369" s="933"/>
      <c r="P369" s="933"/>
      <c r="Q369" s="933"/>
      <c r="R369" s="933"/>
      <c r="S369" s="933"/>
      <c r="T369" s="933"/>
      <c r="U369" s="933"/>
      <c r="V369" s="933"/>
      <c r="AC369" s="1649"/>
      <c r="AD369" s="1650">
        <f>IF(AND(AC368="V",AC358="V"),AD364-1,AD364)</f>
        <v>1</v>
      </c>
      <c r="AE369" s="1649"/>
      <c r="AF369" s="1650">
        <f>IF(OR(AE358="V",AE363="V",AE368="V"),1,0)</f>
        <v>0</v>
      </c>
      <c r="AG369" s="1649"/>
      <c r="AH369" s="1650">
        <f>IF(AG358="V",1,IF(AG368="V",1,0))</f>
        <v>0</v>
      </c>
    </row>
  </sheetData>
  <mergeCells count="70">
    <mergeCell ref="AI1:AK1"/>
    <mergeCell ref="H303:J303"/>
    <mergeCell ref="K303:N303"/>
    <mergeCell ref="O303:Q303"/>
    <mergeCell ref="R303:T303"/>
    <mergeCell ref="H283:J283"/>
    <mergeCell ref="K283:N283"/>
    <mergeCell ref="O283:Q283"/>
    <mergeCell ref="R283:T283"/>
    <mergeCell ref="H243:J243"/>
    <mergeCell ref="K243:N243"/>
    <mergeCell ref="O243:Q243"/>
    <mergeCell ref="R243:T243"/>
    <mergeCell ref="H263:J263"/>
    <mergeCell ref="K263:N263"/>
    <mergeCell ref="O263:Q263"/>
    <mergeCell ref="R263:T263"/>
    <mergeCell ref="H203:J203"/>
    <mergeCell ref="K203:N203"/>
    <mergeCell ref="O203:Q203"/>
    <mergeCell ref="R203:T203"/>
    <mergeCell ref="H223:J223"/>
    <mergeCell ref="K223:N223"/>
    <mergeCell ref="O223:Q223"/>
    <mergeCell ref="R223:T223"/>
    <mergeCell ref="H164:J164"/>
    <mergeCell ref="K164:N164"/>
    <mergeCell ref="O164:Q164"/>
    <mergeCell ref="R164:T164"/>
    <mergeCell ref="H182:J182"/>
    <mergeCell ref="K182:N182"/>
    <mergeCell ref="O182:Q182"/>
    <mergeCell ref="R182:T182"/>
    <mergeCell ref="H126:J126"/>
    <mergeCell ref="K126:N126"/>
    <mergeCell ref="O126:Q126"/>
    <mergeCell ref="R126:T126"/>
    <mergeCell ref="H145:J145"/>
    <mergeCell ref="K145:N145"/>
    <mergeCell ref="O145:Q145"/>
    <mergeCell ref="R145:T145"/>
    <mergeCell ref="H88:J88"/>
    <mergeCell ref="K88:N88"/>
    <mergeCell ref="O88:Q88"/>
    <mergeCell ref="R88:T88"/>
    <mergeCell ref="H107:J107"/>
    <mergeCell ref="K107:N107"/>
    <mergeCell ref="O107:Q107"/>
    <mergeCell ref="R107:T107"/>
    <mergeCell ref="H50:J50"/>
    <mergeCell ref="K50:N50"/>
    <mergeCell ref="O50:Q50"/>
    <mergeCell ref="R50:T50"/>
    <mergeCell ref="H69:J69"/>
    <mergeCell ref="K69:N69"/>
    <mergeCell ref="O69:Q69"/>
    <mergeCell ref="R69:T69"/>
    <mergeCell ref="H31:J31"/>
    <mergeCell ref="K31:N31"/>
    <mergeCell ref="O31:Q31"/>
    <mergeCell ref="R31:T31"/>
    <mergeCell ref="E11:I11"/>
    <mergeCell ref="H328:J328"/>
    <mergeCell ref="K328:N328"/>
    <mergeCell ref="O328:Q328"/>
    <mergeCell ref="R328:T328"/>
    <mergeCell ref="H349:J349"/>
    <mergeCell ref="K349:N349"/>
    <mergeCell ref="O349:Q349"/>
    <mergeCell ref="R349:T34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A67C4-EA10-A449-98A6-AD068B262D3A}">
  <sheetPr>
    <pageSetUpPr fitToPage="1"/>
  </sheetPr>
  <dimension ref="A1:AX83"/>
  <sheetViews>
    <sheetView workbookViewId="0"/>
    <sheetView workbookViewId="1"/>
  </sheetViews>
  <sheetFormatPr baseColWidth="10" defaultColWidth="11" defaultRowHeight="16" x14ac:dyDescent="0.2"/>
  <cols>
    <col min="1" max="1" width="14.6640625" customWidth="1"/>
    <col min="2" max="2" width="14.83203125" customWidth="1"/>
    <col min="3" max="3" width="52.83203125" customWidth="1"/>
    <col min="4" max="10" width="15" customWidth="1"/>
    <col min="11" max="11" width="18.6640625" customWidth="1"/>
    <col min="12" max="16" width="15.83203125" customWidth="1"/>
    <col min="17" max="26" width="20" customWidth="1"/>
    <col min="46" max="51" width="22" customWidth="1"/>
  </cols>
  <sheetData>
    <row r="1" spans="2:50" ht="21" x14ac:dyDescent="0.25">
      <c r="B1" s="63" t="s">
        <v>259</v>
      </c>
      <c r="P1" s="643" t="s">
        <v>602</v>
      </c>
      <c r="AM1" s="63" t="s">
        <v>474</v>
      </c>
      <c r="AN1" s="28"/>
      <c r="AO1" s="28"/>
      <c r="AP1" s="28"/>
      <c r="AQ1" s="28"/>
    </row>
    <row r="2" spans="2:50" ht="24" x14ac:dyDescent="0.3">
      <c r="B2" t="s">
        <v>575</v>
      </c>
      <c r="F2" s="563" t="s">
        <v>576</v>
      </c>
      <c r="L2" t="s">
        <v>577</v>
      </c>
      <c r="AN2" s="28"/>
      <c r="AO2" s="28"/>
      <c r="AP2" s="28"/>
      <c r="AQ2" s="28"/>
    </row>
    <row r="3" spans="2:50" x14ac:dyDescent="0.2">
      <c r="D3" t="s">
        <v>513</v>
      </c>
      <c r="E3" t="s">
        <v>514</v>
      </c>
      <c r="F3" t="s">
        <v>515</v>
      </c>
      <c r="G3" t="s">
        <v>516</v>
      </c>
      <c r="H3" t="s">
        <v>517</v>
      </c>
      <c r="I3" t="s">
        <v>578</v>
      </c>
      <c r="M3" t="s">
        <v>513</v>
      </c>
      <c r="N3" t="s">
        <v>514</v>
      </c>
      <c r="O3" t="s">
        <v>515</v>
      </c>
      <c r="P3" t="s">
        <v>516</v>
      </c>
      <c r="Q3" t="s">
        <v>517</v>
      </c>
      <c r="R3" t="s">
        <v>578</v>
      </c>
      <c r="U3" s="3" t="s">
        <v>579</v>
      </c>
      <c r="Y3" s="3" t="s">
        <v>580</v>
      </c>
      <c r="AN3" s="28"/>
      <c r="AO3" s="28"/>
      <c r="AP3" s="28"/>
      <c r="AQ3" s="28"/>
    </row>
    <row r="4" spans="2:50" ht="36" customHeight="1" x14ac:dyDescent="0.3">
      <c r="B4" s="644" t="s">
        <v>581</v>
      </c>
      <c r="C4" s="111"/>
      <c r="D4" s="631">
        <v>0</v>
      </c>
      <c r="E4" s="631">
        <v>1</v>
      </c>
      <c r="F4" s="631">
        <v>2</v>
      </c>
      <c r="G4" s="631">
        <v>4</v>
      </c>
      <c r="H4" s="631">
        <v>7</v>
      </c>
      <c r="I4" s="631">
        <v>10</v>
      </c>
      <c r="L4" s="111"/>
      <c r="M4" s="631">
        <v>0</v>
      </c>
      <c r="N4" s="631">
        <v>1</v>
      </c>
      <c r="O4" s="631">
        <v>2</v>
      </c>
      <c r="P4" s="631">
        <v>4</v>
      </c>
      <c r="Q4" s="631">
        <v>7</v>
      </c>
      <c r="R4" s="631">
        <v>10</v>
      </c>
      <c r="U4" s="17" t="s">
        <v>582</v>
      </c>
      <c r="Y4" t="s">
        <v>583</v>
      </c>
      <c r="AN4" s="2265" t="s">
        <v>260</v>
      </c>
      <c r="AO4" s="2265"/>
      <c r="AP4" s="2265"/>
      <c r="AQ4" s="2265"/>
      <c r="AT4" s="514" t="s">
        <v>468</v>
      </c>
      <c r="AU4" s="514"/>
      <c r="AV4" s="514"/>
      <c r="AW4" s="514"/>
      <c r="AX4" s="514"/>
    </row>
    <row r="5" spans="2:50" ht="36" customHeight="1" x14ac:dyDescent="0.25">
      <c r="B5" s="2" t="s">
        <v>513</v>
      </c>
      <c r="C5" s="631">
        <v>0</v>
      </c>
      <c r="D5" s="632">
        <f t="shared" ref="D5:I5" ca="1" si="0">$D5-D$4</f>
        <v>0</v>
      </c>
      <c r="E5" s="633">
        <f t="shared" ca="1" si="0"/>
        <v>-1</v>
      </c>
      <c r="F5" s="772">
        <f t="shared" ca="1" si="0"/>
        <v>-2</v>
      </c>
      <c r="G5" s="774">
        <f t="shared" ca="1" si="0"/>
        <v>-4</v>
      </c>
      <c r="H5" s="773">
        <f t="shared" ca="1" si="0"/>
        <v>-7</v>
      </c>
      <c r="I5" s="777">
        <f t="shared" ca="1" si="0"/>
        <v>-10</v>
      </c>
      <c r="J5" s="2282" t="s">
        <v>579</v>
      </c>
      <c r="K5" s="2" t="s">
        <v>513</v>
      </c>
      <c r="L5" s="631">
        <v>0</v>
      </c>
      <c r="M5" s="634">
        <f ca="1">$D5-M$4</f>
        <v>0</v>
      </c>
      <c r="N5" s="635" t="s">
        <v>584</v>
      </c>
      <c r="O5" s="781" t="s">
        <v>590</v>
      </c>
      <c r="P5" s="780" t="s">
        <v>593</v>
      </c>
      <c r="Q5" s="779" t="s">
        <v>596</v>
      </c>
      <c r="R5" s="778" t="s">
        <v>585</v>
      </c>
      <c r="S5" s="2282" t="s">
        <v>579</v>
      </c>
      <c r="U5" s="636" t="s">
        <v>586</v>
      </c>
      <c r="Y5" t="s">
        <v>587</v>
      </c>
      <c r="AA5" s="75"/>
      <c r="AN5" s="2292" t="s">
        <v>261</v>
      </c>
      <c r="AO5" s="2292"/>
      <c r="AP5" s="2292"/>
      <c r="AQ5" s="2292"/>
      <c r="AR5" s="68" t="s">
        <v>262</v>
      </c>
      <c r="AS5" s="68"/>
      <c r="AT5" s="2294" t="s">
        <v>262</v>
      </c>
      <c r="AU5" s="2294"/>
      <c r="AV5" s="2294"/>
      <c r="AW5" s="2294"/>
      <c r="AX5" s="2294"/>
    </row>
    <row r="6" spans="2:50" ht="36" customHeight="1" x14ac:dyDescent="0.2">
      <c r="B6" s="2" t="s">
        <v>514</v>
      </c>
      <c r="C6" s="637">
        <v>1</v>
      </c>
      <c r="D6" s="775">
        <f t="shared" ref="D6:I10" ca="1" si="1">$D6-D$4</f>
        <v>1</v>
      </c>
      <c r="E6" s="632">
        <f t="shared" ca="1" si="1"/>
        <v>0</v>
      </c>
      <c r="F6" s="772">
        <f t="shared" ca="1" si="1"/>
        <v>-1</v>
      </c>
      <c r="G6" s="774">
        <f t="shared" ca="1" si="1"/>
        <v>-3</v>
      </c>
      <c r="H6" s="773">
        <f t="shared" ca="1" si="1"/>
        <v>-6</v>
      </c>
      <c r="I6" s="777">
        <f t="shared" ca="1" si="1"/>
        <v>-9</v>
      </c>
      <c r="J6" s="2282"/>
      <c r="K6" s="2" t="s">
        <v>514</v>
      </c>
      <c r="L6" s="637">
        <v>1</v>
      </c>
      <c r="M6" s="635" t="s">
        <v>584</v>
      </c>
      <c r="N6" s="634">
        <f ca="1">$D6-N$4</f>
        <v>0</v>
      </c>
      <c r="O6" s="781" t="s">
        <v>590</v>
      </c>
      <c r="P6" s="780" t="s">
        <v>593</v>
      </c>
      <c r="Q6" s="779" t="s">
        <v>596</v>
      </c>
      <c r="R6" s="778" t="s">
        <v>585</v>
      </c>
      <c r="S6" s="2282"/>
      <c r="U6" s="636" t="s">
        <v>588</v>
      </c>
      <c r="Y6" t="s">
        <v>589</v>
      </c>
      <c r="AA6" s="75"/>
      <c r="AN6" s="29"/>
      <c r="AO6" s="29"/>
      <c r="AP6" s="29"/>
      <c r="AQ6" s="29"/>
      <c r="AR6" t="s">
        <v>263</v>
      </c>
      <c r="AT6" s="79"/>
      <c r="AU6" s="79"/>
      <c r="AV6" s="79" t="s">
        <v>264</v>
      </c>
      <c r="AW6" s="79"/>
      <c r="AX6" s="79"/>
    </row>
    <row r="7" spans="2:50" ht="36" customHeight="1" x14ac:dyDescent="0.2">
      <c r="B7" s="2" t="s">
        <v>515</v>
      </c>
      <c r="C7" s="638">
        <v>2</v>
      </c>
      <c r="D7" s="775">
        <f t="shared" ca="1" si="1"/>
        <v>2</v>
      </c>
      <c r="E7" s="775">
        <f t="shared" ca="1" si="1"/>
        <v>1</v>
      </c>
      <c r="F7" s="632">
        <f t="shared" ca="1" si="1"/>
        <v>0</v>
      </c>
      <c r="G7" s="774">
        <f t="shared" ca="1" si="1"/>
        <v>-2</v>
      </c>
      <c r="H7" s="773">
        <f t="shared" ca="1" si="1"/>
        <v>-5</v>
      </c>
      <c r="I7" s="777">
        <f t="shared" ca="1" si="1"/>
        <v>-8</v>
      </c>
      <c r="J7" s="2282"/>
      <c r="K7" s="2" t="s">
        <v>515</v>
      </c>
      <c r="L7" s="638">
        <v>2</v>
      </c>
      <c r="M7" s="635" t="s">
        <v>590</v>
      </c>
      <c r="N7" s="635" t="s">
        <v>590</v>
      </c>
      <c r="O7" s="634">
        <f ca="1">$D7-O$4</f>
        <v>0</v>
      </c>
      <c r="P7" s="780" t="s">
        <v>593</v>
      </c>
      <c r="Q7" s="779" t="s">
        <v>596</v>
      </c>
      <c r="R7" s="778" t="s">
        <v>585</v>
      </c>
      <c r="S7" s="2282"/>
      <c r="U7" s="17" t="s">
        <v>591</v>
      </c>
      <c r="Y7" t="s">
        <v>592</v>
      </c>
      <c r="AA7" s="75"/>
      <c r="AN7" s="29"/>
      <c r="AO7" s="29"/>
      <c r="AP7" s="29"/>
      <c r="AQ7" s="29"/>
      <c r="AT7" s="81" t="s">
        <v>265</v>
      </c>
      <c r="AU7" s="5"/>
      <c r="AV7" s="81" t="s">
        <v>266</v>
      </c>
      <c r="AW7" s="5"/>
      <c r="AX7" s="81" t="s">
        <v>267</v>
      </c>
    </row>
    <row r="8" spans="2:50" ht="36" customHeight="1" x14ac:dyDescent="0.2">
      <c r="B8" s="70" t="s">
        <v>516</v>
      </c>
      <c r="C8" s="596">
        <v>4</v>
      </c>
      <c r="D8" s="775">
        <f t="shared" ca="1" si="1"/>
        <v>4</v>
      </c>
      <c r="E8" s="775">
        <f t="shared" ca="1" si="1"/>
        <v>3</v>
      </c>
      <c r="F8" s="776">
        <f t="shared" ca="1" si="1"/>
        <v>2</v>
      </c>
      <c r="G8" s="632">
        <f t="shared" ca="1" si="1"/>
        <v>0</v>
      </c>
      <c r="H8" s="773">
        <f t="shared" ca="1" si="1"/>
        <v>-3</v>
      </c>
      <c r="I8" s="777">
        <f t="shared" ca="1" si="1"/>
        <v>-6</v>
      </c>
      <c r="J8" s="2282"/>
      <c r="K8" s="70" t="s">
        <v>516</v>
      </c>
      <c r="L8" s="596">
        <v>4</v>
      </c>
      <c r="M8" s="635" t="s">
        <v>593</v>
      </c>
      <c r="N8" s="635" t="s">
        <v>593</v>
      </c>
      <c r="O8" s="635" t="s">
        <v>590</v>
      </c>
      <c r="P8" s="634">
        <f ca="1">$D8-P$4</f>
        <v>0</v>
      </c>
      <c r="Q8" s="779" t="s">
        <v>596</v>
      </c>
      <c r="R8" s="778" t="s">
        <v>585</v>
      </c>
      <c r="S8" s="2282"/>
      <c r="U8" s="17" t="s">
        <v>594</v>
      </c>
      <c r="AA8" s="75"/>
      <c r="AM8" s="8"/>
      <c r="AN8" s="38" t="s">
        <v>268</v>
      </c>
      <c r="AO8" s="29"/>
      <c r="AP8" s="29"/>
      <c r="AQ8" s="29"/>
    </row>
    <row r="9" spans="2:50" ht="36" customHeight="1" x14ac:dyDescent="0.2">
      <c r="B9" s="70" t="s">
        <v>517</v>
      </c>
      <c r="C9" s="596">
        <v>7</v>
      </c>
      <c r="D9" s="775">
        <f t="shared" ca="1" si="1"/>
        <v>7</v>
      </c>
      <c r="E9" s="775">
        <f t="shared" ca="1" si="1"/>
        <v>6</v>
      </c>
      <c r="F9" s="776">
        <f t="shared" ca="1" si="1"/>
        <v>5</v>
      </c>
      <c r="G9" s="707">
        <f t="shared" ca="1" si="1"/>
        <v>3</v>
      </c>
      <c r="H9" s="632">
        <f t="shared" ca="1" si="1"/>
        <v>0</v>
      </c>
      <c r="I9" s="777">
        <f t="shared" ca="1" si="1"/>
        <v>-3</v>
      </c>
      <c r="J9" s="2282"/>
      <c r="K9" s="70" t="s">
        <v>517</v>
      </c>
      <c r="L9" s="596">
        <v>7</v>
      </c>
      <c r="M9" s="635" t="s">
        <v>595</v>
      </c>
      <c r="N9" s="635" t="s">
        <v>595</v>
      </c>
      <c r="O9" s="635" t="s">
        <v>593</v>
      </c>
      <c r="P9" s="635" t="s">
        <v>590</v>
      </c>
      <c r="Q9" s="634">
        <f ca="1">$D9-Q$4</f>
        <v>0</v>
      </c>
      <c r="R9" s="778" t="s">
        <v>585</v>
      </c>
      <c r="S9" s="2282"/>
      <c r="AA9" s="75"/>
      <c r="AM9" s="8"/>
      <c r="AN9" s="41" t="s">
        <v>269</v>
      </c>
      <c r="AO9" s="33">
        <v>-10</v>
      </c>
      <c r="AP9" s="42">
        <v>-1</v>
      </c>
      <c r="AQ9" s="33"/>
      <c r="AR9" t="s">
        <v>270</v>
      </c>
      <c r="AT9" s="75" t="s">
        <v>360</v>
      </c>
      <c r="AU9" s="75"/>
      <c r="AV9" s="75" t="s">
        <v>271</v>
      </c>
      <c r="AX9" s="82"/>
    </row>
    <row r="10" spans="2:50" ht="36" customHeight="1" x14ac:dyDescent="0.2">
      <c r="B10" s="70" t="s">
        <v>578</v>
      </c>
      <c r="C10" s="596">
        <v>10</v>
      </c>
      <c r="D10" s="775">
        <f t="shared" ca="1" si="1"/>
        <v>10</v>
      </c>
      <c r="E10" s="775">
        <f t="shared" ca="1" si="1"/>
        <v>9</v>
      </c>
      <c r="F10" s="776">
        <f t="shared" ca="1" si="1"/>
        <v>8</v>
      </c>
      <c r="G10" s="707">
        <f t="shared" ca="1" si="1"/>
        <v>6</v>
      </c>
      <c r="H10" s="707">
        <f t="shared" ca="1" si="1"/>
        <v>3</v>
      </c>
      <c r="I10" s="632">
        <f t="shared" ca="1" si="1"/>
        <v>0</v>
      </c>
      <c r="K10" s="70" t="s">
        <v>578</v>
      </c>
      <c r="L10" s="596">
        <v>10</v>
      </c>
      <c r="M10" s="635" t="s">
        <v>596</v>
      </c>
      <c r="N10" s="635" t="s">
        <v>596</v>
      </c>
      <c r="O10" s="635" t="s">
        <v>595</v>
      </c>
      <c r="P10" s="635" t="s">
        <v>593</v>
      </c>
      <c r="Q10" s="635" t="s">
        <v>590</v>
      </c>
      <c r="R10" s="634">
        <f ca="1">$D10-R$4</f>
        <v>0</v>
      </c>
      <c r="AA10" s="75"/>
      <c r="AM10" s="8"/>
      <c r="AN10" s="41"/>
      <c r="AO10" s="33">
        <v>-9</v>
      </c>
      <c r="AP10" s="42">
        <v>-0.9</v>
      </c>
      <c r="AQ10" s="33"/>
      <c r="AT10" s="75" t="s">
        <v>359</v>
      </c>
      <c r="AU10" s="75"/>
      <c r="AV10" s="75" t="s">
        <v>271</v>
      </c>
      <c r="AX10" s="82"/>
    </row>
    <row r="11" spans="2:50" ht="36" customHeight="1" x14ac:dyDescent="0.2">
      <c r="B11" s="70"/>
      <c r="C11" s="8"/>
      <c r="D11" s="2283" t="s">
        <v>597</v>
      </c>
      <c r="E11" s="2283"/>
      <c r="F11" s="2283"/>
      <c r="G11" s="2283"/>
      <c r="H11" s="2283"/>
      <c r="I11" s="639" t="s">
        <v>598</v>
      </c>
      <c r="J11" s="7"/>
      <c r="L11" s="8"/>
      <c r="M11" s="2283" t="s">
        <v>597</v>
      </c>
      <c r="N11" s="2283"/>
      <c r="O11" s="2283"/>
      <c r="P11" s="2283"/>
      <c r="Q11" s="2283"/>
      <c r="S11" s="639" t="s">
        <v>598</v>
      </c>
      <c r="T11" s="7"/>
      <c r="AA11" s="75"/>
      <c r="AM11" s="8"/>
      <c r="AN11" s="39"/>
      <c r="AO11" s="29">
        <v>-8</v>
      </c>
      <c r="AP11" s="30">
        <v>-0.8</v>
      </c>
      <c r="AQ11" s="29"/>
      <c r="AT11" s="75" t="s">
        <v>463</v>
      </c>
      <c r="AU11" s="75"/>
      <c r="AV11" s="75" t="s">
        <v>271</v>
      </c>
      <c r="AX11" s="82"/>
    </row>
    <row r="12" spans="2:50" ht="19" customHeight="1" x14ac:dyDescent="0.2">
      <c r="B12" s="8"/>
      <c r="C12" s="17" t="s">
        <v>599</v>
      </c>
      <c r="D12" s="8"/>
      <c r="E12" s="27"/>
      <c r="F12" s="8"/>
      <c r="AA12" s="75"/>
      <c r="AM12" s="8"/>
      <c r="AN12" s="39"/>
      <c r="AO12" s="29">
        <v>-7</v>
      </c>
      <c r="AP12" s="30">
        <v>-0.7</v>
      </c>
      <c r="AQ12" s="29"/>
      <c r="AT12" s="75" t="s">
        <v>463</v>
      </c>
      <c r="AU12" s="75"/>
      <c r="AV12" s="75" t="s">
        <v>271</v>
      </c>
      <c r="AX12" s="2299" t="s">
        <v>279</v>
      </c>
    </row>
    <row r="13" spans="2:50" ht="19" customHeight="1" x14ac:dyDescent="0.3">
      <c r="B13" s="17" t="s">
        <v>600</v>
      </c>
      <c r="C13" t="s">
        <v>601</v>
      </c>
      <c r="H13" s="563" t="s">
        <v>576</v>
      </c>
      <c r="P13" s="643" t="s">
        <v>602</v>
      </c>
      <c r="AA13" s="75"/>
      <c r="AM13" s="8"/>
      <c r="AN13" s="39"/>
      <c r="AO13" s="29">
        <v>-6</v>
      </c>
      <c r="AP13" s="30">
        <v>-0.6</v>
      </c>
      <c r="AQ13" s="29"/>
      <c r="AT13" s="75" t="s">
        <v>462</v>
      </c>
      <c r="AU13" s="75"/>
      <c r="AV13" s="87" t="s">
        <v>425</v>
      </c>
      <c r="AX13" s="2299"/>
    </row>
    <row r="14" spans="2:50" ht="24" customHeight="1" x14ac:dyDescent="0.3">
      <c r="B14" s="644" t="s">
        <v>581</v>
      </c>
      <c r="C14" s="111"/>
      <c r="D14" s="631">
        <v>1</v>
      </c>
      <c r="E14" s="631">
        <v>2</v>
      </c>
      <c r="F14" s="631">
        <v>3</v>
      </c>
      <c r="G14" s="631">
        <v>4</v>
      </c>
      <c r="H14" s="631">
        <v>5</v>
      </c>
      <c r="I14" s="631">
        <v>6</v>
      </c>
      <c r="J14" s="631">
        <v>7</v>
      </c>
      <c r="K14" s="631">
        <v>8</v>
      </c>
      <c r="L14" s="631">
        <v>9</v>
      </c>
      <c r="M14" s="631">
        <v>10</v>
      </c>
      <c r="P14" s="111"/>
      <c r="Q14" s="631">
        <v>1</v>
      </c>
      <c r="R14" s="631">
        <v>2</v>
      </c>
      <c r="S14" s="631">
        <v>3</v>
      </c>
      <c r="T14" s="631">
        <v>4</v>
      </c>
      <c r="U14" s="631">
        <v>5</v>
      </c>
      <c r="V14" s="631">
        <v>6</v>
      </c>
      <c r="W14" s="631">
        <v>7</v>
      </c>
      <c r="X14" s="631">
        <v>8</v>
      </c>
      <c r="Y14" s="631">
        <v>9</v>
      </c>
      <c r="Z14" s="631">
        <v>10</v>
      </c>
      <c r="AA14" s="75"/>
      <c r="AM14" s="8"/>
      <c r="AN14" s="39"/>
      <c r="AO14" s="29">
        <v>-5</v>
      </c>
      <c r="AP14" s="30">
        <v>-0.5</v>
      </c>
      <c r="AQ14" s="29"/>
      <c r="AT14" s="75" t="s">
        <v>461</v>
      </c>
      <c r="AU14" s="75"/>
      <c r="AV14" s="87" t="s">
        <v>424</v>
      </c>
      <c r="AX14" s="2299"/>
    </row>
    <row r="15" spans="2:50" ht="24" customHeight="1" x14ac:dyDescent="0.2">
      <c r="B15" s="630"/>
      <c r="C15" s="631"/>
      <c r="D15" s="631"/>
      <c r="E15" s="631"/>
      <c r="F15" s="631"/>
      <c r="G15" s="631"/>
      <c r="H15" s="631"/>
      <c r="I15" s="631"/>
      <c r="J15" s="631"/>
      <c r="K15" s="631"/>
      <c r="L15" s="631"/>
      <c r="M15" s="631"/>
      <c r="P15" s="631"/>
      <c r="Q15" s="631"/>
      <c r="R15" s="631"/>
      <c r="S15" s="631"/>
      <c r="T15" s="631"/>
      <c r="U15" s="631"/>
      <c r="V15" s="631"/>
      <c r="W15" s="631"/>
      <c r="X15" s="631"/>
      <c r="Y15" s="631"/>
      <c r="Z15" s="631"/>
      <c r="AM15" s="8"/>
      <c r="AN15" s="39"/>
      <c r="AO15" s="29">
        <v>-4</v>
      </c>
      <c r="AP15" s="30">
        <v>-0.4</v>
      </c>
      <c r="AQ15" s="29"/>
      <c r="AT15" s="75" t="s">
        <v>467</v>
      </c>
      <c r="AU15" s="75"/>
      <c r="AV15" s="87" t="s">
        <v>429</v>
      </c>
      <c r="AX15" s="2299"/>
    </row>
    <row r="16" spans="2:50" ht="24" customHeight="1" x14ac:dyDescent="0.2">
      <c r="B16" s="630"/>
      <c r="C16" s="631">
        <v>1</v>
      </c>
      <c r="D16" s="640">
        <f ca="1">$D16-D$14</f>
        <v>0</v>
      </c>
      <c r="E16" s="641">
        <f t="shared" ref="E16:M25" ca="1" si="2">$D16-E$14</f>
        <v>-1</v>
      </c>
      <c r="F16" s="641">
        <f t="shared" ca="1" si="2"/>
        <v>-2</v>
      </c>
      <c r="G16" s="641">
        <f t="shared" ca="1" si="2"/>
        <v>-3</v>
      </c>
      <c r="H16" s="641">
        <f t="shared" ca="1" si="2"/>
        <v>-4</v>
      </c>
      <c r="I16" s="641">
        <f t="shared" ca="1" si="2"/>
        <v>-5</v>
      </c>
      <c r="J16" s="641">
        <f t="shared" ca="1" si="2"/>
        <v>-6</v>
      </c>
      <c r="K16" s="641">
        <f t="shared" ca="1" si="2"/>
        <v>-7</v>
      </c>
      <c r="L16" s="641">
        <f t="shared" ca="1" si="2"/>
        <v>-8</v>
      </c>
      <c r="M16" s="641">
        <f t="shared" ca="1" si="2"/>
        <v>-9</v>
      </c>
      <c r="N16" s="2282" t="s">
        <v>579</v>
      </c>
      <c r="P16" s="631">
        <v>1</v>
      </c>
      <c r="Q16" s="640"/>
      <c r="R16" s="641"/>
      <c r="S16" s="641"/>
      <c r="T16" s="641"/>
      <c r="U16" s="641"/>
      <c r="V16" s="641"/>
      <c r="W16" s="641"/>
      <c r="X16" s="641"/>
      <c r="Y16" s="641"/>
      <c r="Z16" s="641"/>
      <c r="AA16" s="2282" t="s">
        <v>579</v>
      </c>
      <c r="AM16" s="8"/>
      <c r="AN16" s="39"/>
      <c r="AO16" s="29">
        <v>-3</v>
      </c>
      <c r="AP16" s="30">
        <v>-0.3</v>
      </c>
      <c r="AQ16" s="29"/>
      <c r="AT16" s="75" t="s">
        <v>466</v>
      </c>
      <c r="AU16" s="75"/>
      <c r="AV16" s="87" t="s">
        <v>422</v>
      </c>
      <c r="AX16" s="2299"/>
    </row>
    <row r="17" spans="2:50" ht="24" customHeight="1" x14ac:dyDescent="0.2">
      <c r="B17" s="630"/>
      <c r="C17" s="631">
        <v>2</v>
      </c>
      <c r="D17" s="641">
        <f ca="1">$D17-D$14</f>
        <v>1</v>
      </c>
      <c r="E17" s="640">
        <f t="shared" ca="1" si="2"/>
        <v>0</v>
      </c>
      <c r="F17" s="641">
        <f t="shared" ca="1" si="2"/>
        <v>-1</v>
      </c>
      <c r="G17" s="641">
        <f t="shared" ca="1" si="2"/>
        <v>-2</v>
      </c>
      <c r="H17" s="641">
        <f t="shared" ca="1" si="2"/>
        <v>-3</v>
      </c>
      <c r="I17" s="641">
        <f t="shared" ca="1" si="2"/>
        <v>-4</v>
      </c>
      <c r="J17" s="641">
        <f t="shared" ca="1" si="2"/>
        <v>-5</v>
      </c>
      <c r="K17" s="641">
        <f t="shared" ca="1" si="2"/>
        <v>-6</v>
      </c>
      <c r="L17" s="641">
        <f t="shared" ca="1" si="2"/>
        <v>-7</v>
      </c>
      <c r="M17" s="641">
        <f t="shared" ca="1" si="2"/>
        <v>-8</v>
      </c>
      <c r="N17" s="2282"/>
      <c r="P17" s="631">
        <v>2</v>
      </c>
      <c r="Q17" s="641"/>
      <c r="R17" s="640"/>
      <c r="S17" s="641"/>
      <c r="T17" s="641"/>
      <c r="U17" s="641"/>
      <c r="V17" s="641"/>
      <c r="W17" s="641"/>
      <c r="X17" s="641"/>
      <c r="Y17" s="641"/>
      <c r="Z17" s="641"/>
      <c r="AA17" s="2282"/>
      <c r="AM17" s="8"/>
      <c r="AN17" s="39"/>
      <c r="AO17" s="29">
        <v>-2</v>
      </c>
      <c r="AP17" s="30">
        <v>-0.2</v>
      </c>
      <c r="AQ17" s="29"/>
      <c r="AT17" s="75" t="s">
        <v>465</v>
      </c>
      <c r="AU17" s="75"/>
      <c r="AV17" s="87" t="s">
        <v>428</v>
      </c>
      <c r="AX17" s="82"/>
    </row>
    <row r="18" spans="2:50" ht="24" customHeight="1" x14ac:dyDescent="0.2">
      <c r="B18" s="630"/>
      <c r="C18" s="631">
        <v>3</v>
      </c>
      <c r="D18" s="641">
        <f t="shared" ref="D18:D25" ca="1" si="3">$D18-D$14</f>
        <v>2</v>
      </c>
      <c r="E18" s="641">
        <f t="shared" ca="1" si="2"/>
        <v>1</v>
      </c>
      <c r="F18" s="640">
        <f t="shared" ca="1" si="2"/>
        <v>0</v>
      </c>
      <c r="G18" s="641">
        <f t="shared" ca="1" si="2"/>
        <v>-1</v>
      </c>
      <c r="H18" s="641">
        <f t="shared" ca="1" si="2"/>
        <v>-2</v>
      </c>
      <c r="I18" s="641">
        <f t="shared" ca="1" si="2"/>
        <v>-3</v>
      </c>
      <c r="J18" s="641">
        <f t="shared" ca="1" si="2"/>
        <v>-4</v>
      </c>
      <c r="K18" s="641">
        <f t="shared" ca="1" si="2"/>
        <v>-5</v>
      </c>
      <c r="L18" s="641">
        <f t="shared" ca="1" si="2"/>
        <v>-6</v>
      </c>
      <c r="M18" s="641">
        <f t="shared" ca="1" si="2"/>
        <v>-7</v>
      </c>
      <c r="N18" s="2282"/>
      <c r="P18" s="631">
        <v>3</v>
      </c>
      <c r="Q18" s="641"/>
      <c r="R18" s="641"/>
      <c r="S18" s="640"/>
      <c r="T18" s="641"/>
      <c r="U18" s="641"/>
      <c r="V18" s="641"/>
      <c r="W18" s="641"/>
      <c r="X18" s="641"/>
      <c r="Y18" s="641"/>
      <c r="Z18" s="641"/>
      <c r="AA18" s="2282"/>
      <c r="AM18" s="8"/>
      <c r="AN18" s="39"/>
      <c r="AO18" s="29">
        <v>-1</v>
      </c>
      <c r="AP18" s="30">
        <v>-0.1</v>
      </c>
      <c r="AQ18" s="29"/>
      <c r="AT18" s="75" t="s">
        <v>464</v>
      </c>
      <c r="AU18" s="75"/>
      <c r="AV18" s="87" t="s">
        <v>423</v>
      </c>
    </row>
    <row r="19" spans="2:50" ht="24" customHeight="1" x14ac:dyDescent="0.2">
      <c r="B19" s="630"/>
      <c r="C19" s="631">
        <v>4</v>
      </c>
      <c r="D19" s="641">
        <f t="shared" ca="1" si="3"/>
        <v>3</v>
      </c>
      <c r="E19" s="641">
        <f t="shared" ca="1" si="2"/>
        <v>2</v>
      </c>
      <c r="F19" s="641">
        <f t="shared" ca="1" si="2"/>
        <v>1</v>
      </c>
      <c r="G19" s="640">
        <f t="shared" ca="1" si="2"/>
        <v>0</v>
      </c>
      <c r="H19" s="641">
        <f t="shared" ca="1" si="2"/>
        <v>-1</v>
      </c>
      <c r="I19" s="641">
        <f t="shared" ca="1" si="2"/>
        <v>-2</v>
      </c>
      <c r="J19" s="641">
        <f t="shared" ca="1" si="2"/>
        <v>-3</v>
      </c>
      <c r="K19" s="641">
        <f t="shared" ca="1" si="2"/>
        <v>-4</v>
      </c>
      <c r="L19" s="641">
        <f t="shared" ca="1" si="2"/>
        <v>-5</v>
      </c>
      <c r="M19" s="641">
        <f t="shared" ca="1" si="2"/>
        <v>-6</v>
      </c>
      <c r="N19" s="2282"/>
      <c r="P19" s="631">
        <v>4</v>
      </c>
      <c r="Q19" s="641"/>
      <c r="R19" s="641"/>
      <c r="S19" s="641"/>
      <c r="T19" s="640"/>
      <c r="U19" s="641"/>
      <c r="V19" s="641"/>
      <c r="W19" s="641"/>
      <c r="X19" s="641"/>
      <c r="Y19" s="641"/>
      <c r="Z19" s="641"/>
      <c r="AA19" s="2282"/>
      <c r="AM19" s="8"/>
      <c r="AN19" s="39" t="s">
        <v>272</v>
      </c>
      <c r="AO19" s="29">
        <v>0</v>
      </c>
      <c r="AP19" s="30">
        <v>0</v>
      </c>
      <c r="AQ19" s="29"/>
      <c r="AT19" s="75" t="s">
        <v>273</v>
      </c>
      <c r="AU19" s="75"/>
      <c r="AV19" s="75" t="s">
        <v>273</v>
      </c>
      <c r="AX19" s="75" t="s">
        <v>273</v>
      </c>
    </row>
    <row r="20" spans="2:50" ht="24" customHeight="1" x14ac:dyDescent="0.2">
      <c r="B20" s="2"/>
      <c r="C20" s="631">
        <v>5</v>
      </c>
      <c r="D20" s="641">
        <f t="shared" ca="1" si="3"/>
        <v>4</v>
      </c>
      <c r="E20" s="641">
        <f t="shared" ca="1" si="2"/>
        <v>3</v>
      </c>
      <c r="F20" s="641">
        <f t="shared" ca="1" si="2"/>
        <v>2</v>
      </c>
      <c r="G20" s="641">
        <f t="shared" ca="1" si="2"/>
        <v>1</v>
      </c>
      <c r="H20" s="640">
        <f t="shared" ca="1" si="2"/>
        <v>0</v>
      </c>
      <c r="I20" s="641">
        <f t="shared" ca="1" si="2"/>
        <v>-1</v>
      </c>
      <c r="J20" s="641">
        <f t="shared" ca="1" si="2"/>
        <v>-2</v>
      </c>
      <c r="K20" s="641">
        <f t="shared" ca="1" si="2"/>
        <v>-3</v>
      </c>
      <c r="L20" s="641">
        <f t="shared" ca="1" si="2"/>
        <v>-4</v>
      </c>
      <c r="M20" s="641">
        <f t="shared" ca="1" si="2"/>
        <v>-5</v>
      </c>
      <c r="N20" s="2282"/>
      <c r="O20" s="642"/>
      <c r="P20" s="631">
        <v>5</v>
      </c>
      <c r="Q20" s="641"/>
      <c r="R20" s="641"/>
      <c r="S20" s="641"/>
      <c r="T20" s="641"/>
      <c r="U20" s="640"/>
      <c r="V20" s="641"/>
      <c r="W20" s="641"/>
      <c r="X20" s="641"/>
      <c r="Y20" s="641"/>
      <c r="Z20" s="641"/>
      <c r="AA20" s="2282"/>
      <c r="AM20" s="8"/>
      <c r="AN20" s="39"/>
      <c r="AO20" s="29">
        <v>1</v>
      </c>
      <c r="AP20" s="30">
        <v>0.1</v>
      </c>
      <c r="AQ20" s="29"/>
      <c r="AT20" s="82"/>
      <c r="AV20" s="82"/>
      <c r="AW20" s="86"/>
      <c r="AX20" s="75" t="s">
        <v>418</v>
      </c>
    </row>
    <row r="21" spans="2:50" ht="24" customHeight="1" x14ac:dyDescent="0.2">
      <c r="B21" s="2"/>
      <c r="C21" s="637">
        <v>6</v>
      </c>
      <c r="D21" s="641">
        <f t="shared" ca="1" si="3"/>
        <v>5</v>
      </c>
      <c r="E21" s="641">
        <f t="shared" ca="1" si="2"/>
        <v>4</v>
      </c>
      <c r="F21" s="641">
        <f t="shared" ca="1" si="2"/>
        <v>3</v>
      </c>
      <c r="G21" s="641">
        <f t="shared" ca="1" si="2"/>
        <v>2</v>
      </c>
      <c r="H21" s="641">
        <f t="shared" ca="1" si="2"/>
        <v>1</v>
      </c>
      <c r="I21" s="640">
        <f t="shared" ca="1" si="2"/>
        <v>0</v>
      </c>
      <c r="J21" s="641">
        <f t="shared" ca="1" si="2"/>
        <v>-1</v>
      </c>
      <c r="K21" s="641">
        <f t="shared" ca="1" si="2"/>
        <v>-2</v>
      </c>
      <c r="L21" s="641">
        <f t="shared" ca="1" si="2"/>
        <v>-3</v>
      </c>
      <c r="M21" s="641">
        <f t="shared" ca="1" si="2"/>
        <v>-4</v>
      </c>
      <c r="N21" s="2282"/>
      <c r="O21" s="642"/>
      <c r="P21" s="637">
        <v>6</v>
      </c>
      <c r="Q21" s="641"/>
      <c r="R21" s="641"/>
      <c r="S21" s="641"/>
      <c r="T21" s="641"/>
      <c r="U21" s="641"/>
      <c r="V21" s="640"/>
      <c r="W21" s="641"/>
      <c r="X21" s="641"/>
      <c r="Y21" s="641"/>
      <c r="Z21" s="641"/>
      <c r="AA21" s="2282"/>
      <c r="AM21" s="8"/>
      <c r="AN21" s="39"/>
      <c r="AO21" s="29">
        <v>2</v>
      </c>
      <c r="AP21" s="30">
        <v>0.2</v>
      </c>
      <c r="AQ21" s="29"/>
      <c r="AR21" t="s">
        <v>275</v>
      </c>
      <c r="AT21" s="82"/>
      <c r="AV21" s="82"/>
      <c r="AX21" s="75" t="s">
        <v>419</v>
      </c>
    </row>
    <row r="22" spans="2:50" ht="24" customHeight="1" x14ac:dyDescent="0.2">
      <c r="B22" s="2"/>
      <c r="C22" s="638">
        <v>7</v>
      </c>
      <c r="D22" s="641">
        <f t="shared" ca="1" si="3"/>
        <v>6</v>
      </c>
      <c r="E22" s="641">
        <f t="shared" ca="1" si="2"/>
        <v>5</v>
      </c>
      <c r="F22" s="641">
        <f t="shared" ca="1" si="2"/>
        <v>4</v>
      </c>
      <c r="G22" s="641">
        <f t="shared" ca="1" si="2"/>
        <v>3</v>
      </c>
      <c r="H22" s="641">
        <f t="shared" ca="1" si="2"/>
        <v>2</v>
      </c>
      <c r="I22" s="641">
        <f t="shared" ca="1" si="2"/>
        <v>1</v>
      </c>
      <c r="J22" s="640">
        <f t="shared" ca="1" si="2"/>
        <v>0</v>
      </c>
      <c r="K22" s="641">
        <f t="shared" ca="1" si="2"/>
        <v>-1</v>
      </c>
      <c r="L22" s="641">
        <f t="shared" ca="1" si="2"/>
        <v>-2</v>
      </c>
      <c r="M22" s="641">
        <f t="shared" ca="1" si="2"/>
        <v>-3</v>
      </c>
      <c r="N22" s="2282"/>
      <c r="O22" s="642"/>
      <c r="P22" s="638">
        <v>7</v>
      </c>
      <c r="Q22" s="641"/>
      <c r="R22" s="641"/>
      <c r="S22" s="641"/>
      <c r="T22" s="641"/>
      <c r="U22" s="641"/>
      <c r="V22" s="641"/>
      <c r="W22" s="640"/>
      <c r="X22" s="641"/>
      <c r="Y22" s="641"/>
      <c r="Z22" s="641"/>
      <c r="AA22" s="2282"/>
      <c r="AN22" s="39"/>
      <c r="AO22" s="29">
        <v>3</v>
      </c>
      <c r="AP22" s="30">
        <v>0.3</v>
      </c>
      <c r="AQ22" s="29"/>
      <c r="AT22" s="2297" t="s">
        <v>279</v>
      </c>
      <c r="AV22" s="2297" t="s">
        <v>279</v>
      </c>
      <c r="AX22" s="75" t="s">
        <v>420</v>
      </c>
    </row>
    <row r="23" spans="2:50" ht="24" customHeight="1" x14ac:dyDescent="0.2">
      <c r="B23" s="70"/>
      <c r="C23" s="596">
        <v>8</v>
      </c>
      <c r="D23" s="641">
        <f t="shared" ca="1" si="3"/>
        <v>7</v>
      </c>
      <c r="E23" s="641">
        <f t="shared" ca="1" si="2"/>
        <v>6</v>
      </c>
      <c r="F23" s="641">
        <f t="shared" ca="1" si="2"/>
        <v>5</v>
      </c>
      <c r="G23" s="641">
        <f t="shared" ca="1" si="2"/>
        <v>4</v>
      </c>
      <c r="H23" s="641">
        <f t="shared" ca="1" si="2"/>
        <v>3</v>
      </c>
      <c r="I23" s="641">
        <f t="shared" ca="1" si="2"/>
        <v>2</v>
      </c>
      <c r="J23" s="641">
        <f t="shared" ca="1" si="2"/>
        <v>1</v>
      </c>
      <c r="K23" s="640">
        <f t="shared" ca="1" si="2"/>
        <v>0</v>
      </c>
      <c r="L23" s="641">
        <f t="shared" ca="1" si="2"/>
        <v>-1</v>
      </c>
      <c r="M23" s="641">
        <f t="shared" ca="1" si="2"/>
        <v>-2</v>
      </c>
      <c r="N23" s="2282"/>
      <c r="O23" s="642"/>
      <c r="P23" s="596">
        <v>8</v>
      </c>
      <c r="Q23" s="641"/>
      <c r="R23" s="641"/>
      <c r="S23" s="641"/>
      <c r="T23" s="641"/>
      <c r="U23" s="641"/>
      <c r="V23" s="641"/>
      <c r="W23" s="641"/>
      <c r="X23" s="640"/>
      <c r="Y23" s="641"/>
      <c r="Z23" s="641"/>
      <c r="AA23" s="2282"/>
      <c r="AN23" s="39"/>
      <c r="AO23" s="29">
        <v>4</v>
      </c>
      <c r="AP23" s="30">
        <v>0.4</v>
      </c>
      <c r="AQ23" s="29"/>
      <c r="AT23" s="2297"/>
      <c r="AV23" s="2297"/>
      <c r="AX23" s="75" t="s">
        <v>427</v>
      </c>
    </row>
    <row r="24" spans="2:50" ht="24" customHeight="1" x14ac:dyDescent="0.2">
      <c r="B24" s="70"/>
      <c r="C24" s="596">
        <v>9</v>
      </c>
      <c r="D24" s="641">
        <f t="shared" ca="1" si="3"/>
        <v>8</v>
      </c>
      <c r="E24" s="641">
        <f t="shared" ca="1" si="2"/>
        <v>7</v>
      </c>
      <c r="F24" s="641">
        <f t="shared" ca="1" si="2"/>
        <v>6</v>
      </c>
      <c r="G24" s="641">
        <f t="shared" ca="1" si="2"/>
        <v>5</v>
      </c>
      <c r="H24" s="641">
        <f t="shared" ca="1" si="2"/>
        <v>4</v>
      </c>
      <c r="I24" s="641">
        <f t="shared" ca="1" si="2"/>
        <v>3</v>
      </c>
      <c r="J24" s="641">
        <f t="shared" ca="1" si="2"/>
        <v>2</v>
      </c>
      <c r="K24" s="641">
        <f t="shared" ca="1" si="2"/>
        <v>1</v>
      </c>
      <c r="L24" s="640">
        <f t="shared" ca="1" si="2"/>
        <v>0</v>
      </c>
      <c r="M24" s="641">
        <f t="shared" ca="1" si="2"/>
        <v>-1</v>
      </c>
      <c r="N24" s="2282"/>
      <c r="O24" s="642"/>
      <c r="P24" s="596">
        <v>9</v>
      </c>
      <c r="Q24" s="641"/>
      <c r="R24" s="641"/>
      <c r="S24" s="641"/>
      <c r="T24" s="641"/>
      <c r="U24" s="641"/>
      <c r="V24" s="641"/>
      <c r="W24" s="641"/>
      <c r="X24" s="641"/>
      <c r="Y24" s="640"/>
      <c r="Z24" s="641"/>
      <c r="AA24" s="2282"/>
      <c r="AN24" s="39"/>
      <c r="AO24" s="29">
        <v>5</v>
      </c>
      <c r="AP24" s="30">
        <v>0.5</v>
      </c>
      <c r="AQ24" s="29"/>
      <c r="AR24" t="s">
        <v>276</v>
      </c>
      <c r="AT24" s="82"/>
      <c r="AV24" s="82"/>
      <c r="AX24" s="75" t="s">
        <v>426</v>
      </c>
    </row>
    <row r="25" spans="2:50" ht="24" customHeight="1" x14ac:dyDescent="0.2">
      <c r="B25" s="70"/>
      <c r="C25" s="596">
        <v>10</v>
      </c>
      <c r="D25" s="641">
        <f t="shared" ca="1" si="3"/>
        <v>9</v>
      </c>
      <c r="E25" s="641">
        <f t="shared" ca="1" si="2"/>
        <v>8</v>
      </c>
      <c r="F25" s="641">
        <f t="shared" ca="1" si="2"/>
        <v>7</v>
      </c>
      <c r="G25" s="641">
        <f t="shared" ca="1" si="2"/>
        <v>6</v>
      </c>
      <c r="H25" s="641">
        <f t="shared" ca="1" si="2"/>
        <v>5</v>
      </c>
      <c r="I25" s="641">
        <f t="shared" ca="1" si="2"/>
        <v>4</v>
      </c>
      <c r="J25" s="641">
        <f t="shared" ca="1" si="2"/>
        <v>3</v>
      </c>
      <c r="K25" s="641">
        <f t="shared" ca="1" si="2"/>
        <v>2</v>
      </c>
      <c r="L25" s="641">
        <f t="shared" ca="1" si="2"/>
        <v>1</v>
      </c>
      <c r="M25" s="640">
        <f t="shared" ca="1" si="2"/>
        <v>0</v>
      </c>
      <c r="P25" s="596">
        <v>10</v>
      </c>
      <c r="Q25" s="641"/>
      <c r="R25" s="641"/>
      <c r="S25" s="641"/>
      <c r="T25" s="641"/>
      <c r="U25" s="641"/>
      <c r="V25" s="641"/>
      <c r="W25" s="641"/>
      <c r="X25" s="641"/>
      <c r="Y25" s="641"/>
      <c r="Z25" s="640"/>
      <c r="AN25" s="39"/>
      <c r="AO25" s="29">
        <v>6</v>
      </c>
      <c r="AP25" s="30">
        <v>0.6</v>
      </c>
      <c r="AQ25" s="29"/>
      <c r="AT25" s="82"/>
      <c r="AV25" s="82"/>
      <c r="AX25" s="75" t="s">
        <v>421</v>
      </c>
    </row>
    <row r="26" spans="2:50" ht="24" customHeight="1" x14ac:dyDescent="0.2">
      <c r="B26" s="70"/>
      <c r="C26" s="8"/>
      <c r="D26" s="2283" t="s">
        <v>597</v>
      </c>
      <c r="E26" s="2283"/>
      <c r="F26" s="2283"/>
      <c r="G26" s="2283"/>
      <c r="H26" s="2283"/>
      <c r="I26" s="2283"/>
      <c r="J26" s="2283"/>
      <c r="K26" s="2283"/>
      <c r="L26" s="2283"/>
      <c r="M26" s="2283"/>
      <c r="N26" s="639" t="s">
        <v>598</v>
      </c>
      <c r="O26" s="7"/>
      <c r="P26" s="8"/>
      <c r="Q26" s="2283" t="s">
        <v>597</v>
      </c>
      <c r="R26" s="2283"/>
      <c r="S26" s="2283"/>
      <c r="T26" s="2283"/>
      <c r="U26" s="2283"/>
      <c r="V26" s="2283"/>
      <c r="W26" s="2283"/>
      <c r="X26" s="2283"/>
      <c r="Y26" s="2283"/>
      <c r="Z26" s="2283"/>
      <c r="AA26" s="639" t="s">
        <v>598</v>
      </c>
      <c r="AN26" s="39"/>
      <c r="AO26" s="29">
        <v>7</v>
      </c>
      <c r="AP26" s="30">
        <v>0.7</v>
      </c>
      <c r="AQ26" s="29"/>
      <c r="AR26" t="s">
        <v>277</v>
      </c>
      <c r="AT26" s="82"/>
      <c r="AV26" s="82"/>
      <c r="AX26" s="75" t="s">
        <v>458</v>
      </c>
    </row>
    <row r="27" spans="2:50" ht="19" customHeight="1" x14ac:dyDescent="0.2">
      <c r="B27" s="8"/>
      <c r="C27" s="8"/>
      <c r="D27" s="8"/>
      <c r="E27" s="8"/>
      <c r="F27" s="8"/>
      <c r="AN27" s="39"/>
      <c r="AO27" s="29">
        <v>8</v>
      </c>
      <c r="AP27" s="30">
        <v>0.8</v>
      </c>
      <c r="AQ27" s="29"/>
      <c r="AT27" s="82"/>
      <c r="AV27" s="82"/>
      <c r="AX27" s="75" t="s">
        <v>459</v>
      </c>
    </row>
    <row r="28" spans="2:50" ht="19" customHeight="1" x14ac:dyDescent="0.2">
      <c r="C28" s="8"/>
      <c r="D28" s="8"/>
      <c r="E28" s="8"/>
      <c r="F28" s="8"/>
      <c r="G28" s="8"/>
      <c r="AN28" s="39"/>
      <c r="AO28" s="29">
        <v>9</v>
      </c>
      <c r="AP28" s="30">
        <v>0.9</v>
      </c>
      <c r="AQ28" s="29"/>
      <c r="AT28" s="82"/>
      <c r="AV28" s="82"/>
      <c r="AX28" s="83" t="s">
        <v>460</v>
      </c>
    </row>
    <row r="29" spans="2:50" ht="19" customHeight="1" x14ac:dyDescent="0.2">
      <c r="C29" s="8"/>
      <c r="D29" s="8"/>
      <c r="E29" s="8"/>
      <c r="F29" s="8"/>
      <c r="G29" s="8"/>
      <c r="AN29" s="41" t="s">
        <v>274</v>
      </c>
      <c r="AO29" s="33">
        <v>10</v>
      </c>
      <c r="AP29" s="42">
        <v>1</v>
      </c>
      <c r="AQ29" s="33"/>
      <c r="AT29" s="82"/>
      <c r="AV29" s="82"/>
      <c r="AX29" s="83" t="s">
        <v>460</v>
      </c>
    </row>
    <row r="30" spans="2:50" ht="32" customHeight="1" x14ac:dyDescent="0.2">
      <c r="C30" s="8"/>
      <c r="D30" s="8"/>
      <c r="E30" s="8"/>
      <c r="F30" s="8"/>
      <c r="G30" s="8"/>
      <c r="H30" s="2296" t="s">
        <v>278</v>
      </c>
    </row>
    <row r="31" spans="2:50" ht="32" customHeight="1" thickBot="1" x14ac:dyDescent="0.35">
      <c r="B31" s="315" t="s">
        <v>357</v>
      </c>
      <c r="C31" s="67"/>
      <c r="D31" s="8"/>
      <c r="E31" s="8"/>
      <c r="F31" s="8"/>
      <c r="G31" s="8"/>
      <c r="H31" s="2296"/>
      <c r="I31" s="84"/>
      <c r="V31" s="314"/>
    </row>
    <row r="32" spans="2:50" s="7" customFormat="1" ht="32" customHeight="1" x14ac:dyDescent="0.25">
      <c r="B32" s="10"/>
      <c r="C32" s="64" t="s">
        <v>214</v>
      </c>
      <c r="D32" s="33"/>
      <c r="E32" s="33"/>
      <c r="F32" s="34"/>
      <c r="G32" s="34"/>
      <c r="H32" s="2296"/>
      <c r="I32" s="2288" t="s">
        <v>365</v>
      </c>
      <c r="J32" s="2289"/>
      <c r="K32" s="2289"/>
      <c r="L32" s="2289"/>
      <c r="M32" s="2289"/>
      <c r="N32" s="2290"/>
      <c r="P32"/>
      <c r="Q32"/>
      <c r="R32"/>
      <c r="S32"/>
    </row>
    <row r="33" spans="1:21" s="7" customFormat="1" ht="32" customHeight="1" x14ac:dyDescent="0.2">
      <c r="B33" s="10"/>
      <c r="C33" s="33"/>
      <c r="D33" s="32" t="s">
        <v>280</v>
      </c>
      <c r="E33" s="32" t="s">
        <v>281</v>
      </c>
      <c r="F33" s="32"/>
      <c r="G33" s="31"/>
      <c r="H33"/>
      <c r="I33" s="324" t="s">
        <v>282</v>
      </c>
      <c r="J33" s="6">
        <f>(D34+D40)/2</f>
        <v>8</v>
      </c>
      <c r="K33"/>
      <c r="L33"/>
      <c r="M33"/>
      <c r="N33" s="325"/>
      <c r="P33"/>
      <c r="Q33"/>
      <c r="R33"/>
      <c r="S33"/>
    </row>
    <row r="34" spans="1:21" ht="40" customHeight="1" x14ac:dyDescent="0.2">
      <c r="A34" t="s">
        <v>450</v>
      </c>
      <c r="B34" s="165" t="e">
        <f>#REF!</f>
        <v>#REF!</v>
      </c>
      <c r="C34" s="90" t="str">
        <f>Test_Bible!B98</f>
        <v xml:space="preserve">Quel était le degré de complicité entre vous et votre enfant ? </v>
      </c>
      <c r="D34" s="35">
        <f>Test_Bible!P98</f>
        <v>9</v>
      </c>
      <c r="E34" s="29"/>
      <c r="F34" s="29"/>
      <c r="G34" s="29"/>
      <c r="I34" s="324" t="s">
        <v>283</v>
      </c>
      <c r="J34" s="6">
        <f>(D35+D41)/2</f>
        <v>2</v>
      </c>
      <c r="N34" s="326"/>
    </row>
    <row r="35" spans="1:21" ht="40" customHeight="1" x14ac:dyDescent="0.2">
      <c r="A35" t="s">
        <v>450</v>
      </c>
      <c r="B35" s="165" t="e">
        <f>#REF!</f>
        <v>#REF!</v>
      </c>
      <c r="C35" s="297" t="str">
        <f>Test_Bible!B263</f>
        <v>Comment qualifieriez-vous votre relation et votre degré de complicité avec votre enfant, aujourd’hui (temps présent) ?</v>
      </c>
      <c r="D35" s="35">
        <f>Test_Bible!P263</f>
        <v>2</v>
      </c>
      <c r="E35" s="29"/>
      <c r="F35" s="29"/>
      <c r="G35" s="29"/>
      <c r="I35" s="146"/>
      <c r="J35" s="36">
        <f>J34-J33</f>
        <v>-6</v>
      </c>
      <c r="K35" s="327">
        <f>VLOOKUP(J35,$AO$9:$AP$29,2)</f>
        <v>-0.6</v>
      </c>
      <c r="N35" s="326"/>
    </row>
    <row r="36" spans="1:21" ht="21" customHeight="1" x14ac:dyDescent="0.2">
      <c r="B36" s="21"/>
      <c r="C36" s="37" t="s">
        <v>284</v>
      </c>
      <c r="D36" s="36">
        <f>D35-D34</f>
        <v>-7</v>
      </c>
      <c r="E36" s="40">
        <f>VLOOKUP(D36,$AO$9:$AX$29,2)</f>
        <v>-0.7</v>
      </c>
      <c r="F36" s="317"/>
      <c r="G36" s="33"/>
      <c r="I36" s="146"/>
      <c r="K36" s="2291" t="str">
        <f>VLOOKUP(J35,$AO$9:$AX$29,6)</f>
        <v>Risque de rupture contact</v>
      </c>
      <c r="L36" s="2291"/>
      <c r="M36" s="2291"/>
      <c r="N36" s="326"/>
      <c r="P36" t="s">
        <v>285</v>
      </c>
    </row>
    <row r="37" spans="1:21" x14ac:dyDescent="0.2">
      <c r="B37" s="21"/>
      <c r="I37" s="146"/>
      <c r="K37" s="2291"/>
      <c r="L37" s="2291"/>
      <c r="M37" s="2291"/>
      <c r="N37" s="326"/>
      <c r="P37" s="2181" t="s">
        <v>286</v>
      </c>
      <c r="Q37" s="2181"/>
      <c r="R37" s="2181"/>
      <c r="S37" s="2181"/>
      <c r="T37" s="4"/>
    </row>
    <row r="38" spans="1:21" ht="45" customHeight="1" x14ac:dyDescent="0.2">
      <c r="B38" s="10"/>
      <c r="C38" s="64" t="s">
        <v>214</v>
      </c>
      <c r="D38" s="33"/>
      <c r="E38" s="33"/>
      <c r="F38" s="34"/>
      <c r="G38" s="34"/>
      <c r="I38" s="146"/>
      <c r="K38" s="2291"/>
      <c r="L38" s="2291"/>
      <c r="M38" s="2291"/>
      <c r="N38" s="326"/>
      <c r="Q38" s="105" t="s">
        <v>287</v>
      </c>
      <c r="R38" s="105"/>
      <c r="S38" s="105"/>
      <c r="T38" s="105"/>
    </row>
    <row r="39" spans="1:21" ht="40" customHeight="1" thickBot="1" x14ac:dyDescent="0.25">
      <c r="B39" s="10"/>
      <c r="C39" s="33"/>
      <c r="D39" s="32" t="s">
        <v>280</v>
      </c>
      <c r="E39" s="32"/>
      <c r="F39" s="32"/>
      <c r="G39" s="31"/>
      <c r="I39" s="328"/>
      <c r="J39" s="329"/>
      <c r="K39" s="329"/>
      <c r="L39" s="329"/>
      <c r="M39" s="329"/>
      <c r="N39" s="330"/>
      <c r="P39" s="14" t="s">
        <v>288</v>
      </c>
      <c r="Q39" s="2293" t="s">
        <v>289</v>
      </c>
      <c r="R39" s="2293"/>
      <c r="S39" s="14" t="s">
        <v>290</v>
      </c>
    </row>
    <row r="40" spans="1:21" ht="34" x14ac:dyDescent="0.2">
      <c r="A40" t="s">
        <v>450</v>
      </c>
      <c r="B40" s="165" t="e">
        <f>#REF!</f>
        <v>#REF!</v>
      </c>
      <c r="C40" s="90" t="str">
        <f>Test_Bible!B99</f>
        <v>Dans quelle mesure diriez-vous que votre enfant vous confiait ses joies, ses peines ou questionnements divers ?</v>
      </c>
      <c r="D40" s="35">
        <f>Test_Bible!P99</f>
        <v>7</v>
      </c>
      <c r="E40" s="29"/>
      <c r="F40" s="29"/>
      <c r="G40" s="29"/>
      <c r="H40" s="7"/>
      <c r="I40" s="7"/>
      <c r="J40" s="7"/>
      <c r="K40" s="7"/>
      <c r="L40" s="7"/>
      <c r="M40" s="7"/>
      <c r="P40" s="2296" t="s">
        <v>291</v>
      </c>
      <c r="S40" s="2193" t="s">
        <v>292</v>
      </c>
    </row>
    <row r="41" spans="1:21" ht="34" x14ac:dyDescent="0.2">
      <c r="A41" t="s">
        <v>450</v>
      </c>
      <c r="B41" s="165" t="e">
        <f>#REF!</f>
        <v>#REF!</v>
      </c>
      <c r="C41" s="297" t="str">
        <f>Test_Bible!B263</f>
        <v>Comment qualifieriez-vous votre relation et votre degré de complicité avec votre enfant, aujourd’hui (temps présent) ?</v>
      </c>
      <c r="D41" s="35">
        <f>Test_Bible!P263</f>
        <v>2</v>
      </c>
      <c r="E41" s="29"/>
      <c r="F41" s="29"/>
      <c r="G41" s="29"/>
      <c r="H41" s="7"/>
      <c r="I41" s="7"/>
      <c r="J41" s="7"/>
      <c r="K41" s="7"/>
      <c r="L41" s="7"/>
      <c r="M41" s="7"/>
      <c r="P41" s="2296"/>
      <c r="R41" s="27"/>
      <c r="S41" s="2193"/>
    </row>
    <row r="42" spans="1:21" ht="23" customHeight="1" thickBot="1" x14ac:dyDescent="0.25">
      <c r="B42" s="21"/>
      <c r="C42" s="37" t="s">
        <v>284</v>
      </c>
      <c r="D42" s="36">
        <f>D41-D40</f>
        <v>-5</v>
      </c>
      <c r="E42" s="40">
        <f>VLOOKUP(D42,$AO$9:$AX$29,2)</f>
        <v>-0.5</v>
      </c>
      <c r="F42" s="320"/>
      <c r="G42" s="33"/>
      <c r="J42" s="7"/>
      <c r="K42" s="7"/>
      <c r="L42" s="7"/>
      <c r="Q42" s="2269" t="str">
        <f>VLOOKUP(J54,$AO$9:$AX$29,8)</f>
        <v>Aucun changement</v>
      </c>
      <c r="R42" s="2269" t="e">
        <f>VLOOKUP(Q42,$AO$9:$AP$29,2)</f>
        <v>#N/A</v>
      </c>
    </row>
    <row r="43" spans="1:21" ht="33" customHeight="1" x14ac:dyDescent="0.25">
      <c r="B43" s="21"/>
      <c r="C43" s="16"/>
      <c r="D43" s="6"/>
      <c r="E43" s="80"/>
      <c r="F43" s="8"/>
      <c r="G43" s="8"/>
      <c r="I43" s="2288" t="s">
        <v>530</v>
      </c>
      <c r="J43" s="2289"/>
      <c r="K43" s="2289"/>
      <c r="L43" s="2289"/>
      <c r="M43" s="2289"/>
      <c r="N43" s="2290"/>
    </row>
    <row r="44" spans="1:21" ht="46" customHeight="1" x14ac:dyDescent="0.2">
      <c r="B44" s="10"/>
      <c r="C44" s="64" t="s">
        <v>356</v>
      </c>
      <c r="D44" s="33"/>
      <c r="E44" s="33"/>
      <c r="F44" s="34"/>
      <c r="G44" s="34"/>
      <c r="I44" s="324" t="s">
        <v>282</v>
      </c>
      <c r="J44" s="6">
        <f>D46</f>
        <v>2</v>
      </c>
      <c r="N44" s="325"/>
      <c r="P44" s="85" t="s">
        <v>293</v>
      </c>
      <c r="S44" s="78" t="s">
        <v>243</v>
      </c>
      <c r="U44" s="85" t="s">
        <v>294</v>
      </c>
    </row>
    <row r="45" spans="1:21" ht="28" customHeight="1" x14ac:dyDescent="0.2">
      <c r="A45" s="2184" t="s">
        <v>473</v>
      </c>
      <c r="B45" s="10"/>
      <c r="C45" s="33"/>
      <c r="D45" s="32" t="s">
        <v>280</v>
      </c>
      <c r="E45" s="32"/>
      <c r="F45" s="32"/>
      <c r="G45" s="31"/>
      <c r="H45" s="2300"/>
      <c r="I45" s="324" t="s">
        <v>283</v>
      </c>
      <c r="J45" s="6" t="e">
        <f>D47</f>
        <v>#REF!</v>
      </c>
      <c r="N45" s="326"/>
    </row>
    <row r="46" spans="1:21" ht="52" customHeight="1" x14ac:dyDescent="0.2">
      <c r="A46" s="2184"/>
      <c r="B46" s="165" t="e">
        <f>#REF!</f>
        <v>#REF!</v>
      </c>
      <c r="C46" s="565" t="str">
        <f>Test_Bible!B337</f>
        <v>Comment était la relation de votre enfant avec la famille élargie avant la séparation ?</v>
      </c>
      <c r="D46" s="35">
        <f>Test_Bible!P337</f>
        <v>2</v>
      </c>
      <c r="E46" s="29"/>
      <c r="F46" s="29"/>
      <c r="G46" s="29"/>
      <c r="H46" s="2300"/>
      <c r="I46" s="146"/>
      <c r="J46" s="36" t="e">
        <f>D48</f>
        <v>#REF!</v>
      </c>
      <c r="K46" s="327"/>
      <c r="N46" s="326"/>
      <c r="Q46" s="2295" t="s">
        <v>290</v>
      </c>
      <c r="R46" s="2295"/>
    </row>
    <row r="47" spans="1:21" ht="41" customHeight="1" x14ac:dyDescent="0.2">
      <c r="B47" s="165" t="e">
        <f>#REF!</f>
        <v>#REF!</v>
      </c>
      <c r="C47" s="17" t="e">
        <f>Test_Bible!#REF!</f>
        <v>#REF!</v>
      </c>
      <c r="D47" s="35" t="e">
        <f>Test_Bible!#REF!</f>
        <v>#REF!</v>
      </c>
      <c r="E47" s="29"/>
      <c r="F47" s="29"/>
      <c r="G47" s="29"/>
      <c r="I47" s="146"/>
      <c r="K47" s="2298"/>
      <c r="L47" s="2291"/>
      <c r="M47" s="2291"/>
      <c r="N47" s="326"/>
      <c r="Q47" s="7" t="s">
        <v>288</v>
      </c>
      <c r="R47" s="11" t="s">
        <v>288</v>
      </c>
    </row>
    <row r="48" spans="1:21" ht="41" customHeight="1" x14ac:dyDescent="0.2">
      <c r="B48" s="21"/>
      <c r="C48" s="37" t="s">
        <v>284</v>
      </c>
      <c r="D48" s="36" t="e">
        <f>D46-D47</f>
        <v>#REF!</v>
      </c>
      <c r="E48" s="40"/>
      <c r="F48" s="320"/>
      <c r="G48" s="33"/>
      <c r="I48" s="146"/>
      <c r="K48" s="2291"/>
      <c r="L48" s="2291"/>
      <c r="M48" s="2291"/>
      <c r="N48" s="326"/>
      <c r="T48" s="11" t="s">
        <v>288</v>
      </c>
    </row>
    <row r="49" spans="1:20" ht="22" customHeight="1" x14ac:dyDescent="0.2">
      <c r="B49" s="7"/>
      <c r="C49" s="16"/>
      <c r="D49" s="6"/>
      <c r="E49" s="80"/>
      <c r="F49" s="8"/>
      <c r="G49" s="8"/>
      <c r="I49" s="146"/>
      <c r="K49" s="2291"/>
      <c r="L49" s="2291"/>
      <c r="M49" s="2291"/>
      <c r="N49" s="326"/>
    </row>
    <row r="50" spans="1:20" ht="23" customHeight="1" thickBot="1" x14ac:dyDescent="0.25">
      <c r="B50" s="7"/>
      <c r="C50" s="323"/>
      <c r="D50" s="6"/>
      <c r="E50" s="80"/>
      <c r="F50" s="8"/>
      <c r="G50" s="8"/>
      <c r="I50" s="328"/>
      <c r="J50" s="329"/>
      <c r="K50" s="329"/>
      <c r="L50" s="329"/>
      <c r="M50" s="329"/>
      <c r="N50" s="330"/>
    </row>
    <row r="51" spans="1:20" ht="41" customHeight="1" thickBot="1" x14ac:dyDescent="0.35">
      <c r="B51" s="315" t="s">
        <v>358</v>
      </c>
      <c r="R51" s="11" t="s">
        <v>290</v>
      </c>
      <c r="S51" s="105"/>
    </row>
    <row r="52" spans="1:20" ht="41" customHeight="1" x14ac:dyDescent="0.25">
      <c r="B52" s="22"/>
      <c r="C52" s="64" t="s">
        <v>215</v>
      </c>
      <c r="D52" s="33"/>
      <c r="E52" s="33"/>
      <c r="F52" s="34"/>
      <c r="G52" s="34"/>
      <c r="I52" s="2288" t="s">
        <v>366</v>
      </c>
      <c r="J52" s="2289"/>
      <c r="K52" s="2289"/>
      <c r="L52" s="2289"/>
      <c r="M52" s="2289"/>
      <c r="N52" s="2290"/>
      <c r="P52" s="88"/>
      <c r="S52" s="88"/>
      <c r="T52" s="11" t="s">
        <v>290</v>
      </c>
    </row>
    <row r="53" spans="1:20" ht="34" customHeight="1" x14ac:dyDescent="0.2">
      <c r="B53" s="22"/>
      <c r="C53" s="33"/>
      <c r="D53" s="32" t="s">
        <v>280</v>
      </c>
      <c r="E53" s="32"/>
      <c r="F53" s="32"/>
      <c r="G53" s="31"/>
      <c r="I53" s="324" t="s">
        <v>282</v>
      </c>
      <c r="J53" s="6"/>
      <c r="N53" s="325"/>
      <c r="P53" s="2176" t="s">
        <v>295</v>
      </c>
      <c r="Q53" s="2176"/>
      <c r="R53" s="2176"/>
      <c r="S53" s="2176"/>
      <c r="T53" s="2176"/>
    </row>
    <row r="54" spans="1:20" ht="34" x14ac:dyDescent="0.2">
      <c r="A54" t="s">
        <v>450</v>
      </c>
      <c r="B54" s="312" t="e">
        <f>#REF!</f>
        <v>#REF!</v>
      </c>
      <c r="C54" s="90" t="str">
        <f>Test_Bible!B100</f>
        <v>Quel était le degré de complicité entre votre enfant et l'autre parent ?</v>
      </c>
      <c r="D54" s="35">
        <f>Test_Bible!P100</f>
        <v>4</v>
      </c>
      <c r="E54" s="29"/>
      <c r="F54" s="29"/>
      <c r="G54" s="29"/>
      <c r="I54" s="324" t="s">
        <v>283</v>
      </c>
      <c r="J54" s="6"/>
      <c r="N54" s="326"/>
      <c r="P54" s="2176"/>
      <c r="Q54" s="2176"/>
      <c r="R54" s="2176"/>
      <c r="S54" s="2176"/>
      <c r="T54" s="2176"/>
    </row>
    <row r="55" spans="1:20" ht="51" x14ac:dyDescent="0.2">
      <c r="A55" t="s">
        <v>450</v>
      </c>
      <c r="B55" s="312" t="e">
        <f>#REF!</f>
        <v>#REF!</v>
      </c>
      <c r="C55" s="297" t="str">
        <f>Test_Bible!B165</f>
        <v xml:space="preserve">Comment qualifieriez-vous la relation et le degré de complicité entre votre enfant et l'autre parent, aujourd'hui (temps présent) ? </v>
      </c>
      <c r="D55" s="35">
        <f>Test_Bible!P165</f>
        <v>7</v>
      </c>
      <c r="E55" s="29"/>
      <c r="F55" s="29"/>
      <c r="G55" s="29"/>
      <c r="I55" s="146"/>
      <c r="J55" s="36"/>
      <c r="K55" s="327"/>
      <c r="N55" s="326"/>
      <c r="P55" s="2267" t="s">
        <v>296</v>
      </c>
      <c r="Q55" s="2267"/>
      <c r="R55" s="2267"/>
      <c r="S55" s="2267"/>
      <c r="T55" s="2267"/>
    </row>
    <row r="56" spans="1:20" ht="27" customHeight="1" x14ac:dyDescent="0.2">
      <c r="B56" s="59"/>
      <c r="C56" s="37" t="s">
        <v>284</v>
      </c>
      <c r="D56" s="36">
        <f>D54-D55</f>
        <v>-3</v>
      </c>
      <c r="E56" s="40">
        <f>VLOOKUP(D56,$AO$9:$AX$29,2)</f>
        <v>-0.3</v>
      </c>
      <c r="F56" s="320" t="str">
        <f>VLOOKUP(D56,$AO$9:$AX$29,6)</f>
        <v>Dégradation modérée (action nécessaire, soutiller)</v>
      </c>
      <c r="G56" s="33"/>
      <c r="I56" s="146"/>
      <c r="K56" s="2291"/>
      <c r="L56" s="2291"/>
      <c r="M56" s="2291"/>
      <c r="N56" s="326"/>
      <c r="P56" s="2267"/>
      <c r="Q56" s="2267"/>
      <c r="R56" s="2267"/>
      <c r="S56" s="2267"/>
      <c r="T56" s="2267"/>
    </row>
    <row r="57" spans="1:20" ht="25" customHeight="1" x14ac:dyDescent="0.2">
      <c r="B57" s="59"/>
      <c r="I57" s="146"/>
      <c r="K57" s="2291"/>
      <c r="L57" s="2291"/>
      <c r="M57" s="2291"/>
      <c r="N57" s="326"/>
      <c r="P57" s="2267"/>
      <c r="Q57" s="2267"/>
      <c r="R57" s="2267"/>
      <c r="S57" s="2267"/>
      <c r="T57" s="2267"/>
    </row>
    <row r="58" spans="1:20" ht="32" customHeight="1" x14ac:dyDescent="0.2">
      <c r="B58" s="59"/>
      <c r="C58" s="64" t="s">
        <v>361</v>
      </c>
      <c r="D58" s="33"/>
      <c r="E58" s="33"/>
      <c r="F58" s="34"/>
      <c r="G58" s="34"/>
      <c r="I58" s="146"/>
      <c r="K58" s="2291"/>
      <c r="L58" s="2291"/>
      <c r="M58" s="2291"/>
      <c r="N58" s="326"/>
      <c r="P58" s="9"/>
    </row>
    <row r="59" spans="1:20" ht="42" customHeight="1" thickBot="1" x14ac:dyDescent="0.25">
      <c r="B59" s="59"/>
      <c r="C59" s="33"/>
      <c r="D59" s="32" t="s">
        <v>280</v>
      </c>
      <c r="E59" s="32"/>
      <c r="F59" s="32"/>
      <c r="G59" s="31"/>
      <c r="I59" s="328"/>
      <c r="J59" s="329"/>
      <c r="K59" s="329"/>
      <c r="L59" s="329"/>
      <c r="M59" s="329"/>
      <c r="N59" s="330"/>
    </row>
    <row r="60" spans="1:20" ht="42" customHeight="1" x14ac:dyDescent="0.2">
      <c r="A60" t="s">
        <v>450</v>
      </c>
      <c r="B60" s="312" t="e">
        <f>#REF!</f>
        <v>#REF!</v>
      </c>
      <c r="C60" s="90" t="str">
        <f>Test_Bible!B102</f>
        <v xml:space="preserve"> </v>
      </c>
      <c r="D60" s="35">
        <f>Test_Bible!P102</f>
        <v>0</v>
      </c>
      <c r="E60" s="29"/>
      <c r="F60" s="29"/>
      <c r="G60" s="29"/>
    </row>
    <row r="61" spans="1:20" ht="39" customHeight="1" x14ac:dyDescent="0.2">
      <c r="A61" t="s">
        <v>450</v>
      </c>
      <c r="B61" s="312" t="e">
        <f>#REF!</f>
        <v>#REF!</v>
      </c>
      <c r="C61" s="297" t="str">
        <f>Test_Bible!B264</f>
        <v>Dans quelle mesure diriez-vous que votre enfant idéalise (aujourd'hui) l’autre parent ?</v>
      </c>
      <c r="D61" s="35">
        <f>Test_Bible!P264</f>
        <v>7</v>
      </c>
      <c r="E61" s="29"/>
      <c r="F61" s="29"/>
      <c r="G61" s="29"/>
    </row>
    <row r="62" spans="1:20" ht="26" customHeight="1" x14ac:dyDescent="0.2">
      <c r="B62" s="59"/>
      <c r="C62" s="37" t="s">
        <v>284</v>
      </c>
      <c r="D62" s="36">
        <f>D60-D61</f>
        <v>-7</v>
      </c>
      <c r="E62" s="40">
        <f>VLOOKUP(D62,$AO$9:$AX$29,2)</f>
        <v>-0.7</v>
      </c>
      <c r="F62" s="317" t="str">
        <f>VLOOKUP(D62,$AO$9:$AX$29,6)</f>
        <v>Risque de rupture contact | lien</v>
      </c>
      <c r="G62" s="33"/>
    </row>
    <row r="63" spans="1:20" ht="26" customHeight="1" x14ac:dyDescent="0.2">
      <c r="B63" s="59"/>
      <c r="C63" s="16"/>
      <c r="D63" s="6"/>
      <c r="E63" s="80"/>
      <c r="F63" s="8"/>
      <c r="G63" s="8"/>
    </row>
    <row r="64" spans="1:20" ht="26" customHeight="1" x14ac:dyDescent="0.2">
      <c r="B64" s="59"/>
      <c r="C64" s="64" t="s">
        <v>362</v>
      </c>
      <c r="D64" s="33"/>
      <c r="E64" s="33"/>
      <c r="F64" s="34"/>
      <c r="G64" s="34"/>
    </row>
    <row r="65" spans="1:14" ht="42" customHeight="1" x14ac:dyDescent="0.2">
      <c r="B65" s="59"/>
      <c r="C65" s="33"/>
      <c r="D65" s="32" t="s">
        <v>280</v>
      </c>
      <c r="E65" s="32"/>
      <c r="F65" s="32"/>
      <c r="G65" s="31"/>
    </row>
    <row r="66" spans="1:14" ht="45" customHeight="1" x14ac:dyDescent="0.2">
      <c r="A66" t="s">
        <v>450</v>
      </c>
      <c r="B66" s="312" t="e">
        <f>#REF!</f>
        <v>#REF!</v>
      </c>
      <c r="C66" s="90" t="str">
        <f>Test_Bible!B101</f>
        <v xml:space="preserve"> </v>
      </c>
      <c r="D66" s="35">
        <f>Test_Bible!P101</f>
        <v>0</v>
      </c>
      <c r="E66" s="29"/>
      <c r="F66" s="29"/>
      <c r="G66" s="29"/>
    </row>
    <row r="67" spans="1:14" ht="55" customHeight="1" x14ac:dyDescent="0.2">
      <c r="A67" t="s">
        <v>450</v>
      </c>
      <c r="B67" s="312" t="e">
        <f>#REF!</f>
        <v>#REF!</v>
      </c>
      <c r="C67" s="297" t="str">
        <f>Test_Bible!B166</f>
        <v>Selon vous, dans quelle mesure l'autre parent entretien une relation fusionnelle avec votre enfant ?</v>
      </c>
      <c r="D67" s="35">
        <f>Test_Bible!P166</f>
        <v>5</v>
      </c>
      <c r="E67" s="29"/>
      <c r="F67" s="2301" t="s">
        <v>574</v>
      </c>
      <c r="G67" s="29"/>
    </row>
    <row r="68" spans="1:14" ht="39" customHeight="1" x14ac:dyDescent="0.2">
      <c r="A68" t="s">
        <v>450</v>
      </c>
      <c r="B68" s="312" t="s">
        <v>573</v>
      </c>
      <c r="C68" s="13" t="str">
        <f>Test_Bible!B265</f>
        <v>Dans quelle mesure diriez-vous que la relation entre votre enfant et l'autre parent est fusionnelle ?</v>
      </c>
      <c r="D68" s="35">
        <f>Test_Bible!P265</f>
        <v>2</v>
      </c>
      <c r="E68" s="29"/>
      <c r="F68" s="2301"/>
      <c r="G68" s="29"/>
    </row>
    <row r="69" spans="1:14" ht="26" customHeight="1" x14ac:dyDescent="0.2">
      <c r="B69" s="59"/>
      <c r="C69" s="37" t="s">
        <v>284</v>
      </c>
      <c r="D69" s="36">
        <f>D66-(MAX(D67,D68))</f>
        <v>-5</v>
      </c>
      <c r="E69" s="40">
        <f>VLOOKUP(D69,$AO$9:$AX$29,2)</f>
        <v>-0.5</v>
      </c>
      <c r="F69" s="320" t="str">
        <f>VLOOKUP(D69,$AO$9:$AX$29,6)</f>
        <v>Dégradation significative (action urgente)</v>
      </c>
      <c r="G69" s="33"/>
    </row>
    <row r="70" spans="1:14" ht="26" customHeight="1" x14ac:dyDescent="0.2">
      <c r="C70" s="16"/>
      <c r="D70" s="6"/>
      <c r="E70" s="80"/>
      <c r="F70" s="8"/>
      <c r="G70" s="8"/>
    </row>
    <row r="71" spans="1:14" ht="27" customHeight="1" x14ac:dyDescent="0.25">
      <c r="A71" s="3" t="s">
        <v>472</v>
      </c>
      <c r="I71" s="539"/>
    </row>
    <row r="72" spans="1:14" ht="38" customHeight="1" thickBot="1" x14ac:dyDescent="0.25">
      <c r="B72" s="12"/>
      <c r="C72" s="64" t="s">
        <v>363</v>
      </c>
      <c r="D72" s="33"/>
      <c r="E72" s="33"/>
      <c r="F72" s="321"/>
      <c r="G72" s="34"/>
    </row>
    <row r="73" spans="1:14" ht="35" customHeight="1" x14ac:dyDescent="0.25">
      <c r="B73" s="12"/>
      <c r="C73" s="33"/>
      <c r="D73" s="32" t="s">
        <v>280</v>
      </c>
      <c r="E73" s="32"/>
      <c r="F73" s="322"/>
      <c r="G73" s="31"/>
      <c r="I73" s="2288" t="s">
        <v>367</v>
      </c>
      <c r="J73" s="2289"/>
      <c r="K73" s="2289"/>
      <c r="L73" s="2289"/>
      <c r="M73" s="2289"/>
      <c r="N73" s="2290"/>
    </row>
    <row r="74" spans="1:14" ht="59" customHeight="1" x14ac:dyDescent="0.2">
      <c r="A74" t="s">
        <v>473</v>
      </c>
      <c r="B74" s="316"/>
      <c r="C74" s="90" t="str">
        <f>Test_Bible!B106</f>
        <v xml:space="preserve">Dans quelle mesure diriez-vous que l'autre parent percevait votre rôle parental aussi important que le sien ? </v>
      </c>
      <c r="D74" s="35">
        <f>Test_Bible!P106</f>
        <v>2</v>
      </c>
      <c r="E74" s="29"/>
      <c r="F74" s="38"/>
      <c r="G74" s="29"/>
      <c r="I74" s="324" t="s">
        <v>282</v>
      </c>
      <c r="J74" s="6"/>
      <c r="K74">
        <f>(D74+D80)/2</f>
        <v>1.5</v>
      </c>
      <c r="N74" s="325"/>
    </row>
    <row r="75" spans="1:14" ht="41" customHeight="1" x14ac:dyDescent="0.2">
      <c r="A75" t="s">
        <v>473</v>
      </c>
      <c r="B75" s="316"/>
      <c r="C75" s="297" t="str">
        <f>Test_Bible!B205</f>
        <v xml:space="preserve">Dans quelle mesure diriez-vous que l'autre parent vous considère comme étant son égal·e sur le plan parental ? </v>
      </c>
      <c r="D75" s="35">
        <f>Test_Bible!P205</f>
        <v>4</v>
      </c>
      <c r="E75" s="29"/>
      <c r="F75" s="38"/>
      <c r="G75" s="29"/>
      <c r="I75" s="324" t="s">
        <v>283</v>
      </c>
      <c r="J75" s="6"/>
      <c r="K75">
        <f>(D75+D81)/2</f>
        <v>5.5</v>
      </c>
      <c r="N75" s="326"/>
    </row>
    <row r="76" spans="1:14" ht="27" customHeight="1" x14ac:dyDescent="0.2">
      <c r="B76" s="12"/>
      <c r="C76" s="37" t="s">
        <v>284</v>
      </c>
      <c r="D76" s="36">
        <f>D74-D75</f>
        <v>-2</v>
      </c>
      <c r="E76" s="40"/>
      <c r="F76" s="320"/>
      <c r="G76" s="33"/>
      <c r="I76" s="146"/>
      <c r="J76" s="36"/>
      <c r="K76" s="653">
        <f>K74-K75</f>
        <v>-4</v>
      </c>
      <c r="N76" s="326"/>
    </row>
    <row r="77" spans="1:14" ht="25" customHeight="1" x14ac:dyDescent="0.2">
      <c r="B77" s="12"/>
      <c r="F77" s="319"/>
      <c r="I77" s="146"/>
      <c r="K77" s="2291"/>
      <c r="L77" s="2291"/>
      <c r="M77" s="2291"/>
      <c r="N77" s="326"/>
    </row>
    <row r="78" spans="1:14" ht="33" customHeight="1" x14ac:dyDescent="0.2">
      <c r="B78" s="12"/>
      <c r="C78" s="64" t="s">
        <v>364</v>
      </c>
      <c r="D78" s="33"/>
      <c r="E78" s="33"/>
      <c r="F78" s="321"/>
      <c r="G78" s="34"/>
      <c r="I78" s="146"/>
      <c r="K78" s="2291"/>
      <c r="L78" s="2291"/>
      <c r="M78" s="2291"/>
      <c r="N78" s="326"/>
    </row>
    <row r="79" spans="1:14" ht="38" customHeight="1" x14ac:dyDescent="0.2">
      <c r="B79" s="12"/>
      <c r="C79" s="33"/>
      <c r="D79" s="32" t="s">
        <v>280</v>
      </c>
      <c r="E79" s="32"/>
      <c r="F79" s="322"/>
      <c r="G79" s="31"/>
      <c r="I79" s="146"/>
      <c r="K79" s="2291"/>
      <c r="L79" s="2291"/>
      <c r="M79" s="2291"/>
      <c r="N79" s="326"/>
    </row>
    <row r="80" spans="1:14" ht="55" customHeight="1" thickBot="1" x14ac:dyDescent="0.25">
      <c r="A80" t="s">
        <v>473</v>
      </c>
      <c r="B80" s="316"/>
      <c r="C80" s="90" t="str">
        <f>Test_Bible!B104</f>
        <v>Arrivait-il que l'autre parent vous critique ou vous dénigre devant votre enfant ?</v>
      </c>
      <c r="D80" s="35">
        <f>Test_Bible!P104</f>
        <v>1</v>
      </c>
      <c r="E80" s="29"/>
      <c r="F80" s="38"/>
      <c r="G80" s="29"/>
      <c r="H80" s="9"/>
      <c r="I80" s="328"/>
      <c r="J80" s="329"/>
      <c r="K80" s="329"/>
      <c r="L80" s="329"/>
      <c r="M80" s="329"/>
      <c r="N80" s="330"/>
    </row>
    <row r="81" spans="1:7" ht="51" customHeight="1" x14ac:dyDescent="0.2">
      <c r="A81" t="s">
        <v>473</v>
      </c>
      <c r="B81" s="316"/>
      <c r="C81" s="297" t="str">
        <f>Test_Bible!B186</f>
        <v>L’autre parent vous dénigre en la présence de votre enfant.</v>
      </c>
      <c r="D81" s="35">
        <f>Test_Bible!P186</f>
        <v>7</v>
      </c>
      <c r="E81" s="29"/>
      <c r="F81" s="38"/>
      <c r="G81" s="29"/>
    </row>
    <row r="82" spans="1:7" ht="26" customHeight="1" x14ac:dyDescent="0.2">
      <c r="B82" s="12"/>
      <c r="C82" s="37" t="s">
        <v>284</v>
      </c>
      <c r="D82" s="36">
        <f>D80-D81</f>
        <v>-6</v>
      </c>
      <c r="E82" s="40"/>
      <c r="F82" s="320"/>
      <c r="G82" s="33"/>
    </row>
    <row r="83" spans="1:7" x14ac:dyDescent="0.2">
      <c r="C83" s="16"/>
      <c r="D83" s="6"/>
      <c r="E83" s="80"/>
      <c r="F83" s="8"/>
      <c r="G83" s="8"/>
    </row>
  </sheetData>
  <mergeCells count="34">
    <mergeCell ref="F67:F68"/>
    <mergeCell ref="J5:J9"/>
    <mergeCell ref="S5:S9"/>
    <mergeCell ref="D11:H11"/>
    <mergeCell ref="M11:Q11"/>
    <mergeCell ref="N16:N24"/>
    <mergeCell ref="D26:M26"/>
    <mergeCell ref="Q26:Z26"/>
    <mergeCell ref="A45:A46"/>
    <mergeCell ref="AT5:AX5"/>
    <mergeCell ref="P53:T54"/>
    <mergeCell ref="Q46:R46"/>
    <mergeCell ref="P37:S37"/>
    <mergeCell ref="H30:H32"/>
    <mergeCell ref="P40:P41"/>
    <mergeCell ref="S40:S41"/>
    <mergeCell ref="AT22:AT23"/>
    <mergeCell ref="K47:M49"/>
    <mergeCell ref="AA16:AA24"/>
    <mergeCell ref="AV22:AV23"/>
    <mergeCell ref="AX12:AX16"/>
    <mergeCell ref="H45:H46"/>
    <mergeCell ref="I73:N73"/>
    <mergeCell ref="K77:M79"/>
    <mergeCell ref="AN4:AQ4"/>
    <mergeCell ref="AN5:AQ5"/>
    <mergeCell ref="P55:T57"/>
    <mergeCell ref="Q39:R39"/>
    <mergeCell ref="Q42:R42"/>
    <mergeCell ref="K36:M38"/>
    <mergeCell ref="I32:N32"/>
    <mergeCell ref="I52:N52"/>
    <mergeCell ref="K56:M58"/>
    <mergeCell ref="I43:N43"/>
  </mergeCells>
  <phoneticPr fontId="11" type="noConversion"/>
  <pageMargins left="0.7" right="0.7" top="0.75" bottom="0.75" header="0.3" footer="0.3"/>
  <pageSetup scale="16" fitToHeight="3"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19</vt:i4>
      </vt:variant>
      <vt:variant>
        <vt:lpstr>Named Ranges</vt:lpstr>
      </vt:variant>
      <vt:variant>
        <vt:i4>6</vt:i4>
      </vt:variant>
    </vt:vector>
  </HeadingPairs>
  <TitlesOfParts>
    <vt:vector size="25" baseType="lpstr">
      <vt:lpstr>TEST_pour PROTOTYPE</vt:lpstr>
      <vt:lpstr>BIBLE</vt:lpstr>
      <vt:lpstr>Test_Bible</vt:lpstr>
      <vt:lpstr>Constat Final</vt:lpstr>
      <vt:lpstr>Analyse spectre enfant</vt:lpstr>
      <vt:lpstr>Analyse Catégories_CEV</vt:lpstr>
      <vt:lpstr>Baromètre</vt:lpstr>
      <vt:lpstr>Q_qualitatives</vt:lpstr>
      <vt:lpstr>Indice D'exclusion</vt:lpstr>
      <vt:lpstr>Contexte</vt:lpstr>
      <vt:lpstr>Indice VC</vt:lpstr>
      <vt:lpstr>Action-Réaction finale</vt:lpstr>
      <vt:lpstr>Cpts miroirs des parents</vt:lpstr>
      <vt:lpstr>Modèle Calcul A-R + miroir</vt:lpstr>
      <vt:lpstr>Modèle Miroir_divergence</vt:lpstr>
      <vt:lpstr>Diff</vt:lpstr>
      <vt:lpstr>CPTS indépendants</vt:lpstr>
      <vt:lpstr>Modèle Cpts Indépendants</vt:lpstr>
      <vt:lpstr>TEMP_Différentiel</vt:lpstr>
      <vt:lpstr>Echelle_croissante</vt:lpstr>
      <vt:lpstr>'Modèle Calcul A-R + miroir'!Échelle_de_sévérité_des_actions_réactions</vt:lpstr>
      <vt:lpstr>'Modèle Miroir_divergence'!Échelle_de_sévérité_des_actions_réactions</vt:lpstr>
      <vt:lpstr>Echelle_decroissante</vt:lpstr>
      <vt:lpstr>BIBLE!OLE_LINK12</vt:lpstr>
      <vt:lpstr>Table_Échelles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cp:lastPrinted>2022-11-12T21:56:14Z</cp:lastPrinted>
  <dcterms:created xsi:type="dcterms:W3CDTF">2021-11-14T19:44:13Z</dcterms:created>
  <dcterms:modified xsi:type="dcterms:W3CDTF">2023-03-04T19:55:19Z</dcterms:modified>
  <cp:category/>
  <cp:contentStatus/>
</cp:coreProperties>
</file>